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iltys.government.iomgov\root\FSA_Shared\Supervision\Actuarial\Regulations\Life\Templates\working copies of templates\UPdate 10 for data warehouse\Helper templates\"/>
    </mc:Choice>
  </mc:AlternateContent>
  <bookViews>
    <workbookView xWindow="360" yWindow="180" windowWidth="24240" windowHeight="11445" tabRatio="588"/>
  </bookViews>
  <sheets>
    <sheet name="Index" sheetId="9" r:id="rId1"/>
    <sheet name="Capital" sheetId="8" r:id="rId2"/>
    <sheet name="Bonds" sheetId="1" r:id="rId3"/>
    <sheet name="Securitisations" sheetId="5" r:id="rId4"/>
    <sheet name="Credit Derivatives" sheetId="6" r:id="rId5"/>
    <sheet name="Data" sheetId="3" r:id="rId6"/>
  </sheets>
  <externalReferences>
    <externalReference r:id="rId7"/>
    <externalReference r:id="rId8"/>
  </externalReferences>
  <definedNames>
    <definedName name="Base_Assets" localSheetId="0">'[1]Capital requirement'!$D$34</definedName>
    <definedName name="Base_Assets">Capital!$D$7</definedName>
    <definedName name="Base_VDB" localSheetId="0">'[1]Capital requirement'!$F$34</definedName>
    <definedName name="Base_VDB">Capital!$H$7</definedName>
    <definedName name="Base_VGB" localSheetId="0">'[1]Capital requirement'!$E$34</definedName>
    <definedName name="Base_VGB">Capital!$F$7</definedName>
    <definedName name="BE_Liabs_VDB">Capital!#REF!</definedName>
    <definedName name="BOF_Bond">Bonds!$E$17</definedName>
    <definedName name="BOF_Bond_10">[2]Bonds!$E$6</definedName>
    <definedName name="BOF_Bond_200">[2]Bonds!$E$5</definedName>
    <definedName name="BOF_Sec">Securitisations!$E$17</definedName>
    <definedName name="BOF_Sec_10">[2]Securitisations!$E$6</definedName>
    <definedName name="BOF_Sec_200">[2]Securitisations!$E$5</definedName>
    <definedName name="Bond_Assets">Bonds!$E$13</definedName>
    <definedName name="Bond_Base">Data!$D$22:$J$26</definedName>
    <definedName name="Bond_Base_10">[2]Data!$S$22:$Y$26</definedName>
    <definedName name="Bond_Base_200">[2]Data!$D$22:$J$26</definedName>
    <definedName name="Bond_Base_MCR">Data!$N$22:$N$26</definedName>
    <definedName name="Bond_Base_MCR_10">[2]Data!$AC$22:$AC$26</definedName>
    <definedName name="Bond_Base_MCR_200">[2]Data!$N$22:$N$26</definedName>
    <definedName name="Bond_Base_UR">Data!$L$22:$L$26</definedName>
    <definedName name="Bond_Base_UR_10">[2]Data!$AA$22:$AA$26</definedName>
    <definedName name="Bond_Base_UR_200">[2]Data!$L$22:$L$26</definedName>
    <definedName name="Bond_Mult">Data!$D$30:$J$34</definedName>
    <definedName name="Bond_Mult_10">[2]Data!$S$30:$Y$34</definedName>
    <definedName name="Bond_Mult_200">[2]Data!$D$30:$J$34</definedName>
    <definedName name="Bond_Mult_MCR">Data!$N$30:$N$34</definedName>
    <definedName name="Bond_Mult_MCR_10">[2]Data!$AC$30:$AC$34</definedName>
    <definedName name="Bond_Mult_MCR_200">[2]Data!$N$30:$N$34</definedName>
    <definedName name="Bond_Mult_UR">Data!$L$30:$L$34</definedName>
    <definedName name="Bond_Mult_UR_10">[2]Data!$AA$30:$AA$34</definedName>
    <definedName name="Bond_Mult_UR_200">[2]Data!$L$30:$L$34</definedName>
    <definedName name="Bond_VDB">Bonds!$I$13</definedName>
    <definedName name="Bond_VGB">Bonds!$G$13</definedName>
    <definedName name="CD_Down_Assets">'Credit Derivatives'!$D$14</definedName>
    <definedName name="CD_Down_VDB">'Credit Derivatives'!$H$14</definedName>
    <definedName name="CD_Down_VGB">'Credit Derivatives'!$F$14</definedName>
    <definedName name="CD_Up_Assets">'Credit Derivatives'!$D$13</definedName>
    <definedName name="CD_Up_VDB">'Credit Derivatives'!$H$13</definedName>
    <definedName name="CD_Up_VGB">'Credit Derivatives'!$F$13</definedName>
    <definedName name="Cov_Bond_Base">Data!$D$38:$E$39</definedName>
    <definedName name="Cov_Bond_Base_10">[2]Data!$S$38:$T$39</definedName>
    <definedName name="Cov_Bond_Base_200">[2]Data!$D$38:$E$39</definedName>
    <definedName name="Cov_Bond_Mult">Data!$D$43:$E$44</definedName>
    <definedName name="Cov_Bond_Mult_10">[2]Data!$S$43:$T$44</definedName>
    <definedName name="Cov_Bond_Mult_200">[2]Data!$D$43:$E$44</definedName>
    <definedName name="Cov_CQS" localSheetId="0">[2]Data!$D$37:$E$37</definedName>
    <definedName name="Cov_CQS">Data!$D$37:$E$37</definedName>
    <definedName name="Cov_Range" localSheetId="0">[2]Data!$C$38:$C$39</definedName>
    <definedName name="Cov_Range">Data!$C$38:$C$39</definedName>
    <definedName name="CQS" localSheetId="0">[2]Data!$D$21:$J$21</definedName>
    <definedName name="CQS">Data!$D$21:$J$21</definedName>
    <definedName name="Gilt_Base">Data!$D$48:$J$52</definedName>
    <definedName name="Gilt_Base_10">[2]Data!$S$48:$Y$52</definedName>
    <definedName name="Gilt_Base_200">[2]Data!$D$48:$J$52</definedName>
    <definedName name="Gilt_Mult">Data!$D$56:$J$60</definedName>
    <definedName name="Gilt_Mult_10">[2]Data!$S$56:$Y$60</definedName>
    <definedName name="Gilt_Mult_200">[2]Data!$D$56:$J$60</definedName>
    <definedName name="Mkt_sp">Capital!$N$22</definedName>
    <definedName name="Mkt_sp_Bonds">Capital!$N$13</definedName>
    <definedName name="Mkt_sp_CD">Capital!$N$20</definedName>
    <definedName name="Mkt_Sp_cd_10">'[2]Credit Derivatives'!$J$25</definedName>
    <definedName name="Mkt_Sp_cd_200">'[2]Credit Derivatives'!$J$18</definedName>
    <definedName name="Mkt_sp_cd_Down">'Credit Derivatives'!$N$14</definedName>
    <definedName name="Mkt_sp_cd_Down_200">'[2]Credit Derivatives'!$J$16</definedName>
    <definedName name="Mkt_sp_cd_Up">'Credit Derivatives'!$N$13</definedName>
    <definedName name="Mkt_sp_cd_Up_200">'[2]Credit Derivatives'!$J$15</definedName>
    <definedName name="Mkt_sp_Sec">Capital!$N$15</definedName>
    <definedName name="nMkt_sp">Capital!$P$22</definedName>
    <definedName name="nMkt_sp_Bonds">Capital!$P$13</definedName>
    <definedName name="nMkt_sp_CD">Capital!$P$20</definedName>
    <definedName name="nMkt_sp_cd_Down">'Credit Derivatives'!$P$14</definedName>
    <definedName name="nMkt_sp_cd_Up">'Credit Derivatives'!$P$13</definedName>
    <definedName name="nMkt_sp_Sec">Capital!$P$15</definedName>
    <definedName name="Range" localSheetId="0">[2]Data!$C$22:$C$26</definedName>
    <definedName name="Range">Data!$C$22:$C$26</definedName>
    <definedName name="Sec_Assets">Securitisations!$E$13</definedName>
    <definedName name="Sec_Mult">Data!$D$68:$J$70</definedName>
    <definedName name="Sec_Mult_10">[2]Data!$S$68:$Y$70</definedName>
    <definedName name="Sec_Mult_200">[2]Data!$D$68:$J$70</definedName>
    <definedName name="Sec_Mult_UR">Data!$L$68:$L$70</definedName>
    <definedName name="Sec_Type" localSheetId="0">[2]Data!$C$68:$C$70</definedName>
    <definedName name="Sec_Type">Data!$C$68:$C$70</definedName>
    <definedName name="Sec_VDB">Securitisations!$I$13</definedName>
    <definedName name="Sec_VGB">Securitisations!$G$13</definedName>
    <definedName name="Solv_Ratio_CQS_Map" localSheetId="0">[2]Data!$D$16:$I$17</definedName>
    <definedName name="Solv_Ratio_CQS_Map">Data!$D$16:$I$17</definedName>
  </definedNames>
  <calcPr calcId="162913"/>
</workbook>
</file>

<file path=xl/calcChain.xml><?xml version="1.0" encoding="utf-8"?>
<calcChain xmlns="http://schemas.openxmlformats.org/spreadsheetml/2006/main">
  <c r="AI165" i="1" l="1" a="1"/>
  <c r="AI165" i="1" s="1"/>
  <c r="AG165" i="1" a="1"/>
  <c r="AG165" i="1" s="1"/>
  <c r="AE165" i="1" a="1"/>
  <c r="AE165" i="1" s="1"/>
  <c r="AC165" i="1"/>
  <c r="AA165" i="1"/>
  <c r="K165" i="1"/>
  <c r="AI164" i="1" a="1"/>
  <c r="AI164" i="1" s="1"/>
  <c r="AG164" i="1" a="1"/>
  <c r="AG164" i="1" s="1"/>
  <c r="AE164" i="1" a="1"/>
  <c r="AE164" i="1" s="1"/>
  <c r="AC164" i="1"/>
  <c r="AA164" i="1"/>
  <c r="K164" i="1"/>
  <c r="AI163" i="1" a="1"/>
  <c r="AI163" i="1" s="1"/>
  <c r="AG163" i="1" a="1"/>
  <c r="AG163" i="1" s="1"/>
  <c r="AE163" i="1" a="1"/>
  <c r="AE163" i="1" s="1"/>
  <c r="AC163" i="1"/>
  <c r="AA163" i="1"/>
  <c r="K163" i="1"/>
  <c r="A1" i="1"/>
  <c r="A1" i="5"/>
  <c r="A1" i="6"/>
  <c r="A1" i="3"/>
  <c r="A1" i="8"/>
  <c r="B31" i="9"/>
  <c r="B29" i="9"/>
  <c r="B27" i="9"/>
  <c r="B25" i="9"/>
  <c r="B23" i="9"/>
  <c r="A1" i="9"/>
  <c r="AK165" i="1" l="1"/>
  <c r="AM165" i="1" s="1"/>
  <c r="AK164" i="1"/>
  <c r="AM164" i="1" s="1"/>
  <c r="AK163" i="1"/>
  <c r="AM163" i="1" s="1"/>
  <c r="L7" i="8"/>
  <c r="J7" i="8"/>
  <c r="K168" i="1" l="1"/>
  <c r="K167" i="1"/>
  <c r="K166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H18" i="8" l="1"/>
  <c r="H17" i="8"/>
  <c r="F18" i="8"/>
  <c r="F17" i="8"/>
  <c r="D18" i="8"/>
  <c r="D17" i="8"/>
  <c r="H7" i="6"/>
  <c r="F7" i="6"/>
  <c r="D7" i="6"/>
  <c r="H15" i="8"/>
  <c r="H13" i="8"/>
  <c r="J18" i="8" l="1"/>
  <c r="L17" i="8"/>
  <c r="L18" i="8"/>
  <c r="J17" i="8"/>
  <c r="I7" i="5" l="1"/>
  <c r="G7" i="5"/>
  <c r="G13" i="5" s="1"/>
  <c r="F15" i="8" s="1"/>
  <c r="E7" i="5"/>
  <c r="I7" i="1"/>
  <c r="G7" i="1"/>
  <c r="G13" i="1" s="1"/>
  <c r="F13" i="8" s="1"/>
  <c r="E7" i="1"/>
  <c r="N17" i="8" l="1"/>
  <c r="N18" i="8"/>
  <c r="P18" i="8"/>
  <c r="P17" i="8"/>
  <c r="M7" i="1"/>
  <c r="K7" i="1"/>
  <c r="P20" i="8" l="1"/>
  <c r="N20" i="8"/>
  <c r="M7" i="5"/>
  <c r="K7" i="5"/>
  <c r="L14" i="6" l="1"/>
  <c r="L13" i="6"/>
  <c r="J14" i="6"/>
  <c r="J13" i="6"/>
  <c r="L7" i="6"/>
  <c r="J7" i="6"/>
  <c r="N13" i="6" l="1"/>
  <c r="N14" i="6"/>
  <c r="M32" i="5" l="1" a="1"/>
  <c r="M32" i="5" s="1"/>
  <c r="O32" i="5" s="1"/>
  <c r="AG168" i="1" l="1" a="1"/>
  <c r="AG168" i="1" s="1"/>
  <c r="AG167" i="1" a="1"/>
  <c r="AG167" i="1" s="1"/>
  <c r="AG166" i="1" a="1"/>
  <c r="AG166" i="1" s="1"/>
  <c r="AG162" i="1" a="1"/>
  <c r="AG162" i="1" s="1"/>
  <c r="AG161" i="1" a="1"/>
  <c r="AG161" i="1" s="1"/>
  <c r="AG160" i="1" a="1"/>
  <c r="AG160" i="1" s="1"/>
  <c r="AG159" i="1" a="1"/>
  <c r="AG159" i="1" s="1"/>
  <c r="AG158" i="1" a="1"/>
  <c r="AG158" i="1" s="1"/>
  <c r="AG157" i="1" a="1"/>
  <c r="AG157" i="1" s="1"/>
  <c r="AG156" i="1" a="1"/>
  <c r="AG156" i="1" s="1"/>
  <c r="AG155" i="1" a="1"/>
  <c r="AG155" i="1" s="1"/>
  <c r="AG154" i="1" a="1"/>
  <c r="AG154" i="1" s="1"/>
  <c r="AG153" i="1" a="1"/>
  <c r="AG153" i="1" s="1"/>
  <c r="AG152" i="1" a="1"/>
  <c r="AG152" i="1" s="1"/>
  <c r="AG151" i="1" a="1"/>
  <c r="AG151" i="1" s="1"/>
  <c r="AG150" i="1" a="1"/>
  <c r="AG150" i="1" s="1"/>
  <c r="AG149" i="1" a="1"/>
  <c r="AG149" i="1" s="1"/>
  <c r="AG148" i="1" a="1"/>
  <c r="AG148" i="1" s="1"/>
  <c r="AG147" i="1" a="1"/>
  <c r="AG147" i="1" s="1"/>
  <c r="AG146" i="1" a="1"/>
  <c r="AG146" i="1" s="1"/>
  <c r="AG145" i="1" a="1"/>
  <c r="AG145" i="1" s="1"/>
  <c r="AG144" i="1" a="1"/>
  <c r="AG144" i="1" s="1"/>
  <c r="AG143" i="1" a="1"/>
  <c r="AG143" i="1" s="1"/>
  <c r="AG142" i="1" a="1"/>
  <c r="AG142" i="1" s="1"/>
  <c r="AG141" i="1" a="1"/>
  <c r="AG141" i="1" s="1"/>
  <c r="AG140" i="1" a="1"/>
  <c r="AG140" i="1" s="1"/>
  <c r="AG139" i="1" a="1"/>
  <c r="AG139" i="1" s="1"/>
  <c r="AG138" i="1" a="1"/>
  <c r="AG138" i="1" s="1"/>
  <c r="AG137" i="1" a="1"/>
  <c r="AG137" i="1" s="1"/>
  <c r="AG136" i="1" a="1"/>
  <c r="AG136" i="1" s="1"/>
  <c r="AG135" i="1" a="1"/>
  <c r="AG135" i="1" s="1"/>
  <c r="AG134" i="1" a="1"/>
  <c r="AG134" i="1" s="1"/>
  <c r="AG133" i="1" a="1"/>
  <c r="AG133" i="1" s="1"/>
  <c r="AG132" i="1" a="1"/>
  <c r="AG132" i="1" s="1"/>
  <c r="AG131" i="1" a="1"/>
  <c r="AG131" i="1" s="1"/>
  <c r="AG130" i="1" a="1"/>
  <c r="AG130" i="1" s="1"/>
  <c r="AG129" i="1" a="1"/>
  <c r="AG129" i="1" s="1"/>
  <c r="AG128" i="1" a="1"/>
  <c r="AG128" i="1" s="1"/>
  <c r="AG127" i="1" a="1"/>
  <c r="AG127" i="1" s="1"/>
  <c r="AG126" i="1" a="1"/>
  <c r="AG126" i="1" s="1"/>
  <c r="AG125" i="1" a="1"/>
  <c r="AG125" i="1" s="1"/>
  <c r="AG124" i="1" a="1"/>
  <c r="AG124" i="1" s="1"/>
  <c r="AG123" i="1" a="1"/>
  <c r="AG123" i="1" s="1"/>
  <c r="AG122" i="1" a="1"/>
  <c r="AG122" i="1" s="1"/>
  <c r="AG121" i="1" a="1"/>
  <c r="AG121" i="1" s="1"/>
  <c r="AG120" i="1" a="1"/>
  <c r="AG120" i="1" s="1"/>
  <c r="AG119" i="1" a="1"/>
  <c r="AG119" i="1" s="1"/>
  <c r="AG118" i="1" a="1"/>
  <c r="AG118" i="1" s="1"/>
  <c r="AG117" i="1" a="1"/>
  <c r="AG117" i="1" s="1"/>
  <c r="AG116" i="1" a="1"/>
  <c r="AG116" i="1" s="1"/>
  <c r="AG115" i="1" a="1"/>
  <c r="AG115" i="1" s="1"/>
  <c r="AG114" i="1" a="1"/>
  <c r="AG114" i="1" s="1"/>
  <c r="AG113" i="1" a="1"/>
  <c r="AG113" i="1" s="1"/>
  <c r="AG112" i="1" a="1"/>
  <c r="AG112" i="1" s="1"/>
  <c r="AG111" i="1" a="1"/>
  <c r="AG111" i="1" s="1"/>
  <c r="AG110" i="1" a="1"/>
  <c r="AG110" i="1" s="1"/>
  <c r="AG109" i="1" a="1"/>
  <c r="AG109" i="1" s="1"/>
  <c r="AG108" i="1" a="1"/>
  <c r="AG108" i="1" s="1"/>
  <c r="AG107" i="1" a="1"/>
  <c r="AG107" i="1" s="1"/>
  <c r="AG106" i="1" a="1"/>
  <c r="AG106" i="1" s="1"/>
  <c r="AG105" i="1" a="1"/>
  <c r="AG105" i="1" s="1"/>
  <c r="AG104" i="1" a="1"/>
  <c r="AG104" i="1" s="1"/>
  <c r="AG103" i="1" a="1"/>
  <c r="AG103" i="1" s="1"/>
  <c r="AG102" i="1" a="1"/>
  <c r="AG102" i="1" s="1"/>
  <c r="AG101" i="1" a="1"/>
  <c r="AG101" i="1" s="1"/>
  <c r="AG100" i="1" a="1"/>
  <c r="AG100" i="1" s="1"/>
  <c r="AG84" i="1" a="1"/>
  <c r="AG84" i="1" s="1"/>
  <c r="AG83" i="1" a="1"/>
  <c r="AG83" i="1" s="1"/>
  <c r="AG82" i="1" a="1"/>
  <c r="AG82" i="1" s="1"/>
  <c r="AG81" i="1" a="1"/>
  <c r="AG81" i="1" s="1"/>
  <c r="AG80" i="1" a="1"/>
  <c r="AG80" i="1" s="1"/>
  <c r="AG79" i="1" a="1"/>
  <c r="AG79" i="1" s="1"/>
  <c r="AG78" i="1" a="1"/>
  <c r="AG78" i="1" s="1"/>
  <c r="AG77" i="1" a="1"/>
  <c r="AG77" i="1" s="1"/>
  <c r="AG76" i="1" a="1"/>
  <c r="AG76" i="1" s="1"/>
  <c r="AG75" i="1" a="1"/>
  <c r="AG75" i="1" s="1"/>
  <c r="AG74" i="1" a="1"/>
  <c r="AG74" i="1" s="1"/>
  <c r="AG73" i="1" a="1"/>
  <c r="AG73" i="1" s="1"/>
  <c r="AG72" i="1" a="1"/>
  <c r="AG72" i="1" s="1"/>
  <c r="AG71" i="1" a="1"/>
  <c r="AG71" i="1" s="1"/>
  <c r="AG70" i="1" a="1"/>
  <c r="AG70" i="1" s="1"/>
  <c r="AG69" i="1" a="1"/>
  <c r="AG69" i="1" s="1"/>
  <c r="AG68" i="1" a="1"/>
  <c r="AG68" i="1" s="1"/>
  <c r="AG67" i="1" a="1"/>
  <c r="AG67" i="1" s="1"/>
  <c r="AG66" i="1" a="1"/>
  <c r="AG66" i="1" s="1"/>
  <c r="AG65" i="1" a="1"/>
  <c r="AG65" i="1" s="1"/>
  <c r="AG64" i="1" a="1"/>
  <c r="AG64" i="1" s="1"/>
  <c r="AG63" i="1" a="1"/>
  <c r="AG63" i="1" s="1"/>
  <c r="AG62" i="1" a="1"/>
  <c r="AG62" i="1" s="1"/>
  <c r="AG61" i="1" a="1"/>
  <c r="AG61" i="1" s="1"/>
  <c r="AG60" i="1" a="1"/>
  <c r="AG60" i="1" s="1"/>
  <c r="AG59" i="1" a="1"/>
  <c r="AG59" i="1" s="1"/>
  <c r="AG58" i="1" a="1"/>
  <c r="AG58" i="1" s="1"/>
  <c r="AG57" i="1" a="1"/>
  <c r="AG57" i="1" s="1"/>
  <c r="AG56" i="1" a="1"/>
  <c r="AG56" i="1" s="1"/>
  <c r="AG55" i="1" a="1"/>
  <c r="AG55" i="1" s="1"/>
  <c r="AG54" i="1" a="1"/>
  <c r="AG54" i="1" s="1"/>
  <c r="AG53" i="1" a="1"/>
  <c r="AG53" i="1" s="1"/>
  <c r="AG52" i="1" a="1"/>
  <c r="AG52" i="1" s="1"/>
  <c r="AG51" i="1" a="1"/>
  <c r="AG51" i="1" s="1"/>
  <c r="AG50" i="1" a="1"/>
  <c r="AG50" i="1" s="1"/>
  <c r="AG49" i="1" a="1"/>
  <c r="AG49" i="1" s="1"/>
  <c r="AG48" i="1" a="1"/>
  <c r="AG48" i="1" s="1"/>
  <c r="AG47" i="1" a="1"/>
  <c r="AG47" i="1" s="1"/>
  <c r="AG46" i="1" a="1"/>
  <c r="AG46" i="1" s="1"/>
  <c r="AG45" i="1" a="1"/>
  <c r="AG45" i="1" s="1"/>
  <c r="AI168" i="1" l="1" a="1"/>
  <c r="AI168" i="1" s="1"/>
  <c r="AI167" i="1" a="1"/>
  <c r="AI167" i="1" s="1"/>
  <c r="AI166" i="1" a="1"/>
  <c r="AI166" i="1" s="1"/>
  <c r="AI162" i="1" a="1"/>
  <c r="AI162" i="1" s="1"/>
  <c r="AI161" i="1" a="1"/>
  <c r="AI161" i="1" s="1"/>
  <c r="AI160" i="1" a="1"/>
  <c r="AI160" i="1" s="1"/>
  <c r="AI159" i="1" a="1"/>
  <c r="AI159" i="1" s="1"/>
  <c r="AI158" i="1" a="1"/>
  <c r="AI158" i="1" s="1"/>
  <c r="AI157" i="1" a="1"/>
  <c r="AI157" i="1" s="1"/>
  <c r="AI156" i="1" a="1"/>
  <c r="AI156" i="1" s="1"/>
  <c r="AI155" i="1" a="1"/>
  <c r="AI155" i="1" s="1"/>
  <c r="AI154" i="1" a="1"/>
  <c r="AI154" i="1" s="1"/>
  <c r="AI153" i="1" a="1"/>
  <c r="AI153" i="1" s="1"/>
  <c r="AI152" i="1" a="1"/>
  <c r="AI152" i="1" s="1"/>
  <c r="AI151" i="1" a="1"/>
  <c r="AI151" i="1" s="1"/>
  <c r="AI150" i="1" a="1"/>
  <c r="AI150" i="1" s="1"/>
  <c r="AI149" i="1" a="1"/>
  <c r="AI149" i="1" s="1"/>
  <c r="AI148" i="1" a="1"/>
  <c r="AI148" i="1" s="1"/>
  <c r="AI147" i="1" a="1"/>
  <c r="AI147" i="1" s="1"/>
  <c r="AI146" i="1" a="1"/>
  <c r="AI146" i="1" s="1"/>
  <c r="AI145" i="1" a="1"/>
  <c r="AI145" i="1" s="1"/>
  <c r="AI144" i="1" a="1"/>
  <c r="AI144" i="1" s="1"/>
  <c r="AI143" i="1" a="1"/>
  <c r="AI143" i="1" s="1"/>
  <c r="AI142" i="1" a="1"/>
  <c r="AI142" i="1" s="1"/>
  <c r="AI106" i="1" a="1"/>
  <c r="AI106" i="1" s="1"/>
  <c r="AI105" i="1" a="1"/>
  <c r="AI105" i="1" s="1"/>
  <c r="AI104" i="1" a="1"/>
  <c r="AI104" i="1" s="1"/>
  <c r="AI103" i="1" a="1"/>
  <c r="AI103" i="1" s="1"/>
  <c r="AI102" i="1" a="1"/>
  <c r="AI102" i="1" s="1"/>
  <c r="AI101" i="1" a="1"/>
  <c r="AI101" i="1" s="1"/>
  <c r="AI100" i="1" a="1"/>
  <c r="AI100" i="1" s="1"/>
  <c r="AI99" i="1" a="1"/>
  <c r="AI99" i="1" s="1"/>
  <c r="AI98" i="1" a="1"/>
  <c r="AI98" i="1" s="1"/>
  <c r="AI97" i="1" a="1"/>
  <c r="AI97" i="1" s="1"/>
  <c r="AI96" i="1" a="1"/>
  <c r="AI96" i="1" s="1"/>
  <c r="AI95" i="1" a="1"/>
  <c r="AI95" i="1" s="1"/>
  <c r="AI94" i="1" a="1"/>
  <c r="AI94" i="1" s="1"/>
  <c r="AI93" i="1" a="1"/>
  <c r="AI93" i="1" s="1"/>
  <c r="AI92" i="1" a="1"/>
  <c r="AI92" i="1" s="1"/>
  <c r="AI91" i="1" a="1"/>
  <c r="AI91" i="1" s="1"/>
  <c r="AI90" i="1" a="1"/>
  <c r="AI90" i="1" s="1"/>
  <c r="AI89" i="1" a="1"/>
  <c r="AI89" i="1" s="1"/>
  <c r="AI88" i="1" a="1"/>
  <c r="AI88" i="1" s="1"/>
  <c r="AI87" i="1" a="1"/>
  <c r="AI87" i="1" s="1"/>
  <c r="AI86" i="1" a="1"/>
  <c r="AI86" i="1" s="1"/>
  <c r="AI85" i="1" a="1"/>
  <c r="AI85" i="1" s="1"/>
  <c r="AI84" i="1" a="1"/>
  <c r="AI84" i="1" s="1"/>
  <c r="AI83" i="1" a="1"/>
  <c r="AI83" i="1" s="1"/>
  <c r="AI82" i="1" a="1"/>
  <c r="AI82" i="1" s="1"/>
  <c r="AI81" i="1" a="1"/>
  <c r="AI81" i="1" s="1"/>
  <c r="AI80" i="1" a="1"/>
  <c r="AI80" i="1" s="1"/>
  <c r="AI79" i="1" a="1"/>
  <c r="AI79" i="1" s="1"/>
  <c r="AI78" i="1" a="1"/>
  <c r="AI78" i="1" s="1"/>
  <c r="AI77" i="1" a="1"/>
  <c r="AI77" i="1" s="1"/>
  <c r="AI76" i="1" a="1"/>
  <c r="AI76" i="1" s="1"/>
  <c r="AI75" i="1" a="1"/>
  <c r="AI75" i="1" s="1"/>
  <c r="AI74" i="1" a="1"/>
  <c r="AI74" i="1" s="1"/>
  <c r="AI73" i="1" a="1"/>
  <c r="AI73" i="1" s="1"/>
  <c r="AI72" i="1" a="1"/>
  <c r="AI72" i="1" s="1"/>
  <c r="AI71" i="1" a="1"/>
  <c r="AI71" i="1" s="1"/>
  <c r="AI70" i="1" a="1"/>
  <c r="AI70" i="1" s="1"/>
  <c r="AI69" i="1" a="1"/>
  <c r="AI69" i="1" s="1"/>
  <c r="AI68" i="1" a="1"/>
  <c r="AI68" i="1" s="1"/>
  <c r="AI67" i="1" a="1"/>
  <c r="AI67" i="1" s="1"/>
  <c r="AI66" i="1" a="1"/>
  <c r="AI66" i="1" s="1"/>
  <c r="AI65" i="1" a="1"/>
  <c r="AI65" i="1" s="1"/>
  <c r="AI64" i="1" a="1"/>
  <c r="AI64" i="1" s="1"/>
  <c r="AI63" i="1" a="1"/>
  <c r="AI63" i="1" s="1"/>
  <c r="AI62" i="1" a="1"/>
  <c r="AI62" i="1" s="1"/>
  <c r="AI61" i="1" a="1"/>
  <c r="AI61" i="1" s="1"/>
  <c r="AI60" i="1" a="1"/>
  <c r="AI60" i="1" s="1"/>
  <c r="AI59" i="1" a="1"/>
  <c r="AI59" i="1" s="1"/>
  <c r="AI58" i="1" a="1"/>
  <c r="AI58" i="1" s="1"/>
  <c r="AI57" i="1" a="1"/>
  <c r="AI57" i="1" s="1"/>
  <c r="AI56" i="1" a="1"/>
  <c r="AI56" i="1" s="1"/>
  <c r="AI55" i="1" a="1"/>
  <c r="AI55" i="1" s="1"/>
  <c r="AI54" i="1" a="1"/>
  <c r="AI54" i="1" s="1"/>
  <c r="AI53" i="1" a="1"/>
  <c r="AI53" i="1" s="1"/>
  <c r="AI52" i="1" a="1"/>
  <c r="AI52" i="1" s="1"/>
  <c r="AI51" i="1" a="1"/>
  <c r="AI51" i="1" s="1"/>
  <c r="AI50" i="1" a="1"/>
  <c r="AI50" i="1" s="1"/>
  <c r="AI49" i="1" a="1"/>
  <c r="AI49" i="1" s="1"/>
  <c r="AI48" i="1" a="1"/>
  <c r="AI48" i="1" s="1"/>
  <c r="AI47" i="1" a="1"/>
  <c r="AI47" i="1" s="1"/>
  <c r="AI46" i="1" a="1"/>
  <c r="AI46" i="1" s="1"/>
  <c r="AI45" i="1" a="1"/>
  <c r="AI45" i="1" s="1"/>
  <c r="AE143" i="1" a="1"/>
  <c r="AE143" i="1" s="1"/>
  <c r="AE142" i="1" a="1"/>
  <c r="AE142" i="1" s="1"/>
  <c r="AE141" i="1" a="1"/>
  <c r="AE141" i="1" s="1"/>
  <c r="AE140" i="1" a="1"/>
  <c r="AE140" i="1" s="1"/>
  <c r="AE139" i="1" a="1"/>
  <c r="AE139" i="1" s="1"/>
  <c r="AE138" i="1" a="1"/>
  <c r="AE138" i="1" s="1"/>
  <c r="AE137" i="1" a="1"/>
  <c r="AE137" i="1" s="1"/>
  <c r="AE136" i="1" a="1"/>
  <c r="AE136" i="1" s="1"/>
  <c r="AE135" i="1" a="1"/>
  <c r="AE135" i="1" s="1"/>
  <c r="AE134" i="1" a="1"/>
  <c r="AE134" i="1" s="1"/>
  <c r="AE133" i="1" a="1"/>
  <c r="AE133" i="1" s="1"/>
  <c r="AE132" i="1" a="1"/>
  <c r="AE132" i="1" s="1"/>
  <c r="AE131" i="1" a="1"/>
  <c r="AE131" i="1" s="1"/>
  <c r="AE130" i="1" a="1"/>
  <c r="AE130" i="1" s="1"/>
  <c r="AE129" i="1" a="1"/>
  <c r="AE129" i="1" s="1"/>
  <c r="AE128" i="1" a="1"/>
  <c r="AE128" i="1" s="1"/>
  <c r="AE127" i="1" a="1"/>
  <c r="AE127" i="1" s="1"/>
  <c r="AE126" i="1" a="1"/>
  <c r="AE126" i="1" s="1"/>
  <c r="AE125" i="1" a="1"/>
  <c r="AE125" i="1" s="1"/>
  <c r="AE124" i="1" a="1"/>
  <c r="AE124" i="1" s="1"/>
  <c r="AE123" i="1" a="1"/>
  <c r="AE123" i="1" s="1"/>
  <c r="AE122" i="1" a="1"/>
  <c r="AE122" i="1" s="1"/>
  <c r="AE121" i="1" a="1"/>
  <c r="AE121" i="1" s="1"/>
  <c r="AE120" i="1" a="1"/>
  <c r="AE120" i="1" s="1"/>
  <c r="AE119" i="1" a="1"/>
  <c r="AE119" i="1" s="1"/>
  <c r="AE118" i="1" a="1"/>
  <c r="AE118" i="1" s="1"/>
  <c r="AE117" i="1" a="1"/>
  <c r="AE117" i="1" s="1"/>
  <c r="AE116" i="1" a="1"/>
  <c r="AE116" i="1" s="1"/>
  <c r="AE115" i="1" a="1"/>
  <c r="AE115" i="1" s="1"/>
  <c r="AE114" i="1" a="1"/>
  <c r="AE114" i="1" s="1"/>
  <c r="AE113" i="1" a="1"/>
  <c r="AE113" i="1" s="1"/>
  <c r="AE112" i="1" a="1"/>
  <c r="AE112" i="1" s="1"/>
  <c r="AE111" i="1" a="1"/>
  <c r="AE111" i="1" s="1"/>
  <c r="AE110" i="1" a="1"/>
  <c r="AE110" i="1" s="1"/>
  <c r="AE109" i="1" a="1"/>
  <c r="AE109" i="1" s="1"/>
  <c r="AE108" i="1" a="1"/>
  <c r="AE108" i="1" s="1"/>
  <c r="AE107" i="1" a="1"/>
  <c r="AE107" i="1" s="1"/>
  <c r="AE99" i="1" a="1"/>
  <c r="AE99" i="1" s="1"/>
  <c r="AE98" i="1" a="1"/>
  <c r="AE98" i="1" s="1"/>
  <c r="AE97" i="1" a="1"/>
  <c r="AE97" i="1" s="1"/>
  <c r="AE96" i="1" a="1"/>
  <c r="AE96" i="1" s="1"/>
  <c r="AE95" i="1" a="1"/>
  <c r="AE95" i="1" s="1"/>
  <c r="AE94" i="1" a="1"/>
  <c r="AE94" i="1" s="1"/>
  <c r="AE93" i="1" a="1"/>
  <c r="AE93" i="1" s="1"/>
  <c r="AE92" i="1" a="1"/>
  <c r="AE92" i="1" s="1"/>
  <c r="AE91" i="1" a="1"/>
  <c r="AE91" i="1" s="1"/>
  <c r="AE90" i="1" a="1"/>
  <c r="AE90" i="1" s="1"/>
  <c r="AE89" i="1" a="1"/>
  <c r="AE89" i="1" s="1"/>
  <c r="AE88" i="1" a="1"/>
  <c r="AE88" i="1" s="1"/>
  <c r="AE87" i="1" a="1"/>
  <c r="AE87" i="1" s="1"/>
  <c r="AE86" i="1" a="1"/>
  <c r="AE86" i="1" s="1"/>
  <c r="AE85" i="1" a="1"/>
  <c r="AE85" i="1" s="1"/>
  <c r="AK143" i="1" l="1"/>
  <c r="AK142" i="1"/>
  <c r="M156" i="5" a="1"/>
  <c r="M156" i="5" s="1"/>
  <c r="M155" i="5" a="1"/>
  <c r="M155" i="5" s="1"/>
  <c r="M154" i="5" a="1"/>
  <c r="M154" i="5" s="1"/>
  <c r="M153" i="5" a="1"/>
  <c r="M153" i="5" s="1"/>
  <c r="M152" i="5" a="1"/>
  <c r="M152" i="5" s="1"/>
  <c r="M151" i="5" a="1"/>
  <c r="M151" i="5" s="1"/>
  <c r="M150" i="5" a="1"/>
  <c r="M150" i="5" s="1"/>
  <c r="M149" i="5" a="1"/>
  <c r="M149" i="5" s="1"/>
  <c r="M148" i="5" a="1"/>
  <c r="M148" i="5" s="1"/>
  <c r="M147" i="5" a="1"/>
  <c r="M147" i="5" s="1"/>
  <c r="M146" i="5" a="1"/>
  <c r="M146" i="5" s="1"/>
  <c r="M145" i="5" a="1"/>
  <c r="M145" i="5" s="1"/>
  <c r="M144" i="5" a="1"/>
  <c r="M144" i="5" s="1"/>
  <c r="M143" i="5" a="1"/>
  <c r="M143" i="5" s="1"/>
  <c r="M142" i="5" a="1"/>
  <c r="M142" i="5" s="1"/>
  <c r="M141" i="5" a="1"/>
  <c r="M141" i="5" s="1"/>
  <c r="M140" i="5" a="1"/>
  <c r="M140" i="5" s="1"/>
  <c r="M139" i="5" a="1"/>
  <c r="M139" i="5" s="1"/>
  <c r="M138" i="5" a="1"/>
  <c r="M138" i="5" s="1"/>
  <c r="M137" i="5" a="1"/>
  <c r="M137" i="5" s="1"/>
  <c r="M136" i="5" a="1"/>
  <c r="M136" i="5" s="1"/>
  <c r="M135" i="5" a="1"/>
  <c r="M135" i="5" s="1"/>
  <c r="M134" i="5" a="1"/>
  <c r="M134" i="5" s="1"/>
  <c r="M133" i="5" a="1"/>
  <c r="M133" i="5" s="1"/>
  <c r="M132" i="5" a="1"/>
  <c r="M132" i="5" s="1"/>
  <c r="M131" i="5" a="1"/>
  <c r="M131" i="5" s="1"/>
  <c r="M130" i="5" a="1"/>
  <c r="M130" i="5" s="1"/>
  <c r="M129" i="5" a="1"/>
  <c r="M129" i="5" s="1"/>
  <c r="M128" i="5" a="1"/>
  <c r="M128" i="5" s="1"/>
  <c r="M127" i="5" a="1"/>
  <c r="M127" i="5" s="1"/>
  <c r="M126" i="5" a="1"/>
  <c r="M126" i="5" s="1"/>
  <c r="M125" i="5" a="1"/>
  <c r="M125" i="5" s="1"/>
  <c r="M124" i="5" a="1"/>
  <c r="M124" i="5" s="1"/>
  <c r="M123" i="5" a="1"/>
  <c r="M123" i="5" s="1"/>
  <c r="M122" i="5" a="1"/>
  <c r="M122" i="5" s="1"/>
  <c r="M121" i="5" a="1"/>
  <c r="M121" i="5" s="1"/>
  <c r="M120" i="5" a="1"/>
  <c r="M120" i="5" s="1"/>
  <c r="M119" i="5" a="1"/>
  <c r="M119" i="5" s="1"/>
  <c r="M118" i="5" a="1"/>
  <c r="M118" i="5" s="1"/>
  <c r="M117" i="5" a="1"/>
  <c r="M117" i="5" s="1"/>
  <c r="M116" i="5" a="1"/>
  <c r="M116" i="5" s="1"/>
  <c r="M115" i="5" a="1"/>
  <c r="M115" i="5" s="1"/>
  <c r="M114" i="5" a="1"/>
  <c r="M114" i="5" s="1"/>
  <c r="M113" i="5" a="1"/>
  <c r="M113" i="5" s="1"/>
  <c r="M112" i="5" a="1"/>
  <c r="M112" i="5" s="1"/>
  <c r="M111" i="5" a="1"/>
  <c r="M111" i="5" s="1"/>
  <c r="M110" i="5" a="1"/>
  <c r="M110" i="5" s="1"/>
  <c r="M109" i="5" a="1"/>
  <c r="M109" i="5" s="1"/>
  <c r="M108" i="5" a="1"/>
  <c r="M108" i="5" s="1"/>
  <c r="M107" i="5" a="1"/>
  <c r="M107" i="5" s="1"/>
  <c r="M106" i="5" a="1"/>
  <c r="M106" i="5" s="1"/>
  <c r="M105" i="5" a="1"/>
  <c r="M105" i="5" s="1"/>
  <c r="M104" i="5" a="1"/>
  <c r="M104" i="5" s="1"/>
  <c r="M103" i="5" a="1"/>
  <c r="M103" i="5" s="1"/>
  <c r="M102" i="5" a="1"/>
  <c r="M102" i="5" s="1"/>
  <c r="M101" i="5" a="1"/>
  <c r="M101" i="5" s="1"/>
  <c r="M100" i="5" a="1"/>
  <c r="M100" i="5" s="1"/>
  <c r="M99" i="5" a="1"/>
  <c r="M99" i="5" s="1"/>
  <c r="M98" i="5" a="1"/>
  <c r="M98" i="5" s="1"/>
  <c r="M97" i="5" a="1"/>
  <c r="M97" i="5" s="1"/>
  <c r="M96" i="5" a="1"/>
  <c r="M96" i="5" s="1"/>
  <c r="M95" i="5" a="1"/>
  <c r="M95" i="5" s="1"/>
  <c r="M94" i="5" a="1"/>
  <c r="M94" i="5" s="1"/>
  <c r="M93" i="5" a="1"/>
  <c r="M93" i="5" s="1"/>
  <c r="M92" i="5" a="1"/>
  <c r="M92" i="5" s="1"/>
  <c r="M91" i="5" a="1"/>
  <c r="M91" i="5" s="1"/>
  <c r="M90" i="5" a="1"/>
  <c r="M90" i="5" s="1"/>
  <c r="M89" i="5" a="1"/>
  <c r="M89" i="5" s="1"/>
  <c r="M88" i="5" a="1"/>
  <c r="M88" i="5" s="1"/>
  <c r="M87" i="5" a="1"/>
  <c r="M87" i="5" s="1"/>
  <c r="M86" i="5" a="1"/>
  <c r="M86" i="5" s="1"/>
  <c r="M85" i="5" a="1"/>
  <c r="M85" i="5" s="1"/>
  <c r="M84" i="5" a="1"/>
  <c r="M84" i="5" s="1"/>
  <c r="M83" i="5" a="1"/>
  <c r="M83" i="5" s="1"/>
  <c r="M82" i="5" a="1"/>
  <c r="M82" i="5" s="1"/>
  <c r="M81" i="5" a="1"/>
  <c r="M81" i="5" s="1"/>
  <c r="M80" i="5" a="1"/>
  <c r="M80" i="5" s="1"/>
  <c r="M79" i="5" a="1"/>
  <c r="M79" i="5" s="1"/>
  <c r="M78" i="5" a="1"/>
  <c r="M78" i="5" s="1"/>
  <c r="M77" i="5" a="1"/>
  <c r="M77" i="5" s="1"/>
  <c r="M76" i="5" a="1"/>
  <c r="M76" i="5" s="1"/>
  <c r="M75" i="5" a="1"/>
  <c r="M75" i="5" s="1"/>
  <c r="M74" i="5" a="1"/>
  <c r="M74" i="5" s="1"/>
  <c r="M73" i="5" a="1"/>
  <c r="M73" i="5" s="1"/>
  <c r="M72" i="5" a="1"/>
  <c r="M72" i="5" s="1"/>
  <c r="M71" i="5" a="1"/>
  <c r="M71" i="5" s="1"/>
  <c r="M70" i="5" a="1"/>
  <c r="M70" i="5" s="1"/>
  <c r="M69" i="5" a="1"/>
  <c r="M69" i="5" s="1"/>
  <c r="M68" i="5" a="1"/>
  <c r="M68" i="5" s="1"/>
  <c r="M67" i="5" a="1"/>
  <c r="M67" i="5" s="1"/>
  <c r="M66" i="5" a="1"/>
  <c r="M66" i="5" s="1"/>
  <c r="M65" i="5" a="1"/>
  <c r="M65" i="5" s="1"/>
  <c r="M64" i="5" a="1"/>
  <c r="M64" i="5" s="1"/>
  <c r="M63" i="5" a="1"/>
  <c r="M63" i="5" s="1"/>
  <c r="M62" i="5" a="1"/>
  <c r="M62" i="5" s="1"/>
  <c r="M61" i="5" a="1"/>
  <c r="M61" i="5" s="1"/>
  <c r="M60" i="5" a="1"/>
  <c r="M60" i="5" s="1"/>
  <c r="M59" i="5" a="1"/>
  <c r="M59" i="5" s="1"/>
  <c r="M58" i="5" a="1"/>
  <c r="M58" i="5" s="1"/>
  <c r="M57" i="5" a="1"/>
  <c r="M57" i="5" s="1"/>
  <c r="M56" i="5" a="1"/>
  <c r="M56" i="5" s="1"/>
  <c r="M55" i="5" a="1"/>
  <c r="M55" i="5" s="1"/>
  <c r="M54" i="5" a="1"/>
  <c r="M54" i="5" s="1"/>
  <c r="M53" i="5" a="1"/>
  <c r="M53" i="5" s="1"/>
  <c r="M52" i="5" a="1"/>
  <c r="M52" i="5" s="1"/>
  <c r="M51" i="5" a="1"/>
  <c r="M51" i="5" s="1"/>
  <c r="M50" i="5" a="1"/>
  <c r="M50" i="5" s="1"/>
  <c r="M49" i="5" a="1"/>
  <c r="M49" i="5" s="1"/>
  <c r="M48" i="5" a="1"/>
  <c r="M48" i="5" s="1"/>
  <c r="M47" i="5" a="1"/>
  <c r="M47" i="5" s="1"/>
  <c r="M46" i="5" a="1"/>
  <c r="M46" i="5" s="1"/>
  <c r="M45" i="5" a="1"/>
  <c r="M45" i="5" s="1"/>
  <c r="M44" i="5" a="1"/>
  <c r="M44" i="5" s="1"/>
  <c r="M43" i="5" a="1"/>
  <c r="M43" i="5" s="1"/>
  <c r="M42" i="5" a="1"/>
  <c r="M42" i="5" s="1"/>
  <c r="M41" i="5" a="1"/>
  <c r="M41" i="5" s="1"/>
  <c r="M40" i="5" a="1"/>
  <c r="M40" i="5" s="1"/>
  <c r="M39" i="5" a="1"/>
  <c r="M39" i="5" s="1"/>
  <c r="M38" i="5" a="1"/>
  <c r="M38" i="5" s="1"/>
  <c r="M37" i="5" a="1"/>
  <c r="M37" i="5" s="1"/>
  <c r="M36" i="5" a="1"/>
  <c r="M36" i="5" s="1"/>
  <c r="M35" i="5" a="1"/>
  <c r="M35" i="5" s="1"/>
  <c r="M34" i="5" a="1"/>
  <c r="M34" i="5" s="1"/>
  <c r="M33" i="5" a="1"/>
  <c r="M33" i="5" s="1"/>
  <c r="O40" i="5" l="1"/>
  <c r="O48" i="5"/>
  <c r="O34" i="5"/>
  <c r="O38" i="5"/>
  <c r="O42" i="5"/>
  <c r="O46" i="5"/>
  <c r="O50" i="5"/>
  <c r="O54" i="5"/>
  <c r="O58" i="5"/>
  <c r="O62" i="5"/>
  <c r="O66" i="5"/>
  <c r="O70" i="5"/>
  <c r="O74" i="5"/>
  <c r="O78" i="5"/>
  <c r="O82" i="5"/>
  <c r="O86" i="5"/>
  <c r="O90" i="5"/>
  <c r="O94" i="5"/>
  <c r="O98" i="5"/>
  <c r="O102" i="5"/>
  <c r="O106" i="5"/>
  <c r="O110" i="5"/>
  <c r="O114" i="5"/>
  <c r="O118" i="5"/>
  <c r="O122" i="5"/>
  <c r="O126" i="5"/>
  <c r="O130" i="5"/>
  <c r="O134" i="5"/>
  <c r="O138" i="5"/>
  <c r="O142" i="5"/>
  <c r="O146" i="5"/>
  <c r="O150" i="5"/>
  <c r="O154" i="5"/>
  <c r="O35" i="5"/>
  <c r="O39" i="5"/>
  <c r="O43" i="5"/>
  <c r="O47" i="5"/>
  <c r="O51" i="5"/>
  <c r="O55" i="5"/>
  <c r="O59" i="5"/>
  <c r="O63" i="5"/>
  <c r="O67" i="5"/>
  <c r="O71" i="5"/>
  <c r="O75" i="5"/>
  <c r="O79" i="5"/>
  <c r="O83" i="5"/>
  <c r="O87" i="5"/>
  <c r="O91" i="5"/>
  <c r="O95" i="5"/>
  <c r="O99" i="5"/>
  <c r="O103" i="5"/>
  <c r="O107" i="5"/>
  <c r="O111" i="5"/>
  <c r="O115" i="5"/>
  <c r="O119" i="5"/>
  <c r="O123" i="5"/>
  <c r="O127" i="5"/>
  <c r="O131" i="5"/>
  <c r="O135" i="5"/>
  <c r="O139" i="5"/>
  <c r="O143" i="5"/>
  <c r="O147" i="5"/>
  <c r="O151" i="5"/>
  <c r="O155" i="5"/>
  <c r="O36" i="5"/>
  <c r="O44" i="5"/>
  <c r="O52" i="5"/>
  <c r="O56" i="5"/>
  <c r="O60" i="5"/>
  <c r="O64" i="5"/>
  <c r="O68" i="5"/>
  <c r="O72" i="5"/>
  <c r="O76" i="5"/>
  <c r="O80" i="5"/>
  <c r="O84" i="5"/>
  <c r="O88" i="5"/>
  <c r="O92" i="5"/>
  <c r="O96" i="5"/>
  <c r="O100" i="5"/>
  <c r="O104" i="5"/>
  <c r="O108" i="5"/>
  <c r="O112" i="5"/>
  <c r="O116" i="5"/>
  <c r="O120" i="5"/>
  <c r="O124" i="5"/>
  <c r="O128" i="5"/>
  <c r="O132" i="5"/>
  <c r="O136" i="5"/>
  <c r="O140" i="5"/>
  <c r="O144" i="5"/>
  <c r="O148" i="5"/>
  <c r="O152" i="5"/>
  <c r="O156" i="5"/>
  <c r="AM142" i="1"/>
  <c r="O33" i="5"/>
  <c r="O37" i="5"/>
  <c r="O41" i="5"/>
  <c r="O45" i="5"/>
  <c r="O49" i="5"/>
  <c r="O53" i="5"/>
  <c r="O57" i="5"/>
  <c r="O61" i="5"/>
  <c r="O65" i="5"/>
  <c r="O69" i="5"/>
  <c r="O73" i="5"/>
  <c r="O77" i="5"/>
  <c r="O81" i="5"/>
  <c r="O85" i="5"/>
  <c r="O89" i="5"/>
  <c r="O93" i="5"/>
  <c r="O97" i="5"/>
  <c r="O101" i="5"/>
  <c r="O105" i="5"/>
  <c r="O109" i="5"/>
  <c r="O113" i="5"/>
  <c r="O117" i="5"/>
  <c r="O121" i="5"/>
  <c r="O125" i="5"/>
  <c r="O129" i="5"/>
  <c r="O133" i="5"/>
  <c r="O137" i="5"/>
  <c r="O141" i="5"/>
  <c r="O145" i="5"/>
  <c r="O149" i="5"/>
  <c r="O153" i="5"/>
  <c r="AM143" i="1"/>
  <c r="AG44" i="1" a="1"/>
  <c r="AG44" i="1" s="1"/>
  <c r="AE44" i="1" a="1"/>
  <c r="AE44" i="1" s="1"/>
  <c r="P13" i="6" l="1"/>
  <c r="P14" i="6"/>
  <c r="N16" i="6" l="1"/>
  <c r="P16" i="6"/>
  <c r="AC168" i="1" l="1"/>
  <c r="AA168" i="1"/>
  <c r="AC167" i="1"/>
  <c r="AA167" i="1"/>
  <c r="AC166" i="1"/>
  <c r="AA166" i="1"/>
  <c r="AC162" i="1"/>
  <c r="AA162" i="1"/>
  <c r="AC161" i="1"/>
  <c r="AA161" i="1"/>
  <c r="AC160" i="1"/>
  <c r="AA160" i="1"/>
  <c r="AC159" i="1"/>
  <c r="AA159" i="1"/>
  <c r="AC158" i="1"/>
  <c r="AA158" i="1"/>
  <c r="AC157" i="1"/>
  <c r="AA157" i="1"/>
  <c r="AC156" i="1"/>
  <c r="AA156" i="1"/>
  <c r="AC155" i="1"/>
  <c r="AA155" i="1"/>
  <c r="AC154" i="1"/>
  <c r="AA154" i="1"/>
  <c r="AC153" i="1"/>
  <c r="AA153" i="1"/>
  <c r="AC152" i="1"/>
  <c r="AA152" i="1"/>
  <c r="AC151" i="1"/>
  <c r="AA151" i="1"/>
  <c r="AC150" i="1"/>
  <c r="AA150" i="1"/>
  <c r="AC149" i="1"/>
  <c r="AA149" i="1"/>
  <c r="AC148" i="1"/>
  <c r="AA148" i="1"/>
  <c r="AC147" i="1"/>
  <c r="AA147" i="1"/>
  <c r="AC146" i="1"/>
  <c r="AA146" i="1"/>
  <c r="AC145" i="1"/>
  <c r="AA145" i="1"/>
  <c r="AC144" i="1"/>
  <c r="AA144" i="1"/>
  <c r="AC143" i="1"/>
  <c r="AA143" i="1"/>
  <c r="AC142" i="1"/>
  <c r="AA142" i="1"/>
  <c r="AC59" i="1"/>
  <c r="AA59" i="1"/>
  <c r="AC58" i="1"/>
  <c r="AA58" i="1"/>
  <c r="AC57" i="1"/>
  <c r="AA57" i="1"/>
  <c r="AC56" i="1"/>
  <c r="AA56" i="1"/>
  <c r="AC55" i="1"/>
  <c r="AA55" i="1"/>
  <c r="AC54" i="1"/>
  <c r="AA54" i="1"/>
  <c r="AC141" i="1"/>
  <c r="AA141" i="1"/>
  <c r="AC140" i="1"/>
  <c r="AA140" i="1"/>
  <c r="AC139" i="1"/>
  <c r="AA139" i="1"/>
  <c r="AC138" i="1"/>
  <c r="AA138" i="1"/>
  <c r="AC137" i="1"/>
  <c r="AA137" i="1"/>
  <c r="AC136" i="1"/>
  <c r="AA136" i="1"/>
  <c r="AC135" i="1"/>
  <c r="AA135" i="1"/>
  <c r="AC134" i="1"/>
  <c r="AA134" i="1"/>
  <c r="AC133" i="1"/>
  <c r="AA133" i="1"/>
  <c r="AC132" i="1"/>
  <c r="AA132" i="1"/>
  <c r="AC131" i="1"/>
  <c r="AA131" i="1"/>
  <c r="AC130" i="1"/>
  <c r="AA130" i="1"/>
  <c r="AC129" i="1"/>
  <c r="AA129" i="1"/>
  <c r="AC128" i="1"/>
  <c r="AA128" i="1"/>
  <c r="AC127" i="1"/>
  <c r="AA127" i="1"/>
  <c r="AC126" i="1"/>
  <c r="AA126" i="1"/>
  <c r="AC125" i="1"/>
  <c r="AA125" i="1"/>
  <c r="AC124" i="1"/>
  <c r="AA124" i="1"/>
  <c r="AC123" i="1"/>
  <c r="AA123" i="1"/>
  <c r="AC122" i="1"/>
  <c r="AA122" i="1"/>
  <c r="AC121" i="1"/>
  <c r="AA121" i="1"/>
  <c r="AC120" i="1"/>
  <c r="AA120" i="1"/>
  <c r="AC119" i="1"/>
  <c r="AA119" i="1"/>
  <c r="AC118" i="1"/>
  <c r="AA118" i="1"/>
  <c r="AC117" i="1"/>
  <c r="AA117" i="1"/>
  <c r="AC116" i="1"/>
  <c r="AA116" i="1"/>
  <c r="AC115" i="1"/>
  <c r="AA115" i="1"/>
  <c r="AC114" i="1"/>
  <c r="AA114" i="1"/>
  <c r="AC113" i="1"/>
  <c r="AA113" i="1"/>
  <c r="AC112" i="1"/>
  <c r="AA112" i="1"/>
  <c r="AC111" i="1"/>
  <c r="AA111" i="1"/>
  <c r="AC110" i="1"/>
  <c r="AA110" i="1"/>
  <c r="AC109" i="1"/>
  <c r="AA109" i="1"/>
  <c r="AC108" i="1"/>
  <c r="AA108" i="1"/>
  <c r="AC107" i="1"/>
  <c r="AA107" i="1"/>
  <c r="AC106" i="1"/>
  <c r="AA106" i="1"/>
  <c r="AC105" i="1"/>
  <c r="AA105" i="1"/>
  <c r="AC104" i="1"/>
  <c r="AA104" i="1"/>
  <c r="AC103" i="1"/>
  <c r="AA103" i="1"/>
  <c r="AC102" i="1"/>
  <c r="AA102" i="1"/>
  <c r="AC101" i="1"/>
  <c r="AA101" i="1"/>
  <c r="AC100" i="1"/>
  <c r="AA100" i="1"/>
  <c r="AC99" i="1"/>
  <c r="AA99" i="1"/>
  <c r="AC98" i="1"/>
  <c r="AA98" i="1"/>
  <c r="AC97" i="1"/>
  <c r="AA97" i="1"/>
  <c r="AC96" i="1"/>
  <c r="AA96" i="1"/>
  <c r="AC95" i="1"/>
  <c r="AA95" i="1"/>
  <c r="AC94" i="1"/>
  <c r="AA94" i="1"/>
  <c r="AC93" i="1"/>
  <c r="AA93" i="1"/>
  <c r="AC92" i="1"/>
  <c r="AA92" i="1"/>
  <c r="AC91" i="1"/>
  <c r="AA91" i="1"/>
  <c r="AC90" i="1"/>
  <c r="AA90" i="1"/>
  <c r="AC89" i="1"/>
  <c r="AA89" i="1"/>
  <c r="AC88" i="1"/>
  <c r="AA88" i="1"/>
  <c r="AC87" i="1"/>
  <c r="AA87" i="1"/>
  <c r="AC86" i="1"/>
  <c r="AA86" i="1"/>
  <c r="AC85" i="1"/>
  <c r="AA85" i="1"/>
  <c r="AC84" i="1"/>
  <c r="AA84" i="1"/>
  <c r="AC83" i="1"/>
  <c r="AA83" i="1"/>
  <c r="AC82" i="1"/>
  <c r="AA82" i="1"/>
  <c r="AC81" i="1"/>
  <c r="AA81" i="1"/>
  <c r="AC80" i="1"/>
  <c r="AA80" i="1"/>
  <c r="AC79" i="1"/>
  <c r="AA79" i="1"/>
  <c r="AC78" i="1"/>
  <c r="AA78" i="1"/>
  <c r="AC77" i="1"/>
  <c r="AA77" i="1"/>
  <c r="AC76" i="1"/>
  <c r="AA76" i="1"/>
  <c r="AC75" i="1"/>
  <c r="AA75" i="1"/>
  <c r="AC74" i="1"/>
  <c r="AA74" i="1"/>
  <c r="AC73" i="1"/>
  <c r="AA73" i="1"/>
  <c r="AC72" i="1"/>
  <c r="AA72" i="1"/>
  <c r="AC71" i="1"/>
  <c r="AA71" i="1"/>
  <c r="AC70" i="1"/>
  <c r="AA70" i="1"/>
  <c r="AC69" i="1"/>
  <c r="AA69" i="1"/>
  <c r="AC68" i="1"/>
  <c r="AA68" i="1"/>
  <c r="AC67" i="1"/>
  <c r="AA67" i="1"/>
  <c r="AC66" i="1"/>
  <c r="AA66" i="1"/>
  <c r="AC65" i="1"/>
  <c r="AA65" i="1"/>
  <c r="AC64" i="1"/>
  <c r="AA64" i="1"/>
  <c r="AC63" i="1"/>
  <c r="AA63" i="1"/>
  <c r="AC62" i="1"/>
  <c r="AA62" i="1"/>
  <c r="AC61" i="1"/>
  <c r="AA61" i="1"/>
  <c r="AC60" i="1"/>
  <c r="AA60" i="1"/>
  <c r="AC53" i="1"/>
  <c r="AA53" i="1"/>
  <c r="AC52" i="1"/>
  <c r="AA52" i="1"/>
  <c r="AC51" i="1"/>
  <c r="AA51" i="1"/>
  <c r="AC50" i="1"/>
  <c r="AA50" i="1"/>
  <c r="AC49" i="1"/>
  <c r="AA49" i="1"/>
  <c r="AC48" i="1"/>
  <c r="AA48" i="1"/>
  <c r="AC47" i="1"/>
  <c r="AA47" i="1"/>
  <c r="AC46" i="1"/>
  <c r="AA46" i="1"/>
  <c r="AC45" i="1"/>
  <c r="AA45" i="1"/>
  <c r="AC44" i="1"/>
  <c r="AA44" i="1"/>
  <c r="AI44" i="1" l="1" a="1"/>
  <c r="AI44" i="1" s="1"/>
  <c r="AK44" i="1" s="1"/>
  <c r="AE50" i="1" a="1"/>
  <c r="AE50" i="1" s="1"/>
  <c r="AK50" i="1" s="1"/>
  <c r="AE62" i="1" a="1"/>
  <c r="AE62" i="1" s="1"/>
  <c r="AK62" i="1" s="1"/>
  <c r="AE70" i="1" a="1"/>
  <c r="AE70" i="1" s="1"/>
  <c r="AK70" i="1" s="1"/>
  <c r="AE78" i="1" a="1"/>
  <c r="AE78" i="1" s="1"/>
  <c r="AK78" i="1" s="1"/>
  <c r="AE102" i="1" a="1"/>
  <c r="AE102" i="1" s="1"/>
  <c r="AK102" i="1" s="1"/>
  <c r="AE148" i="1" a="1"/>
  <c r="AE148" i="1" s="1"/>
  <c r="AK148" i="1" s="1"/>
  <c r="AE156" i="1" a="1"/>
  <c r="AE156" i="1" s="1"/>
  <c r="AK156" i="1" s="1"/>
  <c r="AE167" i="1" a="1"/>
  <c r="AE167" i="1" s="1"/>
  <c r="AK167" i="1" s="1"/>
  <c r="AI109" i="1" a="1"/>
  <c r="AI109" i="1" s="1"/>
  <c r="AK109" i="1" s="1"/>
  <c r="AI113" i="1" a="1"/>
  <c r="AI113" i="1" s="1"/>
  <c r="AK113" i="1" s="1"/>
  <c r="AI117" i="1" a="1"/>
  <c r="AI117" i="1" s="1"/>
  <c r="AK117" i="1" s="1"/>
  <c r="AI121" i="1" a="1"/>
  <c r="AI121" i="1" s="1"/>
  <c r="AK121" i="1" s="1"/>
  <c r="AI125" i="1" a="1"/>
  <c r="AI125" i="1" s="1"/>
  <c r="AK125" i="1" s="1"/>
  <c r="AI129" i="1" a="1"/>
  <c r="AI129" i="1" s="1"/>
  <c r="AK129" i="1" s="1"/>
  <c r="AI133" i="1" a="1"/>
  <c r="AI133" i="1" s="1"/>
  <c r="AK133" i="1" s="1"/>
  <c r="AI135" i="1" a="1"/>
  <c r="AI135" i="1" s="1"/>
  <c r="AK135" i="1" s="1"/>
  <c r="AI137" i="1" a="1"/>
  <c r="AI137" i="1" s="1"/>
  <c r="AK137" i="1" s="1"/>
  <c r="AI141" i="1" a="1"/>
  <c r="AI141" i="1" s="1"/>
  <c r="AK141" i="1" s="1"/>
  <c r="AE47" i="1" a="1"/>
  <c r="AE47" i="1" s="1"/>
  <c r="AK47" i="1" s="1"/>
  <c r="AE55" i="1" a="1"/>
  <c r="AE55" i="1" s="1"/>
  <c r="AK55" i="1" s="1"/>
  <c r="AE67" i="1" a="1"/>
  <c r="AE67" i="1" s="1"/>
  <c r="AK67" i="1" s="1"/>
  <c r="AE75" i="1" a="1"/>
  <c r="AE75" i="1" s="1"/>
  <c r="AK75" i="1" s="1"/>
  <c r="AE83" i="1" a="1"/>
  <c r="AE83" i="1" s="1"/>
  <c r="AK83" i="1" s="1"/>
  <c r="AE159" i="1" a="1"/>
  <c r="AE159" i="1" s="1"/>
  <c r="AK159" i="1" s="1"/>
  <c r="AE48" i="1" a="1"/>
  <c r="AE48" i="1" s="1"/>
  <c r="AK48" i="1" s="1"/>
  <c r="AE52" i="1" a="1"/>
  <c r="AE52" i="1" s="1"/>
  <c r="AK52" i="1" s="1"/>
  <c r="AE56" i="1" a="1"/>
  <c r="AE56" i="1" s="1"/>
  <c r="AK56" i="1" s="1"/>
  <c r="AE60" i="1" a="1"/>
  <c r="AE60" i="1" s="1"/>
  <c r="AK60" i="1" s="1"/>
  <c r="AE64" i="1" a="1"/>
  <c r="AE64" i="1" s="1"/>
  <c r="AK64" i="1" s="1"/>
  <c r="AE68" i="1" a="1"/>
  <c r="AE68" i="1" s="1"/>
  <c r="AK68" i="1" s="1"/>
  <c r="AE72" i="1" a="1"/>
  <c r="AE72" i="1" s="1"/>
  <c r="AK72" i="1" s="1"/>
  <c r="AE76" i="1" a="1"/>
  <c r="AE76" i="1" s="1"/>
  <c r="AK76" i="1" s="1"/>
  <c r="AE80" i="1" a="1"/>
  <c r="AE80" i="1" s="1"/>
  <c r="AK80" i="1" s="1"/>
  <c r="AE84" i="1" a="1"/>
  <c r="AE84" i="1" s="1"/>
  <c r="AK84" i="1" s="1"/>
  <c r="AG92" i="1" a="1"/>
  <c r="AG92" i="1" s="1"/>
  <c r="AK92" i="1" s="1"/>
  <c r="AE100" i="1" a="1"/>
  <c r="AE100" i="1" s="1"/>
  <c r="AK100" i="1" s="1"/>
  <c r="AE104" i="1" a="1"/>
  <c r="AE104" i="1" s="1"/>
  <c r="AK104" i="1" s="1"/>
  <c r="AE146" i="1" a="1"/>
  <c r="AE146" i="1" s="1"/>
  <c r="AK146" i="1" s="1"/>
  <c r="AE150" i="1" a="1"/>
  <c r="AE150" i="1" s="1"/>
  <c r="AK150" i="1" s="1"/>
  <c r="AE154" i="1" a="1"/>
  <c r="AE154" i="1" s="1"/>
  <c r="AK154" i="1" s="1"/>
  <c r="AE158" i="1" a="1"/>
  <c r="AE158" i="1" s="1"/>
  <c r="AK158" i="1" s="1"/>
  <c r="AE162" i="1" a="1"/>
  <c r="AE162" i="1" s="1"/>
  <c r="AK162" i="1" s="1"/>
  <c r="AE46" i="1" a="1"/>
  <c r="AE46" i="1" s="1"/>
  <c r="AK46" i="1" s="1"/>
  <c r="AE54" i="1" a="1"/>
  <c r="AE54" i="1" s="1"/>
  <c r="AK54" i="1" s="1"/>
  <c r="AE58" i="1" a="1"/>
  <c r="AE58" i="1" s="1"/>
  <c r="AK58" i="1" s="1"/>
  <c r="AE66" i="1" a="1"/>
  <c r="AE66" i="1" s="1"/>
  <c r="AK66" i="1" s="1"/>
  <c r="AE74" i="1" a="1"/>
  <c r="AE74" i="1" s="1"/>
  <c r="AK74" i="1" s="1"/>
  <c r="AE82" i="1" a="1"/>
  <c r="AE82" i="1" s="1"/>
  <c r="AK82" i="1" s="1"/>
  <c r="AE106" i="1" a="1"/>
  <c r="AE106" i="1" s="1"/>
  <c r="AK106" i="1" s="1"/>
  <c r="AE144" i="1" a="1"/>
  <c r="AE144" i="1" s="1"/>
  <c r="AK144" i="1" s="1"/>
  <c r="AE152" i="1" a="1"/>
  <c r="AE152" i="1" s="1"/>
  <c r="AK152" i="1" s="1"/>
  <c r="AE160" i="1" a="1"/>
  <c r="AE160" i="1" s="1"/>
  <c r="AK160" i="1" s="1"/>
  <c r="AI107" i="1" a="1"/>
  <c r="AI107" i="1" s="1"/>
  <c r="AK107" i="1" s="1"/>
  <c r="AI111" i="1" a="1"/>
  <c r="AI111" i="1" s="1"/>
  <c r="AK111" i="1" s="1"/>
  <c r="AI115" i="1" a="1"/>
  <c r="AI115" i="1" s="1"/>
  <c r="AK115" i="1" s="1"/>
  <c r="AI119" i="1" a="1"/>
  <c r="AI119" i="1" s="1"/>
  <c r="AK119" i="1" s="1"/>
  <c r="AI123" i="1" a="1"/>
  <c r="AI123" i="1" s="1"/>
  <c r="AK123" i="1" s="1"/>
  <c r="AI127" i="1" a="1"/>
  <c r="AI127" i="1" s="1"/>
  <c r="AK127" i="1" s="1"/>
  <c r="AI131" i="1" a="1"/>
  <c r="AI131" i="1" s="1"/>
  <c r="AK131" i="1" s="1"/>
  <c r="AI139" i="1" a="1"/>
  <c r="AI139" i="1" s="1"/>
  <c r="AK139" i="1" s="1"/>
  <c r="AE51" i="1" a="1"/>
  <c r="AE51" i="1" s="1"/>
  <c r="AK51" i="1" s="1"/>
  <c r="AE59" i="1" a="1"/>
  <c r="AE59" i="1" s="1"/>
  <c r="AK59" i="1" s="1"/>
  <c r="AE63" i="1" a="1"/>
  <c r="AE63" i="1" s="1"/>
  <c r="AK63" i="1" s="1"/>
  <c r="AE71" i="1" a="1"/>
  <c r="AE71" i="1" s="1"/>
  <c r="AK71" i="1" s="1"/>
  <c r="AE79" i="1" a="1"/>
  <c r="AE79" i="1" s="1"/>
  <c r="AK79" i="1" s="1"/>
  <c r="AE103" i="1" a="1"/>
  <c r="AE103" i="1" s="1"/>
  <c r="AK103" i="1" s="1"/>
  <c r="AE147" i="1" a="1"/>
  <c r="AE147" i="1" s="1"/>
  <c r="AK147" i="1" s="1"/>
  <c r="AE151" i="1" a="1"/>
  <c r="AE151" i="1" s="1"/>
  <c r="AK151" i="1" s="1"/>
  <c r="AE155" i="1" a="1"/>
  <c r="AE155" i="1" s="1"/>
  <c r="AK155" i="1" s="1"/>
  <c r="AE166" i="1" a="1"/>
  <c r="AE166" i="1" s="1"/>
  <c r="AK166" i="1" s="1"/>
  <c r="AI108" i="1" a="1"/>
  <c r="AI108" i="1" s="1"/>
  <c r="AK108" i="1" s="1"/>
  <c r="AI110" i="1" a="1"/>
  <c r="AI110" i="1" s="1"/>
  <c r="AK110" i="1" s="1"/>
  <c r="AI112" i="1" a="1"/>
  <c r="AI112" i="1" s="1"/>
  <c r="AK112" i="1" s="1"/>
  <c r="AI114" i="1" a="1"/>
  <c r="AI114" i="1" s="1"/>
  <c r="AK114" i="1" s="1"/>
  <c r="AI116" i="1" a="1"/>
  <c r="AI116" i="1" s="1"/>
  <c r="AK116" i="1" s="1"/>
  <c r="AI118" i="1" a="1"/>
  <c r="AI118" i="1" s="1"/>
  <c r="AK118" i="1" s="1"/>
  <c r="AI120" i="1" a="1"/>
  <c r="AI120" i="1" s="1"/>
  <c r="AK120" i="1" s="1"/>
  <c r="AI122" i="1" a="1"/>
  <c r="AI122" i="1" s="1"/>
  <c r="AK122" i="1" s="1"/>
  <c r="AI124" i="1" a="1"/>
  <c r="AI124" i="1" s="1"/>
  <c r="AK124" i="1" s="1"/>
  <c r="AI126" i="1" a="1"/>
  <c r="AI126" i="1" s="1"/>
  <c r="AK126" i="1" s="1"/>
  <c r="AI128" i="1" a="1"/>
  <c r="AI128" i="1" s="1"/>
  <c r="AK128" i="1" s="1"/>
  <c r="AI130" i="1" a="1"/>
  <c r="AI130" i="1" s="1"/>
  <c r="AK130" i="1" s="1"/>
  <c r="AI132" i="1" a="1"/>
  <c r="AI132" i="1" s="1"/>
  <c r="AK132" i="1" s="1"/>
  <c r="AI134" i="1" a="1"/>
  <c r="AI134" i="1" s="1"/>
  <c r="AK134" i="1" s="1"/>
  <c r="AI136" i="1" a="1"/>
  <c r="AI136" i="1" s="1"/>
  <c r="AK136" i="1" s="1"/>
  <c r="AI138" i="1" a="1"/>
  <c r="AI138" i="1" s="1"/>
  <c r="AK138" i="1" s="1"/>
  <c r="AI140" i="1" a="1"/>
  <c r="AI140" i="1" s="1"/>
  <c r="AK140" i="1" s="1"/>
  <c r="AE45" i="1" a="1"/>
  <c r="AE45" i="1" s="1"/>
  <c r="AK45" i="1" s="1"/>
  <c r="AE49" i="1" a="1"/>
  <c r="AE49" i="1" s="1"/>
  <c r="AK49" i="1" s="1"/>
  <c r="AE53" i="1" a="1"/>
  <c r="AE53" i="1" s="1"/>
  <c r="AK53" i="1" s="1"/>
  <c r="AE57" i="1" a="1"/>
  <c r="AE57" i="1" s="1"/>
  <c r="AK57" i="1" s="1"/>
  <c r="AE61" i="1" a="1"/>
  <c r="AE61" i="1" s="1"/>
  <c r="AK61" i="1" s="1"/>
  <c r="AE65" i="1" a="1"/>
  <c r="AE65" i="1" s="1"/>
  <c r="AK65" i="1" s="1"/>
  <c r="AE69" i="1" a="1"/>
  <c r="AE69" i="1" s="1"/>
  <c r="AK69" i="1" s="1"/>
  <c r="AE73" i="1" a="1"/>
  <c r="AE73" i="1" s="1"/>
  <c r="AK73" i="1" s="1"/>
  <c r="AE77" i="1" a="1"/>
  <c r="AE77" i="1" s="1"/>
  <c r="AK77" i="1" s="1"/>
  <c r="AE81" i="1" a="1"/>
  <c r="AE81" i="1" s="1"/>
  <c r="AK81" i="1" s="1"/>
  <c r="AE101" i="1" a="1"/>
  <c r="AE101" i="1" s="1"/>
  <c r="AK101" i="1" s="1"/>
  <c r="AE105" i="1" a="1"/>
  <c r="AE105" i="1" s="1"/>
  <c r="AK105" i="1" s="1"/>
  <c r="AE145" i="1" a="1"/>
  <c r="AE145" i="1" s="1"/>
  <c r="AK145" i="1" s="1"/>
  <c r="AE149" i="1" a="1"/>
  <c r="AE149" i="1" s="1"/>
  <c r="AK149" i="1" s="1"/>
  <c r="AE153" i="1" a="1"/>
  <c r="AE153" i="1" s="1"/>
  <c r="AK153" i="1" s="1"/>
  <c r="AE157" i="1" a="1"/>
  <c r="AE157" i="1" s="1"/>
  <c r="AK157" i="1" s="1"/>
  <c r="AE161" i="1" a="1"/>
  <c r="AE161" i="1" s="1"/>
  <c r="AK161" i="1" s="1"/>
  <c r="AE168" i="1" a="1"/>
  <c r="AE168" i="1" s="1"/>
  <c r="AK168" i="1" s="1"/>
  <c r="E17" i="5"/>
  <c r="L25" i="3"/>
  <c r="AG86" i="1" s="1" a="1"/>
  <c r="AG86" i="1" s="1"/>
  <c r="AK86" i="1" s="1"/>
  <c r="AM157" i="1" l="1"/>
  <c r="AM73" i="1"/>
  <c r="AM140" i="1"/>
  <c r="AM124" i="1"/>
  <c r="AM116" i="1"/>
  <c r="AM147" i="1"/>
  <c r="AM131" i="1"/>
  <c r="AM152" i="1"/>
  <c r="AM46" i="1"/>
  <c r="AM92" i="1"/>
  <c r="AM56" i="1"/>
  <c r="AM47" i="1"/>
  <c r="AM117" i="1"/>
  <c r="AM70" i="1"/>
  <c r="AM153" i="1"/>
  <c r="AM69" i="1"/>
  <c r="AM138" i="1"/>
  <c r="AM130" i="1"/>
  <c r="AM114" i="1"/>
  <c r="AM103" i="1"/>
  <c r="AM111" i="1"/>
  <c r="AM66" i="1"/>
  <c r="AM146" i="1"/>
  <c r="AM68" i="1"/>
  <c r="AM75" i="1"/>
  <c r="AM129" i="1"/>
  <c r="AM62" i="1"/>
  <c r="AM168" i="1"/>
  <c r="AM149" i="1"/>
  <c r="AM81" i="1"/>
  <c r="AM65" i="1"/>
  <c r="AM49" i="1"/>
  <c r="AM136" i="1"/>
  <c r="AM128" i="1"/>
  <c r="AM120" i="1"/>
  <c r="AM112" i="1"/>
  <c r="AM155" i="1"/>
  <c r="AM79" i="1"/>
  <c r="AM51" i="1"/>
  <c r="AM123" i="1"/>
  <c r="AM107" i="1"/>
  <c r="AM106" i="1"/>
  <c r="AM58" i="1"/>
  <c r="AM158" i="1"/>
  <c r="AM104" i="1"/>
  <c r="AM80" i="1"/>
  <c r="AM64" i="1"/>
  <c r="AM48" i="1"/>
  <c r="AM67" i="1"/>
  <c r="AM137" i="1"/>
  <c r="AM125" i="1"/>
  <c r="AM109" i="1"/>
  <c r="AM102" i="1"/>
  <c r="AM50" i="1"/>
  <c r="AM86" i="1"/>
  <c r="AM105" i="1"/>
  <c r="AM57" i="1"/>
  <c r="AM132" i="1"/>
  <c r="AM108" i="1"/>
  <c r="AM63" i="1"/>
  <c r="AM115" i="1"/>
  <c r="AM74" i="1"/>
  <c r="AM150" i="1"/>
  <c r="AM72" i="1"/>
  <c r="AM83" i="1"/>
  <c r="AM133" i="1"/>
  <c r="AM156" i="1"/>
  <c r="AM101" i="1"/>
  <c r="AM53" i="1"/>
  <c r="AM122" i="1"/>
  <c r="AM166" i="1"/>
  <c r="AM59" i="1"/>
  <c r="AM127" i="1"/>
  <c r="AM144" i="1"/>
  <c r="AM162" i="1"/>
  <c r="AM84" i="1"/>
  <c r="AM52" i="1"/>
  <c r="AM141" i="1"/>
  <c r="AM113" i="1"/>
  <c r="AM148" i="1"/>
  <c r="AM161" i="1"/>
  <c r="AM145" i="1"/>
  <c r="AM77" i="1"/>
  <c r="AM61" i="1"/>
  <c r="AM45" i="1"/>
  <c r="AM134" i="1"/>
  <c r="AM126" i="1"/>
  <c r="AM118" i="1"/>
  <c r="AM110" i="1"/>
  <c r="AM151" i="1"/>
  <c r="AM71" i="1"/>
  <c r="AM139" i="1"/>
  <c r="AM119" i="1"/>
  <c r="AM160" i="1"/>
  <c r="AM82" i="1"/>
  <c r="AM54" i="1"/>
  <c r="AM154" i="1"/>
  <c r="AM100" i="1"/>
  <c r="AM76" i="1"/>
  <c r="AM60" i="1"/>
  <c r="AM159" i="1"/>
  <c r="AM55" i="1"/>
  <c r="AM135" i="1"/>
  <c r="AM121" i="1"/>
  <c r="AM167" i="1"/>
  <c r="AM78" i="1"/>
  <c r="E13" i="5"/>
  <c r="D15" i="8" s="1"/>
  <c r="AM44" i="1"/>
  <c r="AG93" i="1" a="1"/>
  <c r="AG93" i="1" s="1"/>
  <c r="AK93" i="1" s="1"/>
  <c r="AG94" i="1" a="1"/>
  <c r="AG94" i="1" s="1"/>
  <c r="AK94" i="1" s="1"/>
  <c r="AG85" i="1" a="1"/>
  <c r="AG85" i="1" s="1"/>
  <c r="AK85" i="1" s="1"/>
  <c r="AG87" i="1" a="1"/>
  <c r="AG87" i="1" s="1"/>
  <c r="AK87" i="1" s="1"/>
  <c r="AG98" i="1" a="1"/>
  <c r="AG98" i="1" s="1"/>
  <c r="AK98" i="1" s="1"/>
  <c r="AG91" i="1" a="1"/>
  <c r="AG91" i="1" s="1"/>
  <c r="AK91" i="1" s="1"/>
  <c r="AG97" i="1" a="1"/>
  <c r="AG97" i="1" s="1"/>
  <c r="AK97" i="1" s="1"/>
  <c r="AG89" i="1" a="1"/>
  <c r="AG89" i="1" s="1"/>
  <c r="AK89" i="1" s="1"/>
  <c r="AG95" i="1" a="1"/>
  <c r="AG95" i="1" s="1"/>
  <c r="AK95" i="1" s="1"/>
  <c r="AG90" i="1" a="1"/>
  <c r="AG90" i="1" s="1"/>
  <c r="AK90" i="1" s="1"/>
  <c r="AG96" i="1" a="1"/>
  <c r="AG96" i="1" s="1"/>
  <c r="AK96" i="1" s="1"/>
  <c r="AG88" i="1" a="1"/>
  <c r="AG88" i="1" s="1"/>
  <c r="AK88" i="1" s="1"/>
  <c r="AG99" i="1" a="1"/>
  <c r="AG99" i="1" s="1"/>
  <c r="AK99" i="1" s="1"/>
  <c r="AM95" i="1" l="1"/>
  <c r="AM93" i="1"/>
  <c r="AM88" i="1"/>
  <c r="AM87" i="1"/>
  <c r="AM97" i="1"/>
  <c r="AM85" i="1"/>
  <c r="AM90" i="1"/>
  <c r="AM91" i="1"/>
  <c r="AM94" i="1"/>
  <c r="AM99" i="1"/>
  <c r="AM98" i="1"/>
  <c r="AM89" i="1"/>
  <c r="AM96" i="1"/>
  <c r="M13" i="5"/>
  <c r="Q13" i="5" s="1"/>
  <c r="K13" i="5"/>
  <c r="O13" i="5" s="1"/>
  <c r="J15" i="8"/>
  <c r="N15" i="8" s="1"/>
  <c r="L15" i="8"/>
  <c r="P15" i="8" s="1"/>
  <c r="E17" i="1" l="1"/>
  <c r="E13" i="1" s="1"/>
  <c r="D13" i="8" s="1"/>
  <c r="J13" i="8" s="1"/>
  <c r="N13" i="8" s="1"/>
  <c r="N22" i="8" s="1"/>
  <c r="K13" i="1" l="1"/>
  <c r="O13" i="1" s="1"/>
  <c r="L13" i="8"/>
  <c r="P13" i="8" s="1"/>
  <c r="P22" i="8" s="1"/>
  <c r="M13" i="1"/>
  <c r="Q13" i="1" s="1"/>
</calcChain>
</file>

<file path=xl/sharedStrings.xml><?xml version="1.0" encoding="utf-8"?>
<sst xmlns="http://schemas.openxmlformats.org/spreadsheetml/2006/main" count="274" uniqueCount="137">
  <si>
    <t>Asset Reference</t>
  </si>
  <si>
    <t>Market Value</t>
  </si>
  <si>
    <t>Credit Quality Step</t>
  </si>
  <si>
    <t>Modified Duration</t>
  </si>
  <si>
    <t>Risk-adjusted Collateral</t>
  </si>
  <si>
    <t>Range</t>
  </si>
  <si>
    <t>Y</t>
  </si>
  <si>
    <t>Unrated</t>
  </si>
  <si>
    <t>Bonds - Base Factors</t>
  </si>
  <si>
    <t>Duration</t>
  </si>
  <si>
    <t>MCR not met</t>
  </si>
  <si>
    <r>
      <t xml:space="preserve">dur </t>
    </r>
    <r>
      <rPr>
        <b/>
        <sz val="9"/>
        <color theme="0"/>
        <rFont val="Tahoma"/>
        <family val="2"/>
      </rPr>
      <t xml:space="preserve">≤ </t>
    </r>
    <r>
      <rPr>
        <b/>
        <sz val="7.65"/>
        <color theme="0"/>
        <rFont val="Arial"/>
        <family val="2"/>
      </rPr>
      <t>5</t>
    </r>
  </si>
  <si>
    <t>5 &lt; dur ≤ 10</t>
  </si>
  <si>
    <t>10 &lt; dur ≤ 15</t>
  </si>
  <si>
    <t>15 &lt; dur ≤ 20</t>
  </si>
  <si>
    <t>20 &lt; dur</t>
  </si>
  <si>
    <t>Bonds - Factor Multiples</t>
  </si>
  <si>
    <t>Solvency Ratio</t>
  </si>
  <si>
    <t>CQS</t>
  </si>
  <si>
    <t>Covered Bonds - Base Factors</t>
  </si>
  <si>
    <t>Covered Bonds - Factor Multiples</t>
  </si>
  <si>
    <t>5 &lt; dur</t>
  </si>
  <si>
    <t>Exposure is to other gilts?</t>
  </si>
  <si>
    <t>Gilts - Base Factors</t>
  </si>
  <si>
    <t>Gilts - Factor Multiples</t>
  </si>
  <si>
    <t>Type</t>
  </si>
  <si>
    <t>Type 1</t>
  </si>
  <si>
    <t>Type 2</t>
  </si>
  <si>
    <t>Re-Sec.</t>
  </si>
  <si>
    <t>Securitisations</t>
  </si>
  <si>
    <t>Type of Exposure?</t>
  </si>
  <si>
    <t>Best Estimate</t>
  </si>
  <si>
    <t>Assets</t>
  </si>
  <si>
    <t>BOF</t>
  </si>
  <si>
    <t>Base</t>
  </si>
  <si>
    <t>Spread Risk</t>
  </si>
  <si>
    <t>Capital</t>
  </si>
  <si>
    <r>
      <t>Market</t>
    </r>
    <r>
      <rPr>
        <i/>
        <vertAlign val="subscript"/>
        <sz val="10"/>
        <color theme="1"/>
        <rFont val="Arial"/>
        <family val="2"/>
      </rPr>
      <t>sp</t>
    </r>
    <r>
      <rPr>
        <i/>
        <vertAlign val="superscript"/>
        <sz val="10"/>
        <color theme="1"/>
        <rFont val="Arial"/>
        <family val="2"/>
      </rPr>
      <t>bonds</t>
    </r>
  </si>
  <si>
    <r>
      <t>Market</t>
    </r>
    <r>
      <rPr>
        <i/>
        <vertAlign val="subscript"/>
        <sz val="10"/>
        <color theme="1"/>
        <rFont val="Arial"/>
        <family val="2"/>
      </rPr>
      <t>sp</t>
    </r>
    <r>
      <rPr>
        <i/>
        <vertAlign val="superscript"/>
        <sz val="10"/>
        <color theme="1"/>
        <rFont val="Arial"/>
        <family val="2"/>
      </rPr>
      <t>cd</t>
    </r>
    <r>
      <rPr>
        <i/>
        <vertAlign val="subscript"/>
        <sz val="10"/>
        <color theme="1"/>
        <rFont val="Arial"/>
        <family val="2"/>
      </rPr>
      <t>upward</t>
    </r>
  </si>
  <si>
    <r>
      <t>Market</t>
    </r>
    <r>
      <rPr>
        <i/>
        <vertAlign val="subscript"/>
        <sz val="10"/>
        <color theme="1"/>
        <rFont val="Arial"/>
        <family val="2"/>
      </rPr>
      <t>sp</t>
    </r>
    <r>
      <rPr>
        <i/>
        <vertAlign val="superscript"/>
        <sz val="10"/>
        <color theme="1"/>
        <rFont val="Arial"/>
        <family val="2"/>
      </rPr>
      <t>cd</t>
    </r>
    <r>
      <rPr>
        <i/>
        <vertAlign val="subscript"/>
        <sz val="10"/>
        <color theme="1"/>
        <rFont val="Arial"/>
        <family val="2"/>
      </rPr>
      <t>downward</t>
    </r>
  </si>
  <si>
    <r>
      <t>Market</t>
    </r>
    <r>
      <rPr>
        <i/>
        <vertAlign val="subscript"/>
        <sz val="10"/>
        <color theme="1"/>
        <rFont val="Arial"/>
        <family val="2"/>
      </rPr>
      <t>sp</t>
    </r>
    <r>
      <rPr>
        <i/>
        <vertAlign val="superscript"/>
        <sz val="10"/>
        <color theme="1"/>
        <rFont val="Arial"/>
        <family val="2"/>
      </rPr>
      <t>cd</t>
    </r>
  </si>
  <si>
    <r>
      <t>Market</t>
    </r>
    <r>
      <rPr>
        <i/>
        <vertAlign val="subscript"/>
        <sz val="10"/>
        <color theme="1"/>
        <rFont val="Arial"/>
        <family val="2"/>
      </rPr>
      <t>spread</t>
    </r>
  </si>
  <si>
    <t>Credit Derivatives</t>
  </si>
  <si>
    <t>Column Name</t>
  </si>
  <si>
    <t>Column</t>
  </si>
  <si>
    <t>Description</t>
  </si>
  <si>
    <t>Exposure is to a covered bond?</t>
  </si>
  <si>
    <t>Exposure is to other gilts</t>
  </si>
  <si>
    <t>C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</si>
  <si>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</si>
  <si>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</si>
  <si>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</si>
  <si>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</si>
  <si>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</si>
  <si>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</si>
  <si>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</si>
  <si>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</si>
  <si>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</si>
  <si>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</si>
  <si>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AA</t>
  </si>
  <si>
    <t>AC</t>
  </si>
  <si>
    <t>AE</t>
  </si>
  <si>
    <t>AG</t>
  </si>
  <si>
    <t>AI</t>
  </si>
  <si>
    <t>AK</t>
  </si>
  <si>
    <t>AM</t>
  </si>
  <si>
    <t>Unique identifier for each exposure</t>
  </si>
  <si>
    <t>CCC or lower</t>
  </si>
  <si>
    <t>B</t>
  </si>
  <si>
    <t>BB</t>
  </si>
  <si>
    <t>BBB</t>
  </si>
  <si>
    <t>A</t>
  </si>
  <si>
    <t>AAA</t>
  </si>
  <si>
    <t>Rating</t>
  </si>
  <si>
    <t>CQ Step</t>
  </si>
  <si>
    <t>See "Data" sheet for mapping between credit quality steps and ratings</t>
  </si>
  <si>
    <t>The modified duration of each exposure</t>
  </si>
  <si>
    <t>Select "Y" if the exposure is to a covered bond and "N" otherwise</t>
  </si>
  <si>
    <t>Risk-adjusted collateral</t>
  </si>
  <si>
    <t>Formula - calculates the minimum solvency ratio range if Y is populated</t>
  </si>
  <si>
    <t>Formula - calculates the maximum solvency ratio range if Y is populated</t>
  </si>
  <si>
    <t>Formula - calculates the 1 in 200 year F factor for all exposures that are rated</t>
  </si>
  <si>
    <t>Formula - calculates the overall 1 in 200 year F factor for any exposure</t>
  </si>
  <si>
    <t>Formula - calculates the overall 1 in 200 year change in basic own funds for each exposure</t>
  </si>
  <si>
    <t>Type of Exposure</t>
  </si>
  <si>
    <t>nBOF</t>
  </si>
  <si>
    <t>nCapital</t>
  </si>
  <si>
    <t>VGB</t>
  </si>
  <si>
    <t>VDB</t>
  </si>
  <si>
    <r>
      <t>F</t>
    </r>
    <r>
      <rPr>
        <b/>
        <vertAlign val="superscript"/>
        <sz val="10"/>
        <color theme="0"/>
        <rFont val="Arial"/>
        <family val="2"/>
      </rPr>
      <t>up</t>
    </r>
  </si>
  <si>
    <r>
      <t>F</t>
    </r>
    <r>
      <rPr>
        <b/>
        <vertAlign val="superscript"/>
        <sz val="10"/>
        <color theme="0"/>
        <rFont val="Arial"/>
        <family val="2"/>
      </rPr>
      <t>up</t>
    </r>
    <r>
      <rPr>
        <b/>
        <sz val="10"/>
        <color theme="0"/>
        <rFont val="Arial"/>
        <family val="2"/>
      </rPr>
      <t xml:space="preserve">
Rated Exposures</t>
    </r>
  </si>
  <si>
    <r>
      <t>Market</t>
    </r>
    <r>
      <rPr>
        <i/>
        <vertAlign val="subscript"/>
        <sz val="10"/>
        <color theme="1"/>
        <rFont val="Arial"/>
        <family val="2"/>
      </rPr>
      <t>sp</t>
    </r>
    <r>
      <rPr>
        <i/>
        <vertAlign val="superscript"/>
        <sz val="10"/>
        <color theme="1"/>
        <rFont val="Arial"/>
        <family val="2"/>
      </rPr>
      <t>securitisations</t>
    </r>
  </si>
  <si>
    <r>
      <t>F</t>
    </r>
    <r>
      <rPr>
        <vertAlign val="superscript"/>
        <sz val="10"/>
        <color theme="1"/>
        <rFont val="Arial"/>
        <family val="2"/>
      </rPr>
      <t>up</t>
    </r>
    <r>
      <rPr>
        <sz val="10"/>
        <color theme="1"/>
        <rFont val="Arial"/>
        <family val="2"/>
      </rPr>
      <t xml:space="preserve"> - Rated exposures</t>
    </r>
  </si>
  <si>
    <r>
      <t>F</t>
    </r>
    <r>
      <rPr>
        <vertAlign val="superscript"/>
        <sz val="10"/>
        <color theme="1"/>
        <rFont val="Arial"/>
        <family val="2"/>
      </rPr>
      <t>up</t>
    </r>
  </si>
  <si>
    <t>∆ Assets</t>
  </si>
  <si>
    <t>Formula - calculates the overall 1 in 200 year change in asset value for each exposure</t>
  </si>
  <si>
    <t>Key</t>
  </si>
  <si>
    <t>Input Cell</t>
  </si>
  <si>
    <t>Formula Cell</t>
  </si>
  <si>
    <t>N/A</t>
  </si>
  <si>
    <t>Tab</t>
  </si>
  <si>
    <t>Link</t>
  </si>
  <si>
    <t>Content</t>
  </si>
  <si>
    <t>Direct input of the result of the scenario based calculation for exposures to credit derivatives.</t>
  </si>
  <si>
    <t>All data required to perform the calculations in this worksheet. Includes mapping of credit quality steps and stress factors to be applied to different types of exposure.</t>
  </si>
  <si>
    <t>Bonds</t>
  </si>
  <si>
    <t>Value of risk-adjusted collateral of the exposure - only to be completed if G is "Unrated" and M is "N"</t>
  </si>
  <si>
    <t>Summary of capital requirements under the three individual  shock scenarios. Base assets and liabilities are required as input.</t>
  </si>
  <si>
    <t>This worksheet "Spread_Risk_Template_Life" has been produced to aid the insurer in their calculation of the capital requirement for spread risk.</t>
  </si>
  <si>
    <t>Input all bond exposures as applicable according to Regulation 69 of the Insurance (Long-Term Business Solvency) Regulations.
Input includes:
  - VDB under the shock scenario;
  - Asset Reference (i.e. an identifier for each exposure);
  - Market value of exposure;
  - Credit Quality Step;
  - Modified duration;
  - Whether the exposure is to a insurer, a covered bond or a gilt;
  - The risk-adjusted value of collateral (if exposure is unrated and 
    not to an insurer);
  - Whether the insurer meets their MCR (if exposure is to a 
    insurer; and
  - The solvency coverage ratio of the insurer (if exposure is to 
    an unrated insurer).</t>
  </si>
  <si>
    <t>Input all securitisation exposures as applicable according to Regulation 71 of the Insurance (Long-Term Business Solvency) Regulations.
Input includes:
  - VDB under the shock scenario;
  - Asset Reference (i.e. an identifier for each exposure);
  - Market value of exposure;
  - Credit Quality Step;
  - Modified duration; and
  - Type of exposure (i.e. Type 1, Type 2, or resecuritisation).</t>
  </si>
  <si>
    <t xml:space="preserve">Market value of exposure </t>
  </si>
  <si>
    <t>Formula - Calculates the range in which the modified duration falls</t>
  </si>
  <si>
    <t>Select "Y" if the exposure is to an insurer and "N" otherwise</t>
  </si>
  <si>
    <t>Select "Y" if the exposure is to gilts  listed in Regulation 70(2)(d) and "N" otherwise</t>
  </si>
  <si>
    <t>Select "Y" if the exposure is to gilts not listed in Regulation 70(2)(d) and "N" otherwise</t>
  </si>
  <si>
    <t>Select "Y" if insurer meets their MCR - only to be completed if M is "Y"</t>
  </si>
  <si>
    <t>Input the % solvency ratio of the insurer - only to be completed when G is "Unrated", M is "Y", and W is "Y"</t>
  </si>
  <si>
    <t>Formula - calculates the 1 in 200 year F factor for all unrated exposures to non-insurers</t>
  </si>
  <si>
    <t>Formula - calculates the 1 in 200 year F factor for all unrated exposures to insurers</t>
  </si>
  <si>
    <t>Exposure to a insurer?</t>
  </si>
  <si>
    <t>Exposure is to gilts listed in Regulation 70(2)(d)?</t>
  </si>
  <si>
    <t>Insurer meets MCR?</t>
  </si>
  <si>
    <t>Solvency Ratio of insurer</t>
  </si>
  <si>
    <t>Insurer min range</t>
  </si>
  <si>
    <t>Insurer max range</t>
  </si>
  <si>
    <r>
      <t>F</t>
    </r>
    <r>
      <rPr>
        <vertAlign val="superscript"/>
        <sz val="10"/>
        <color theme="1"/>
        <rFont val="Arial"/>
        <family val="2"/>
      </rPr>
      <t>up</t>
    </r>
    <r>
      <rPr>
        <sz val="10"/>
        <color theme="1"/>
        <rFont val="Arial"/>
        <family val="2"/>
      </rPr>
      <t xml:space="preserve"> - Unrated non-insurer</t>
    </r>
  </si>
  <si>
    <r>
      <t>F</t>
    </r>
    <r>
      <rPr>
        <vertAlign val="superscript"/>
        <sz val="10"/>
        <color theme="1"/>
        <rFont val="Arial"/>
        <family val="2"/>
      </rPr>
      <t>up</t>
    </r>
    <r>
      <rPr>
        <sz val="10"/>
        <color theme="1"/>
        <rFont val="Arial"/>
        <family val="2"/>
      </rPr>
      <t xml:space="preserve"> - Unrated insurer</t>
    </r>
  </si>
  <si>
    <t>Exposure is to an insurer?</t>
  </si>
  <si>
    <t>Insurer Min Range</t>
  </si>
  <si>
    <t>Insurer Max Range</t>
  </si>
  <si>
    <r>
      <t>F</t>
    </r>
    <r>
      <rPr>
        <b/>
        <vertAlign val="superscript"/>
        <sz val="10"/>
        <color theme="0"/>
        <rFont val="Arial"/>
        <family val="2"/>
      </rPr>
      <t>up</t>
    </r>
    <r>
      <rPr>
        <b/>
        <sz val="10"/>
        <color theme="0"/>
        <rFont val="Arial"/>
        <family val="2"/>
      </rPr>
      <t xml:space="preserve">
Unrated Non-insurer</t>
    </r>
  </si>
  <si>
    <r>
      <t>F</t>
    </r>
    <r>
      <rPr>
        <b/>
        <vertAlign val="superscript"/>
        <sz val="10"/>
        <color theme="0"/>
        <rFont val="Arial"/>
        <family val="2"/>
      </rPr>
      <t>up</t>
    </r>
    <r>
      <rPr>
        <b/>
        <sz val="10"/>
        <color theme="0"/>
        <rFont val="Arial"/>
        <family val="2"/>
      </rPr>
      <t xml:space="preserve">
Unrated insurer</t>
    </r>
  </si>
  <si>
    <t>Choice between "Type 1", "Type 2" and "Re-sec." (re-securitisations). If this cell is not populated, the exposure will be assumed to be Type 2</t>
  </si>
  <si>
    <t>Where applicable, the terms used in this form should be taken to have the same meaning as defined in the Regulations.</t>
  </si>
  <si>
    <t>Release Date</t>
  </si>
  <si>
    <t xml:space="preserve">Throughout this helper spreadsheet, 'Regulation' refers to the Insurance (Long-Term Business Solvency) Regulations 2021 unless stated otherwise.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</si>
</sst>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  <numFmt numFmtId="166" formatCode="_-* #,##0_-;\-* #,##0_-;_-* &quot;-&quot;??_-;_-@_-"/>
    <numFmt numFmtId="167" formatCode="_-[$€-2]\ * #,##0.00_-;_-[$€-2]\ * #,##0.00\-;_-[$€-2]\ * &quot;-&quot;??_-"/>
    <numFmt numFmtId="168" formatCode="0.0"/>
  </numFmts>
  <fonts count="4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0"/>
      <name val="Tahoma"/>
      <family val="2"/>
    </font>
    <font>
      <b/>
      <sz val="7.65"/>
      <color theme="0"/>
      <name val="Arial"/>
      <family val="2"/>
    </font>
    <font>
      <b/>
      <sz val="10"/>
      <color theme="0"/>
      <name val="Tahoma"/>
      <family val="2"/>
    </font>
    <font>
      <i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u/>
      <sz val="10"/>
      <color rgb="FF00B0F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u/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bgColor theme="0"/>
      </patternFill>
    </fill>
    <fill>
      <patternFill patternType="solid">
        <fgColor rgb="FFDE0029"/>
        <bgColor indexed="64"/>
      </patternFill>
    </fill>
    <fill>
      <patternFill patternType="lightUp">
        <bgColor theme="0" tint="-0.34998626667073579"/>
      </patternFill>
    </fill>
    <fill>
      <patternFill patternType="lightUp"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8" borderId="44" applyNumberFormat="0" applyAlignment="0" applyProtection="0"/>
    <xf numFmtId="0" fontId="27" fillId="0" borderId="45" applyNumberFormat="0" applyFill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29" borderId="46" applyNumberFormat="0" applyFont="0" applyAlignment="0" applyProtection="0"/>
    <xf numFmtId="0" fontId="28" fillId="15" borderId="44" applyNumberFormat="0" applyAlignment="0" applyProtection="0"/>
    <xf numFmtId="167" fontId="19" fillId="0" borderId="0" applyFont="0" applyFill="0" applyBorder="0" applyAlignment="0" applyProtection="0"/>
    <xf numFmtId="0" fontId="19" fillId="30" borderId="6" applyNumberFormat="0" applyFont="0" applyBorder="0" applyAlignment="0">
      <alignment horizontal="center" wrapText="1"/>
    </xf>
    <xf numFmtId="0" fontId="29" fillId="31" borderId="40" applyNumberFormat="0" applyFont="0" applyBorder="0" applyAlignment="0"/>
    <xf numFmtId="3" fontId="30" fillId="31" borderId="6" applyBorder="0"/>
    <xf numFmtId="0" fontId="31" fillId="32" borderId="0" applyNumberFormat="0" applyBorder="0">
      <alignment horizontal="right"/>
      <protection locked="0"/>
    </xf>
    <xf numFmtId="3" fontId="31" fillId="33" borderId="47" applyNumberFormat="0" applyBorder="0" applyAlignment="0">
      <alignment vertical="center"/>
      <protection locked="0"/>
    </xf>
    <xf numFmtId="0" fontId="19" fillId="34" borderId="0" applyBorder="0"/>
    <xf numFmtId="0" fontId="19" fillId="30" borderId="0" applyNumberFormat="0" applyFont="0" applyFill="0" applyBorder="0" applyAlignment="0"/>
    <xf numFmtId="0" fontId="32" fillId="35" borderId="0" applyNumberFormat="0" applyFont="0" applyBorder="0" applyAlignment="0"/>
    <xf numFmtId="3" fontId="33" fillId="36" borderId="6" applyNumberFormat="0" applyBorder="0">
      <alignment horizontal="right" vertical="center" wrapText="1" indent="1"/>
    </xf>
    <xf numFmtId="0" fontId="34" fillId="0" borderId="0" applyNumberFormat="0" applyBorder="0" applyAlignment="0"/>
    <xf numFmtId="0" fontId="35" fillId="0" borderId="0" applyNumberFormat="0" applyFill="0" applyBorder="0" applyAlignment="0" applyProtection="0">
      <alignment vertical="top"/>
      <protection locked="0"/>
    </xf>
    <xf numFmtId="0" fontId="36" fillId="11" borderId="0" applyNumberFormat="0" applyBorder="0" applyAlignment="0" applyProtection="0"/>
    <xf numFmtId="0" fontId="37" fillId="37" borderId="0" applyNumberFormat="0" applyBorder="0" applyAlignment="0" applyProtection="0"/>
    <xf numFmtId="0" fontId="32" fillId="0" borderId="0">
      <protection locked="0"/>
    </xf>
    <xf numFmtId="0" fontId="19" fillId="0" borderId="0"/>
    <xf numFmtId="0" fontId="5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32" borderId="0" applyNumberFormat="0" applyBorder="0">
      <alignment horizontal="right"/>
      <protection locked="0"/>
    </xf>
    <xf numFmtId="168" fontId="31" fillId="38" borderId="6" applyNumberFormat="0" applyBorder="0" applyAlignment="0">
      <alignment horizontal="right"/>
      <protection locked="0"/>
    </xf>
    <xf numFmtId="0" fontId="19" fillId="0" borderId="0" applyNumberFormat="0" applyFont="0" applyBorder="0" applyAlignment="0"/>
    <xf numFmtId="0" fontId="31" fillId="32" borderId="0" applyNumberFormat="0" applyBorder="0">
      <alignment horizontal="right"/>
      <protection locked="0"/>
    </xf>
    <xf numFmtId="3" fontId="30" fillId="31" borderId="6" applyBorder="0"/>
    <xf numFmtId="0" fontId="19" fillId="34" borderId="0" applyBorder="0"/>
    <xf numFmtId="0" fontId="32" fillId="39" borderId="0" applyNumberFormat="0" applyFont="0" applyBorder="0" applyAlignment="0" applyProtection="0">
      <protection locked="0"/>
    </xf>
    <xf numFmtId="0" fontId="19" fillId="30" borderId="6" applyNumberFormat="0" applyFont="0" applyBorder="0" applyAlignment="0">
      <alignment horizontal="center" wrapText="1"/>
    </xf>
    <xf numFmtId="3" fontId="31" fillId="33" borderId="47" applyNumberFormat="0" applyBorder="0" applyAlignment="0">
      <alignment vertical="center"/>
      <protection locked="0"/>
    </xf>
    <xf numFmtId="0" fontId="19" fillId="30" borderId="0" applyNumberFormat="0" applyFont="0" applyFill="0" applyBorder="0" applyAlignment="0"/>
    <xf numFmtId="0" fontId="32" fillId="35" borderId="0" applyNumberFormat="0" applyFont="0" applyBorder="0" applyAlignment="0"/>
    <xf numFmtId="3" fontId="33" fillId="36" borderId="6" applyNumberFormat="0" applyBorder="0">
      <alignment horizontal="right" vertical="center" wrapText="1" indent="1"/>
    </xf>
    <xf numFmtId="0" fontId="34" fillId="0" borderId="0" applyNumberFormat="0" applyBorder="0" applyAlignment="0"/>
    <xf numFmtId="0" fontId="29" fillId="31" borderId="40" applyNumberFormat="0" applyFont="0" applyBorder="0" applyAlignment="0"/>
    <xf numFmtId="0" fontId="39" fillId="0" borderId="0" applyFill="0" applyBorder="0">
      <alignment horizontal="center" vertical="center"/>
    </xf>
    <xf numFmtId="0" fontId="40" fillId="12" borderId="0" applyNumberFormat="0" applyBorder="0" applyAlignment="0" applyProtection="0"/>
    <xf numFmtId="0" fontId="41" fillId="28" borderId="48" applyNumberFormat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9" applyNumberFormat="0" applyFill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52" applyNumberFormat="0" applyFill="0" applyAlignment="0" applyProtection="0"/>
    <xf numFmtId="0" fontId="48" fillId="40" borderId="53" applyNumberFormat="0" applyAlignment="0" applyProtection="0"/>
  </cellStyleXfs>
  <cellXfs count="258">
    <xf numFmtId="0" fontId="0" fillId="0" borderId="0" xfId="0"/>
    <xf numFmtId="0" fontId="5" fillId="3" borderId="4" xfId="0" applyFont="1" applyFill="1" applyBorder="1"/>
    <xf numFmtId="0" fontId="5" fillId="3" borderId="0" xfId="0" applyFont="1" applyFill="1" applyBorder="1"/>
    <xf numFmtId="0" fontId="0" fillId="4" borderId="0" xfId="0" applyFill="1"/>
    <xf numFmtId="10" fontId="0" fillId="4" borderId="0" xfId="3" applyNumberFormat="1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5" fillId="3" borderId="5" xfId="0" applyFont="1" applyFill="1" applyBorder="1"/>
    <xf numFmtId="166" fontId="5" fillId="5" borderId="6" xfId="1" applyNumberFormat="1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12" fillId="3" borderId="4" xfId="0" applyFont="1" applyFill="1" applyBorder="1" applyAlignment="1">
      <alignment horizontal="left" indent="1"/>
    </xf>
    <xf numFmtId="0" fontId="12" fillId="3" borderId="4" xfId="0" applyFont="1" applyFill="1" applyBorder="1"/>
    <xf numFmtId="0" fontId="12" fillId="3" borderId="4" xfId="0" applyFont="1" applyFill="1" applyBorder="1" applyAlignment="1">
      <alignment horizontal="left" indent="2"/>
    </xf>
    <xf numFmtId="166" fontId="5" fillId="3" borderId="0" xfId="1" applyNumberFormat="1" applyFont="1" applyFill="1" applyBorder="1"/>
    <xf numFmtId="10" fontId="0" fillId="4" borderId="0" xfId="3" applyNumberFormat="1" applyFont="1" applyFill="1" applyAlignment="1">
      <alignment horizontal="center"/>
    </xf>
    <xf numFmtId="0" fontId="5" fillId="4" borderId="0" xfId="0" applyFont="1" applyFill="1"/>
    <xf numFmtId="0" fontId="5" fillId="3" borderId="9" xfId="0" applyFont="1" applyFill="1" applyBorder="1"/>
    <xf numFmtId="0" fontId="5" fillId="3" borderId="8" xfId="0" applyFont="1" applyFill="1" applyBorder="1"/>
    <xf numFmtId="0" fontId="5" fillId="4" borderId="0" xfId="0" applyFont="1" applyFill="1" applyBorder="1"/>
    <xf numFmtId="0" fontId="2" fillId="2" borderId="1" xfId="0" applyFont="1" applyFill="1" applyBorder="1" applyAlignment="1"/>
    <xf numFmtId="0" fontId="5" fillId="3" borderId="10" xfId="0" applyFont="1" applyFill="1" applyBorder="1"/>
    <xf numFmtId="0" fontId="17" fillId="7" borderId="0" xfId="0" applyFont="1" applyFill="1"/>
    <xf numFmtId="0" fontId="18" fillId="7" borderId="0" xfId="0" applyFont="1" applyFill="1"/>
    <xf numFmtId="0" fontId="19" fillId="7" borderId="0" xfId="0" applyFont="1" applyFill="1"/>
    <xf numFmtId="0" fontId="5" fillId="7" borderId="0" xfId="0" applyFont="1" applyFill="1"/>
    <xf numFmtId="0" fontId="19" fillId="7" borderId="43" xfId="0" applyFont="1" applyFill="1" applyBorder="1"/>
    <xf numFmtId="14" fontId="19" fillId="7" borderId="43" xfId="0" applyNumberFormat="1" applyFont="1" applyFill="1" applyBorder="1" applyAlignment="1">
      <alignment horizontal="right"/>
    </xf>
    <xf numFmtId="0" fontId="5" fillId="7" borderId="43" xfId="0" applyFont="1" applyFill="1" applyBorder="1"/>
    <xf numFmtId="0" fontId="22" fillId="4" borderId="0" xfId="4" quotePrefix="1" applyFont="1" applyFill="1" applyBorder="1" applyAlignment="1" applyProtection="1">
      <alignment horizontal="center" vertical="top"/>
    </xf>
    <xf numFmtId="0" fontId="17" fillId="7" borderId="0" xfId="0" applyFont="1" applyFill="1" applyProtection="1"/>
    <xf numFmtId="0" fontId="18" fillId="7" borderId="0" xfId="0" applyFont="1" applyFill="1" applyProtection="1"/>
    <xf numFmtId="0" fontId="19" fillId="7" borderId="0" xfId="0" applyFont="1" applyFill="1" applyProtection="1"/>
    <xf numFmtId="0" fontId="5" fillId="7" borderId="0" xfId="0" applyFont="1" applyFill="1" applyProtection="1"/>
    <xf numFmtId="0" fontId="19" fillId="7" borderId="43" xfId="0" applyFont="1" applyFill="1" applyBorder="1" applyProtection="1"/>
    <xf numFmtId="14" fontId="19" fillId="7" borderId="43" xfId="0" applyNumberFormat="1" applyFont="1" applyFill="1" applyBorder="1" applyAlignment="1" applyProtection="1">
      <alignment horizontal="right"/>
    </xf>
    <xf numFmtId="0" fontId="5" fillId="7" borderId="43" xfId="0" applyFont="1" applyFill="1" applyBorder="1" applyProtection="1"/>
    <xf numFmtId="0" fontId="5" fillId="4" borderId="0" xfId="0" applyFont="1" applyFill="1" applyProtection="1"/>
    <xf numFmtId="0" fontId="2" fillId="4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3" borderId="8" xfId="0" applyFont="1" applyFill="1" applyBorder="1" applyProtection="1"/>
    <xf numFmtId="0" fontId="5" fillId="3" borderId="9" xfId="0" applyFont="1" applyFill="1" applyBorder="1" applyProtection="1"/>
    <xf numFmtId="0" fontId="5" fillId="3" borderId="10" xfId="0" applyFont="1" applyFill="1" applyBorder="1" applyProtection="1"/>
    <xf numFmtId="0" fontId="5" fillId="3" borderId="4" xfId="0" applyFont="1" applyFill="1" applyBorder="1" applyProtection="1"/>
    <xf numFmtId="0" fontId="5" fillId="3" borderId="5" xfId="0" applyFont="1" applyFill="1" applyBorder="1" applyProtection="1"/>
    <xf numFmtId="0" fontId="5" fillId="3" borderId="0" xfId="0" applyFont="1" applyFill="1" applyBorder="1" applyProtection="1"/>
    <xf numFmtId="0" fontId="5" fillId="5" borderId="6" xfId="0" applyFont="1" applyFill="1" applyBorder="1" applyAlignment="1" applyProtection="1">
      <alignment horizontal="center"/>
    </xf>
    <xf numFmtId="166" fontId="20" fillId="8" borderId="6" xfId="1" applyNumberFormat="1" applyFont="1" applyFill="1" applyBorder="1" applyAlignment="1" applyProtection="1">
      <alignment horizontal="center"/>
    </xf>
    <xf numFmtId="166" fontId="20" fillId="9" borderId="6" xfId="1" applyNumberFormat="1" applyFont="1" applyFill="1" applyBorder="1" applyAlignment="1" applyProtection="1">
      <alignment horizontal="center"/>
    </xf>
    <xf numFmtId="0" fontId="5" fillId="3" borderId="12" xfId="0" applyFont="1" applyFill="1" applyBorder="1" applyProtection="1"/>
    <xf numFmtId="0" fontId="5" fillId="3" borderId="13" xfId="0" applyFont="1" applyFill="1" applyBorder="1" applyProtection="1"/>
    <xf numFmtId="0" fontId="5" fillId="3" borderId="14" xfId="0" applyFont="1" applyFill="1" applyBorder="1" applyProtection="1"/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5" fillId="4" borderId="8" xfId="0" applyFont="1" applyFill="1" applyBorder="1" applyProtection="1"/>
    <xf numFmtId="0" fontId="5" fillId="4" borderId="9" xfId="0" applyFont="1" applyFill="1" applyBorder="1" applyAlignment="1" applyProtection="1">
      <alignment horizontal="center" vertical="top"/>
    </xf>
    <xf numFmtId="0" fontId="5" fillId="4" borderId="9" xfId="0" applyFont="1" applyFill="1" applyBorder="1" applyProtection="1"/>
    <xf numFmtId="0" fontId="5" fillId="4" borderId="9" xfId="0" applyFont="1" applyFill="1" applyBorder="1" applyAlignment="1" applyProtection="1">
      <alignment wrapText="1"/>
    </xf>
    <xf numFmtId="0" fontId="5" fillId="4" borderId="10" xfId="0" applyFont="1" applyFill="1" applyBorder="1" applyProtection="1"/>
    <xf numFmtId="0" fontId="5" fillId="4" borderId="4" xfId="0" applyFont="1" applyFill="1" applyBorder="1" applyAlignment="1" applyProtection="1">
      <alignment vertical="top"/>
    </xf>
    <xf numFmtId="0" fontId="5" fillId="4" borderId="5" xfId="0" applyFont="1" applyFill="1" applyBorder="1" applyProtection="1"/>
    <xf numFmtId="0" fontId="5" fillId="4" borderId="4" xfId="0" applyFont="1" applyFill="1" applyBorder="1" applyProtection="1"/>
    <xf numFmtId="0" fontId="5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wrapText="1"/>
    </xf>
    <xf numFmtId="0" fontId="5" fillId="4" borderId="12" xfId="0" applyFont="1" applyFill="1" applyBorder="1" applyProtection="1"/>
    <xf numFmtId="0" fontId="5" fillId="4" borderId="13" xfId="0" applyFont="1" applyFill="1" applyBorder="1" applyAlignment="1" applyProtection="1">
      <alignment horizontal="center"/>
    </xf>
    <xf numFmtId="0" fontId="5" fillId="4" borderId="13" xfId="0" applyFont="1" applyFill="1" applyBorder="1" applyProtection="1"/>
    <xf numFmtId="0" fontId="5" fillId="4" borderId="13" xfId="0" applyFont="1" applyFill="1" applyBorder="1" applyAlignment="1" applyProtection="1">
      <alignment wrapText="1"/>
    </xf>
    <xf numFmtId="0" fontId="5" fillId="4" borderId="14" xfId="0" applyFont="1" applyFill="1" applyBorder="1" applyProtection="1"/>
    <xf numFmtId="0" fontId="15" fillId="4" borderId="0" xfId="0" applyFont="1" applyFill="1" applyProtection="1"/>
    <xf numFmtId="10" fontId="15" fillId="4" borderId="0" xfId="3" applyNumberFormat="1" applyFont="1" applyFill="1" applyProtection="1"/>
    <xf numFmtId="0" fontId="15" fillId="4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3" fillId="2" borderId="2" xfId="0" applyFont="1" applyFill="1" applyBorder="1" applyProtection="1"/>
    <xf numFmtId="0" fontId="2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10" fontId="5" fillId="4" borderId="0" xfId="3" applyNumberFormat="1" applyFont="1" applyFill="1" applyProtection="1"/>
    <xf numFmtId="166" fontId="5" fillId="5" borderId="6" xfId="1" applyNumberFormat="1" applyFont="1" applyFill="1" applyBorder="1" applyProtection="1"/>
    <xf numFmtId="10" fontId="5" fillId="4" borderId="0" xfId="3" applyNumberFormat="1" applyFont="1" applyFill="1" applyAlignment="1" applyProtection="1">
      <alignment horizontal="center"/>
    </xf>
    <xf numFmtId="0" fontId="0" fillId="4" borderId="0" xfId="0" applyFill="1" applyProtection="1"/>
    <xf numFmtId="10" fontId="0" fillId="4" borderId="0" xfId="3" applyNumberFormat="1" applyFont="1" applyFill="1" applyProtection="1"/>
    <xf numFmtId="0" fontId="3" fillId="4" borderId="0" xfId="0" applyFont="1" applyFill="1" applyBorder="1" applyProtection="1"/>
    <xf numFmtId="0" fontId="12" fillId="3" borderId="4" xfId="0" applyFont="1" applyFill="1" applyBorder="1" applyAlignment="1" applyProtection="1">
      <alignment horizontal="left" indent="1"/>
    </xf>
    <xf numFmtId="0" fontId="12" fillId="3" borderId="0" xfId="0" applyFont="1" applyFill="1" applyBorder="1" applyAlignment="1" applyProtection="1">
      <alignment horizontal="left"/>
    </xf>
    <xf numFmtId="0" fontId="15" fillId="4" borderId="0" xfId="0" applyFont="1" applyFill="1" applyAlignment="1" applyProtection="1">
      <alignment horizontal="center" vertical="center"/>
    </xf>
    <xf numFmtId="10" fontId="2" fillId="4" borderId="0" xfId="3" applyNumberFormat="1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Protection="1"/>
    <xf numFmtId="164" fontId="15" fillId="4" borderId="0" xfId="0" applyNumberFormat="1" applyFont="1" applyFill="1" applyBorder="1" applyProtection="1"/>
    <xf numFmtId="0" fontId="15" fillId="4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/>
    </xf>
    <xf numFmtId="0" fontId="5" fillId="3" borderId="13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0" fontId="2" fillId="2" borderId="2" xfId="3" applyNumberFormat="1" applyFont="1" applyFill="1" applyBorder="1" applyAlignment="1" applyProtection="1">
      <alignment horizontal="center" vertical="center" wrapText="1"/>
    </xf>
    <xf numFmtId="10" fontId="3" fillId="2" borderId="3" xfId="3" applyNumberFormat="1" applyFont="1" applyFill="1" applyBorder="1" applyAlignment="1" applyProtection="1">
      <alignment horizontal="center" vertical="center" wrapText="1"/>
    </xf>
    <xf numFmtId="10" fontId="5" fillId="3" borderId="0" xfId="3" applyNumberFormat="1" applyFont="1" applyFill="1" applyBorder="1" applyProtection="1"/>
    <xf numFmtId="10" fontId="5" fillId="3" borderId="5" xfId="3" applyNumberFormat="1" applyFont="1" applyFill="1" applyBorder="1" applyProtection="1"/>
    <xf numFmtId="0" fontId="5" fillId="3" borderId="4" xfId="0" applyFont="1" applyFill="1" applyBorder="1" applyAlignment="1" applyProtection="1">
      <alignment horizontal="left" indent="1"/>
    </xf>
    <xf numFmtId="164" fontId="5" fillId="4" borderId="6" xfId="2" applyNumberFormat="1" applyFont="1" applyFill="1" applyBorder="1" applyAlignment="1" applyProtection="1">
      <alignment horizontal="center"/>
    </xf>
    <xf numFmtId="1" fontId="5" fillId="5" borderId="6" xfId="1" applyNumberFormat="1" applyFont="1" applyFill="1" applyBorder="1" applyAlignment="1" applyProtection="1">
      <alignment horizontal="center"/>
    </xf>
    <xf numFmtId="165" fontId="5" fillId="0" borderId="6" xfId="3" applyNumberFormat="1" applyFont="1" applyFill="1" applyBorder="1" applyAlignment="1" applyProtection="1">
      <alignment horizontal="center"/>
    </xf>
    <xf numFmtId="9" fontId="5" fillId="4" borderId="6" xfId="3" applyFont="1" applyFill="1" applyBorder="1" applyAlignment="1" applyProtection="1">
      <alignment horizontal="center"/>
    </xf>
    <xf numFmtId="10" fontId="5" fillId="5" borderId="6" xfId="3" applyNumberFormat="1" applyFont="1" applyFill="1" applyBorder="1" applyAlignment="1" applyProtection="1">
      <alignment horizontal="center"/>
    </xf>
    <xf numFmtId="10" fontId="5" fillId="5" borderId="6" xfId="3" applyNumberFormat="1" applyFont="1" applyFill="1" applyBorder="1" applyAlignment="1" applyProtection="1">
      <alignment horizontal="center" vertical="center"/>
    </xf>
    <xf numFmtId="164" fontId="5" fillId="5" borderId="6" xfId="2" applyNumberFormat="1" applyFont="1" applyFill="1" applyBorder="1" applyAlignment="1" applyProtection="1">
      <alignment horizontal="center" vertical="center"/>
    </xf>
    <xf numFmtId="10" fontId="5" fillId="3" borderId="13" xfId="3" applyNumberFormat="1" applyFont="1" applyFill="1" applyBorder="1" applyProtection="1"/>
    <xf numFmtId="10" fontId="5" fillId="3" borderId="14" xfId="3" applyNumberFormat="1" applyFont="1" applyFill="1" applyBorder="1" applyProtection="1"/>
    <xf numFmtId="0" fontId="15" fillId="5" borderId="1" xfId="0" applyFont="1" applyFill="1" applyBorder="1" applyProtection="1"/>
    <xf numFmtId="164" fontId="15" fillId="5" borderId="3" xfId="0" applyNumberFormat="1" applyFont="1" applyFill="1" applyBorder="1" applyProtection="1"/>
    <xf numFmtId="164" fontId="0" fillId="5" borderId="3" xfId="0" applyNumberFormat="1" applyFill="1" applyBorder="1" applyProtection="1"/>
    <xf numFmtId="0" fontId="0" fillId="4" borderId="0" xfId="0" applyFill="1" applyAlignment="1" applyProtection="1">
      <alignment horizontal="center" vertical="center"/>
    </xf>
    <xf numFmtId="0" fontId="0" fillId="4" borderId="0" xfId="0" applyFill="1" applyBorder="1" applyProtection="1"/>
    <xf numFmtId="164" fontId="0" fillId="4" borderId="0" xfId="0" applyNumberFormat="1" applyFill="1" applyBorder="1" applyProtection="1"/>
    <xf numFmtId="10" fontId="2" fillId="2" borderId="2" xfId="3" applyNumberFormat="1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vertical="top"/>
    </xf>
    <xf numFmtId="0" fontId="5" fillId="3" borderId="13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vertical="top"/>
    </xf>
    <xf numFmtId="10" fontId="3" fillId="4" borderId="0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/>
    </xf>
    <xf numFmtId="10" fontId="5" fillId="4" borderId="0" xfId="3" applyNumberFormat="1" applyFont="1" applyFill="1" applyBorder="1" applyProtection="1"/>
    <xf numFmtId="0" fontId="2" fillId="2" borderId="1" xfId="0" applyFont="1" applyFill="1" applyBorder="1" applyProtection="1"/>
    <xf numFmtId="0" fontId="12" fillId="3" borderId="4" xfId="0" applyFont="1" applyFill="1" applyBorder="1" applyAlignment="1" applyProtection="1">
      <alignment horizontal="left" indent="2"/>
    </xf>
    <xf numFmtId="0" fontId="12" fillId="3" borderId="4" xfId="0" applyFont="1" applyFill="1" applyBorder="1" applyProtection="1"/>
    <xf numFmtId="166" fontId="5" fillId="3" borderId="0" xfId="1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3" borderId="10" xfId="0" applyFill="1" applyBorder="1" applyProtection="1"/>
    <xf numFmtId="0" fontId="5" fillId="3" borderId="4" xfId="0" applyFont="1" applyFill="1" applyBorder="1" applyAlignment="1" applyProtection="1">
      <alignment horizontal="center"/>
    </xf>
    <xf numFmtId="166" fontId="5" fillId="5" borderId="6" xfId="1" applyNumberFormat="1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5" fillId="3" borderId="12" xfId="0" applyFont="1" applyFill="1" applyBorder="1" applyAlignment="1" applyProtection="1">
      <alignment horizontal="left" indent="1"/>
    </xf>
    <xf numFmtId="0" fontId="0" fillId="3" borderId="14" xfId="0" applyFill="1" applyBorder="1" applyProtection="1"/>
    <xf numFmtId="0" fontId="0" fillId="4" borderId="37" xfId="0" applyFill="1" applyBorder="1" applyProtection="1"/>
    <xf numFmtId="0" fontId="8" fillId="2" borderId="23" xfId="0" applyFont="1" applyFill="1" applyBorder="1" applyProtection="1"/>
    <xf numFmtId="9" fontId="8" fillId="2" borderId="1" xfId="0" applyNumberFormat="1" applyFont="1" applyFill="1" applyBorder="1" applyAlignment="1" applyProtection="1">
      <alignment horizontal="center"/>
    </xf>
    <xf numFmtId="9" fontId="8" fillId="2" borderId="25" xfId="0" applyNumberFormat="1" applyFont="1" applyFill="1" applyBorder="1" applyAlignment="1" applyProtection="1">
      <alignment horizontal="center"/>
    </xf>
    <xf numFmtId="9" fontId="8" fillId="2" borderId="27" xfId="0" applyNumberFormat="1" applyFont="1" applyFill="1" applyBorder="1" applyAlignment="1" applyProtection="1">
      <alignment horizontal="center"/>
    </xf>
    <xf numFmtId="9" fontId="8" fillId="2" borderId="3" xfId="0" applyNumberFormat="1" applyFont="1" applyFill="1" applyBorder="1" applyAlignment="1" applyProtection="1">
      <alignment horizontal="center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8" fillId="2" borderId="12" xfId="0" applyFont="1" applyFill="1" applyBorder="1" applyAlignment="1" applyProtection="1">
      <alignment horizontal="center"/>
    </xf>
    <xf numFmtId="0" fontId="7" fillId="4" borderId="24" xfId="0" applyFont="1" applyFill="1" applyBorder="1" applyAlignment="1" applyProtection="1">
      <alignment horizontal="center"/>
    </xf>
    <xf numFmtId="0" fontId="7" fillId="4" borderId="25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0" fontId="6" fillId="4" borderId="0" xfId="0" applyFont="1" applyFill="1" applyProtection="1"/>
    <xf numFmtId="0" fontId="8" fillId="4" borderId="0" xfId="0" applyFont="1" applyFill="1" applyBorder="1" applyAlignment="1" applyProtection="1"/>
    <xf numFmtId="0" fontId="8" fillId="2" borderId="7" xfId="0" applyFont="1" applyFill="1" applyBorder="1" applyAlignment="1" applyProtection="1"/>
    <xf numFmtId="0" fontId="8" fillId="4" borderId="0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35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8" fillId="2" borderId="32" xfId="0" applyFont="1" applyFill="1" applyBorder="1" applyAlignment="1" applyProtection="1">
      <alignment horizontal="center"/>
    </xf>
    <xf numFmtId="165" fontId="7" fillId="4" borderId="28" xfId="3" applyNumberFormat="1" applyFont="1" applyFill="1" applyBorder="1" applyProtection="1"/>
    <xf numFmtId="165" fontId="7" fillId="4" borderId="16" xfId="3" applyNumberFormat="1" applyFont="1" applyFill="1" applyBorder="1" applyProtection="1"/>
    <xf numFmtId="165" fontId="7" fillId="4" borderId="17" xfId="3" applyNumberFormat="1" applyFont="1" applyFill="1" applyBorder="1" applyProtection="1"/>
    <xf numFmtId="165" fontId="7" fillId="4" borderId="0" xfId="3" applyNumberFormat="1" applyFont="1" applyFill="1" applyBorder="1" applyProtection="1"/>
    <xf numFmtId="165" fontId="7" fillId="4" borderId="23" xfId="3" applyNumberFormat="1" applyFont="1" applyFill="1" applyBorder="1" applyProtection="1"/>
    <xf numFmtId="165" fontId="7" fillId="4" borderId="29" xfId="3" applyNumberFormat="1" applyFont="1" applyFill="1" applyBorder="1" applyProtection="1"/>
    <xf numFmtId="165" fontId="7" fillId="4" borderId="6" xfId="3" applyNumberFormat="1" applyFont="1" applyFill="1" applyBorder="1" applyProtection="1"/>
    <xf numFmtId="165" fontId="7" fillId="4" borderId="18" xfId="3" applyNumberFormat="1" applyFont="1" applyFill="1" applyBorder="1" applyProtection="1"/>
    <xf numFmtId="165" fontId="7" fillId="4" borderId="33" xfId="3" applyNumberFormat="1" applyFont="1" applyFill="1" applyBorder="1" applyProtection="1"/>
    <xf numFmtId="0" fontId="8" fillId="2" borderId="22" xfId="0" applyFont="1" applyFill="1" applyBorder="1" applyAlignment="1" applyProtection="1">
      <alignment horizontal="center"/>
    </xf>
    <xf numFmtId="165" fontId="7" fillId="4" borderId="30" xfId="3" applyNumberFormat="1" applyFont="1" applyFill="1" applyBorder="1" applyProtection="1"/>
    <xf numFmtId="165" fontId="7" fillId="4" borderId="20" xfId="3" applyNumberFormat="1" applyFont="1" applyFill="1" applyBorder="1" applyProtection="1"/>
    <xf numFmtId="165" fontId="7" fillId="4" borderId="21" xfId="3" applyNumberFormat="1" applyFont="1" applyFill="1" applyBorder="1" applyProtection="1"/>
    <xf numFmtId="165" fontId="7" fillId="4" borderId="34" xfId="3" applyNumberFormat="1" applyFont="1" applyFill="1" applyBorder="1" applyProtection="1"/>
    <xf numFmtId="165" fontId="7" fillId="4" borderId="15" xfId="3" applyNumberFormat="1" applyFont="1" applyFill="1" applyBorder="1" applyProtection="1"/>
    <xf numFmtId="165" fontId="7" fillId="4" borderId="19" xfId="3" applyNumberFormat="1" applyFont="1" applyFill="1" applyBorder="1" applyProtection="1"/>
    <xf numFmtId="0" fontId="0" fillId="4" borderId="40" xfId="0" applyFill="1" applyBorder="1" applyProtection="1"/>
    <xf numFmtId="0" fontId="7" fillId="4" borderId="37" xfId="0" applyFont="1" applyFill="1" applyBorder="1" applyProtection="1"/>
    <xf numFmtId="0" fontId="0" fillId="4" borderId="41" xfId="0" applyFill="1" applyBorder="1" applyProtection="1"/>
    <xf numFmtId="0" fontId="0" fillId="4" borderId="36" xfId="0" applyFill="1" applyBorder="1" applyProtection="1"/>
    <xf numFmtId="0" fontId="0" fillId="4" borderId="39" xfId="0" applyFill="1" applyBorder="1" applyProtection="1"/>
    <xf numFmtId="0" fontId="6" fillId="4" borderId="0" xfId="0" applyFont="1" applyFill="1" applyBorder="1" applyProtection="1"/>
    <xf numFmtId="0" fontId="8" fillId="2" borderId="31" xfId="0" applyFont="1" applyFill="1" applyBorder="1" applyProtection="1"/>
    <xf numFmtId="0" fontId="8" fillId="2" borderId="11" xfId="0" applyFont="1" applyFill="1" applyBorder="1" applyAlignment="1" applyProtection="1">
      <alignment horizontal="center"/>
    </xf>
    <xf numFmtId="165" fontId="7" fillId="6" borderId="16" xfId="3" applyNumberFormat="1" applyFont="1" applyFill="1" applyBorder="1" applyProtection="1"/>
    <xf numFmtId="165" fontId="7" fillId="6" borderId="17" xfId="3" applyNumberFormat="1" applyFont="1" applyFill="1" applyBorder="1" applyProtection="1"/>
    <xf numFmtId="165" fontId="7" fillId="6" borderId="23" xfId="3" applyNumberFormat="1" applyFont="1" applyFill="1" applyBorder="1" applyProtection="1"/>
    <xf numFmtId="0" fontId="0" fillId="4" borderId="42" xfId="0" applyFill="1" applyBorder="1" applyProtection="1"/>
    <xf numFmtId="0" fontId="0" fillId="4" borderId="43" xfId="0" applyFill="1" applyBorder="1" applyProtection="1"/>
    <xf numFmtId="0" fontId="0" fillId="4" borderId="38" xfId="0" applyFill="1" applyBorder="1" applyProtection="1"/>
    <xf numFmtId="0" fontId="5" fillId="41" borderId="6" xfId="0" applyFont="1" applyFill="1" applyBorder="1" applyAlignment="1" applyProtection="1">
      <alignment horizontal="center"/>
    </xf>
    <xf numFmtId="166" fontId="5" fillId="41" borderId="6" xfId="1" applyNumberFormat="1" applyFont="1" applyFill="1" applyBorder="1" applyProtection="1">
      <protection locked="0"/>
    </xf>
    <xf numFmtId="49" fontId="5" fillId="41" borderId="6" xfId="2" applyNumberFormat="1" applyFont="1" applyFill="1" applyBorder="1" applyAlignment="1" applyProtection="1">
      <alignment horizontal="left"/>
      <protection locked="0"/>
    </xf>
    <xf numFmtId="164" fontId="5" fillId="41" borderId="6" xfId="2" applyNumberFormat="1" applyFont="1" applyFill="1" applyBorder="1" applyAlignment="1" applyProtection="1">
      <alignment horizontal="center"/>
      <protection locked="0"/>
    </xf>
    <xf numFmtId="1" fontId="5" fillId="41" borderId="6" xfId="1" applyNumberFormat="1" applyFont="1" applyFill="1" applyBorder="1" applyAlignment="1" applyProtection="1">
      <alignment horizontal="center"/>
      <protection locked="0"/>
    </xf>
    <xf numFmtId="43" fontId="5" fillId="41" borderId="6" xfId="1" applyNumberFormat="1" applyFont="1" applyFill="1" applyBorder="1" applyAlignment="1" applyProtection="1">
      <alignment horizontal="center"/>
      <protection locked="0"/>
    </xf>
    <xf numFmtId="165" fontId="5" fillId="41" borderId="6" xfId="3" applyNumberFormat="1" applyFont="1" applyFill="1" applyBorder="1" applyAlignment="1" applyProtection="1">
      <alignment horizontal="center"/>
      <protection locked="0"/>
    </xf>
    <xf numFmtId="166" fontId="5" fillId="41" borderId="6" xfId="1" applyNumberFormat="1" applyFont="1" applyFill="1" applyBorder="1" applyProtection="1"/>
    <xf numFmtId="0" fontId="19" fillId="4" borderId="0" xfId="0" applyFont="1" applyFill="1" applyAlignment="1">
      <alignment horizontal="left" vertical="center" wrapText="1"/>
    </xf>
    <xf numFmtId="0" fontId="5" fillId="4" borderId="0" xfId="0" applyFont="1" applyFill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19" fillId="4" borderId="0" xfId="0" applyFont="1" applyFill="1" applyAlignment="1">
      <alignment horizontal="left" vertical="center" wrapText="1"/>
    </xf>
    <xf numFmtId="0" fontId="5" fillId="3" borderId="12" xfId="0" applyFont="1" applyFill="1" applyBorder="1" applyAlignment="1" applyProtection="1">
      <alignment horizontal="left" indent="1"/>
    </xf>
    <xf numFmtId="0" fontId="5" fillId="3" borderId="13" xfId="0" applyFont="1" applyFill="1" applyBorder="1" applyAlignment="1" applyProtection="1">
      <alignment horizontal="left" indent="1"/>
    </xf>
    <xf numFmtId="0" fontId="5" fillId="3" borderId="4" xfId="0" applyFont="1" applyFill="1" applyBorder="1" applyAlignment="1" applyProtection="1">
      <alignment horizontal="left" indent="1"/>
    </xf>
    <xf numFmtId="0" fontId="5" fillId="3" borderId="0" xfId="0" applyFont="1" applyFill="1" applyBorder="1" applyAlignment="1" applyProtection="1">
      <alignment horizontal="left" indent="1"/>
    </xf>
    <xf numFmtId="10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3" xfId="3" applyNumberFormat="1" applyFont="1" applyFill="1" applyBorder="1" applyAlignment="1" applyProtection="1">
      <alignment horizontal="center" vertical="center" wrapText="1"/>
    </xf>
    <xf numFmtId="10" fontId="2" fillId="2" borderId="1" xfId="3" applyNumberFormat="1" applyFont="1" applyFill="1" applyBorder="1" applyAlignment="1" applyProtection="1">
      <alignment horizontal="left" vertical="center" wrapText="1"/>
    </xf>
    <xf numFmtId="10" fontId="2" fillId="2" borderId="2" xfId="3" applyNumberFormat="1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indent="1"/>
    </xf>
    <xf numFmtId="0" fontId="5" fillId="3" borderId="9" xfId="0" applyFont="1" applyFill="1" applyBorder="1" applyAlignment="1" applyProtection="1">
      <alignment horizontal="left" inden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3" borderId="13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10" fontId="2" fillId="2" borderId="2" xfId="3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wrapText="1"/>
    </xf>
    <xf numFmtId="0" fontId="5" fillId="3" borderId="5" xfId="0" applyFont="1" applyFill="1" applyBorder="1" applyAlignment="1" applyProtection="1">
      <alignment horizontal="left" wrapText="1"/>
    </xf>
    <xf numFmtId="0" fontId="5" fillId="3" borderId="4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12" xfId="0" applyFont="1" applyFill="1" applyBorder="1" applyAlignment="1" applyProtection="1">
      <alignment horizontal="left" vertical="top"/>
    </xf>
    <xf numFmtId="0" fontId="5" fillId="3" borderId="13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/>
    </xf>
    <xf numFmtId="0" fontId="5" fillId="3" borderId="13" xfId="0" applyFont="1" applyFill="1" applyBorder="1" applyAlignment="1" applyProtection="1">
      <alignment horizontal="left" wrapText="1"/>
    </xf>
    <xf numFmtId="0" fontId="5" fillId="3" borderId="14" xfId="0" applyFont="1" applyFill="1" applyBorder="1" applyAlignment="1" applyProtection="1">
      <alignment horizontal="left" wrapText="1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32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center" wrapText="1"/>
    </xf>
    <xf numFmtId="0" fontId="8" fillId="2" borderId="10" xfId="0" applyFont="1" applyFill="1" applyBorder="1" applyAlignment="1" applyProtection="1">
      <alignment horizontal="center" wrapText="1"/>
    </xf>
    <xf numFmtId="14" fontId="5" fillId="0" borderId="0" xfId="0" applyNumberFormat="1" applyFont="1" applyFill="1" applyProtection="1"/>
  </cellXfs>
  <cellStyles count="85">
    <cellStyle name="20 % - Accent1" xfId="5"/>
    <cellStyle name="20 % - Accent2" xfId="6"/>
    <cellStyle name="20 % - Accent3" xfId="7"/>
    <cellStyle name="20 % - Accent4" xfId="8"/>
    <cellStyle name="20 % - Accent5" xfId="9"/>
    <cellStyle name="20 % - Accent6" xfId="10"/>
    <cellStyle name="40 % - Accent1" xfId="11"/>
    <cellStyle name="40 % - Accent2" xfId="12"/>
    <cellStyle name="40 % - Accent3" xfId="13"/>
    <cellStyle name="40 % - Accent4" xfId="14"/>
    <cellStyle name="40 % - Accent5" xfId="15"/>
    <cellStyle name="40 % - Accent6" xfId="16"/>
    <cellStyle name="60 % - Accent1" xfId="17"/>
    <cellStyle name="60 % - Accent2" xfId="18"/>
    <cellStyle name="60 % - Accent3" xfId="19"/>
    <cellStyle name="60 % - Accent4" xfId="20"/>
    <cellStyle name="60 % - Accent5" xfId="21"/>
    <cellStyle name="60 % - Accent6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Avertissement" xfId="29"/>
    <cellStyle name="Calcul" xfId="30"/>
    <cellStyle name="Cellule liée" xfId="31"/>
    <cellStyle name="Comma" xfId="1" builtinId="3"/>
    <cellStyle name="Comma 2" xfId="32"/>
    <cellStyle name="Comma 2 2" xfId="33"/>
    <cellStyle name="Comma 3" xfId="34"/>
    <cellStyle name="Commentaire" xfId="35"/>
    <cellStyle name="Currency" xfId="2" builtinId="4"/>
    <cellStyle name="Entrée" xfId="36"/>
    <cellStyle name="Euro" xfId="37"/>
    <cellStyle name="GFSC1" xfId="38"/>
    <cellStyle name="GFSC10" xfId="39"/>
    <cellStyle name="GFSC2" xfId="40"/>
    <cellStyle name="GFSC3" xfId="41"/>
    <cellStyle name="GFSC4" xfId="42"/>
    <cellStyle name="GFSC5" xfId="43"/>
    <cellStyle name="GFSC6" xfId="44"/>
    <cellStyle name="GFSC7" xfId="45"/>
    <cellStyle name="GFSC8" xfId="46"/>
    <cellStyle name="GFSC9" xfId="47"/>
    <cellStyle name="Hyperlink" xfId="4" builtinId="8"/>
    <cellStyle name="Hyperlink 2" xfId="48"/>
    <cellStyle name="Insatisfaisant" xfId="49"/>
    <cellStyle name="Neutre" xfId="50"/>
    <cellStyle name="Normal" xfId="0" builtinId="0"/>
    <cellStyle name="Normal 2" xfId="51"/>
    <cellStyle name="Normal 2 2" xfId="52"/>
    <cellStyle name="Normal 2 3" xfId="53"/>
    <cellStyle name="Normal 3" xfId="54"/>
    <cellStyle name="Normal 4" xfId="55"/>
    <cellStyle name="Percent" xfId="3" builtinId="5"/>
    <cellStyle name="Percent 2" xfId="56"/>
    <cellStyle name="Percent 2 2" xfId="57"/>
    <cellStyle name="Percent 3" xfId="58"/>
    <cellStyle name="QIS2CalcCell" xfId="59"/>
    <cellStyle name="QIS2InputCell" xfId="60"/>
    <cellStyle name="QIS5Area" xfId="61"/>
    <cellStyle name="QIS5CalcCell" xfId="62"/>
    <cellStyle name="QIS5Check" xfId="63"/>
    <cellStyle name="QIS5Empty" xfId="64"/>
    <cellStyle name="QIS5Fix" xfId="65"/>
    <cellStyle name="QIS5Header" xfId="66"/>
    <cellStyle name="QIS5InputCell" xfId="67"/>
    <cellStyle name="QIS5Label" xfId="68"/>
    <cellStyle name="QIS5Locked" xfId="69"/>
    <cellStyle name="QIS5Output" xfId="70"/>
    <cellStyle name="QIS5Param" xfId="71"/>
    <cellStyle name="QIS5SheetHeader" xfId="72"/>
    <cellStyle name="QIS5XLink" xfId="73"/>
    <cellStyle name="Satisfaisant" xfId="74"/>
    <cellStyle name="Sortie" xfId="75"/>
    <cellStyle name="Style 1" xfId="76"/>
    <cellStyle name="Texte explicatif" xfId="77"/>
    <cellStyle name="Titre" xfId="78"/>
    <cellStyle name="Titre 1" xfId="79"/>
    <cellStyle name="Titre 2" xfId="80"/>
    <cellStyle name="Titre 3" xfId="81"/>
    <cellStyle name="Titre 4" xfId="82"/>
    <cellStyle name="Total 2" xfId="83"/>
    <cellStyle name="Vérification" xfId="84"/>
  </cellStyles>
  <dxfs count="56"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b/>
        <i val="0"/>
        <color theme="0"/>
      </font>
      <fill>
        <patternFill>
          <bgColor rgb="FFFF5050"/>
        </patternFill>
      </fill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ill>
        <patternFill patternType="lightUp">
          <bgColor rgb="FFCCFFFF"/>
        </patternFill>
      </fill>
    </dxf>
    <dxf>
      <fill>
        <patternFill patternType="lightUp"/>
      </fill>
    </dxf>
    <dxf>
      <fill>
        <patternFill patternType="lightUp">
          <fgColor auto="1"/>
          <bgColor theme="0"/>
        </patternFill>
      </fill>
    </dxf>
    <dxf>
      <fill>
        <patternFill patternType="lightUp"/>
      </fill>
    </dxf>
    <dxf>
      <fill>
        <patternFill patternType="lightUp">
          <bgColor rgb="FFCCFFFF"/>
        </patternFill>
      </fill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ill>
        <patternFill patternType="lightUp">
          <bgColor rgb="FFCCFFFF"/>
        </patternFill>
      </fill>
    </dxf>
    <dxf>
      <fill>
        <patternFill patternType="lightUp"/>
      </fill>
    </dxf>
    <dxf>
      <fill>
        <patternFill patternType="lightUp">
          <fgColor auto="1"/>
          <bgColor theme="0"/>
        </patternFill>
      </fill>
    </dxf>
    <dxf>
      <fill>
        <patternFill patternType="lightUp"/>
      </fill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ill>
        <patternFill patternType="lightUp">
          <bgColor rgb="FFCCFFFF"/>
        </patternFill>
      </fill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6100"/>
        </left>
        <right style="thin">
          <color rgb="FF006100"/>
        </right>
        <top style="thin">
          <color rgb="FF006100"/>
        </top>
        <bottom style="thin">
          <color rgb="FF006100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DE0029"/>
        </left>
        <right style="thin">
          <color rgb="FFDE0029"/>
        </right>
        <top style="thin">
          <color rgb="FFDE0029"/>
        </top>
        <bottom style="thin">
          <color rgb="FFDE0029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6500"/>
      </font>
      <fill>
        <patternFill>
          <bgColor rgb="FFFFEB9C"/>
        </patternFill>
      </fill>
      <border>
        <left style="thin">
          <color rgb="FF9C6500"/>
        </left>
        <right style="thin">
          <color rgb="FF9C6500"/>
        </right>
        <top style="thin">
          <color rgb="FF9C6500"/>
        </top>
        <bottom style="thin">
          <color rgb="FF9C6500"/>
        </bottom>
      </border>
    </dxf>
  </dxfs>
  <tableStyles count="0" defaultTableStyle="TableStyleMedium2" defaultPivotStyle="PivotStyleLight16"/>
  <colors>
    <mruColors>
      <color rgb="FFFFFFCC"/>
      <color rgb="FFCCFFFF"/>
      <color rgb="FF006100"/>
      <color rgb="FF9C000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CLEATOR\IPA%20Shared%20Data\Actuarial\QIS\QIS4\Life\QIS%20Templates%20Prep\Helper%20Tabs\Counterparty_Default_Risk_Template_L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CLEATOR\IPA%20Shared%20Data\Actuarial\QIS\QIS4\Life\QIS%20Templates%20Prep\Helper%20Tabs\Spread_Risk_Template_N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ype 1 Exposures"/>
      <sheetName val="Capital requirement"/>
      <sheetName val="Mapping"/>
    </sheetNames>
    <sheetDataSet>
      <sheetData sheetId="0" refreshError="1"/>
      <sheetData sheetId="1" refreshError="1"/>
      <sheetData sheetId="2">
        <row r="34">
          <cell r="D34" t="str">
            <v>Assets</v>
          </cell>
          <cell r="E34" t="str">
            <v>VGB</v>
          </cell>
          <cell r="F34" t="str">
            <v>VDB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apital"/>
      <sheetName val="Bonds"/>
      <sheetName val="Securitisations"/>
      <sheetName val="Credit Derivatives"/>
      <sheetName val="Data"/>
    </sheetNames>
    <sheetDataSet>
      <sheetData sheetId="0" refreshError="1"/>
      <sheetData sheetId="1">
        <row r="7">
          <cell r="I7" t="str">
            <v>OK</v>
          </cell>
        </row>
      </sheetData>
      <sheetData sheetId="2">
        <row r="5">
          <cell r="E5">
            <v>0</v>
          </cell>
        </row>
        <row r="6">
          <cell r="E6">
            <v>0</v>
          </cell>
        </row>
      </sheetData>
      <sheetData sheetId="3">
        <row r="5">
          <cell r="E5">
            <v>0</v>
          </cell>
        </row>
        <row r="6">
          <cell r="E6">
            <v>0</v>
          </cell>
        </row>
      </sheetData>
      <sheetData sheetId="4">
        <row r="7">
          <cell r="M7" t="str">
            <v>ERROR</v>
          </cell>
        </row>
        <row r="15">
          <cell r="J15">
            <v>0</v>
          </cell>
        </row>
        <row r="16">
          <cell r="J16">
            <v>0</v>
          </cell>
        </row>
        <row r="18">
          <cell r="J18">
            <v>0</v>
          </cell>
        </row>
        <row r="25">
          <cell r="J25">
            <v>0</v>
          </cell>
        </row>
      </sheetData>
      <sheetData sheetId="5">
        <row r="16">
          <cell r="D16">
            <v>1.96</v>
          </cell>
          <cell r="E16">
            <v>1.75</v>
          </cell>
          <cell r="F16">
            <v>1.22</v>
          </cell>
          <cell r="G16">
            <v>0.95</v>
          </cell>
          <cell r="H16">
            <v>0.75</v>
          </cell>
          <cell r="I16">
            <v>0.75</v>
          </cell>
        </row>
        <row r="17">
          <cell r="D17">
            <v>1</v>
          </cell>
          <cell r="E17">
            <v>2</v>
          </cell>
          <cell r="F17">
            <v>3</v>
          </cell>
          <cell r="G17">
            <v>4</v>
          </cell>
          <cell r="H17">
            <v>5</v>
          </cell>
          <cell r="I17">
            <v>6</v>
          </cell>
        </row>
        <row r="21">
          <cell r="D21">
            <v>0</v>
          </cell>
          <cell r="E21">
            <v>1</v>
          </cell>
          <cell r="F21">
            <v>2</v>
          </cell>
          <cell r="G21">
            <v>3</v>
          </cell>
          <cell r="H21">
            <v>4</v>
          </cell>
          <cell r="I21">
            <v>5</v>
          </cell>
          <cell r="J21">
            <v>6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N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C22">
            <v>0</v>
          </cell>
        </row>
        <row r="23">
          <cell r="C23">
            <v>5</v>
          </cell>
          <cell r="D23">
            <v>4.4999999999999998E-2</v>
          </cell>
          <cell r="E23">
            <v>5.5E-2</v>
          </cell>
          <cell r="F23">
            <v>7.0000000000000007E-2</v>
          </cell>
          <cell r="G23">
            <v>0.125</v>
          </cell>
          <cell r="H23">
            <v>0.22500000000000001</v>
          </cell>
          <cell r="I23">
            <v>0.375</v>
          </cell>
          <cell r="J23">
            <v>0.375</v>
          </cell>
          <cell r="L23">
            <v>0.15</v>
          </cell>
          <cell r="N23">
            <v>0.375</v>
          </cell>
          <cell r="S23">
            <v>2.1999999999999999E-2</v>
          </cell>
          <cell r="T23">
            <v>2.7E-2</v>
          </cell>
          <cell r="U23">
            <v>3.5000000000000003E-2</v>
          </cell>
          <cell r="V23">
            <v>6.2E-2</v>
          </cell>
          <cell r="W23">
            <v>0.112</v>
          </cell>
          <cell r="X23">
            <v>0.187</v>
          </cell>
          <cell r="Y23">
            <v>0.187</v>
          </cell>
          <cell r="AA23">
            <v>7.4999999999999997E-2</v>
          </cell>
          <cell r="AC23">
            <v>0.187</v>
          </cell>
        </row>
        <row r="24">
          <cell r="C24">
            <v>10</v>
          </cell>
          <cell r="D24">
            <v>7.1999999999999995E-2</v>
          </cell>
          <cell r="E24">
            <v>8.4000000000000005E-2</v>
          </cell>
          <cell r="F24">
            <v>0.105</v>
          </cell>
          <cell r="G24">
            <v>0.2</v>
          </cell>
          <cell r="H24">
            <v>0.35</v>
          </cell>
          <cell r="I24">
            <v>0.58499999999999996</v>
          </cell>
          <cell r="J24">
            <v>0.58499999999999996</v>
          </cell>
          <cell r="L24">
            <v>0.23499999999999999</v>
          </cell>
          <cell r="N24">
            <v>0.58499999999999996</v>
          </cell>
          <cell r="S24">
            <v>3.5999999999999997E-2</v>
          </cell>
          <cell r="T24">
            <v>4.2000000000000003E-2</v>
          </cell>
          <cell r="U24">
            <v>5.1999999999999998E-2</v>
          </cell>
          <cell r="V24">
            <v>0.1</v>
          </cell>
          <cell r="W24">
            <v>0.17399999999999999</v>
          </cell>
          <cell r="X24">
            <v>0.29099999999999998</v>
          </cell>
          <cell r="Y24">
            <v>0.29099999999999998</v>
          </cell>
          <cell r="AA24">
            <v>0.11700000000000001</v>
          </cell>
          <cell r="AC24">
            <v>0.29099999999999998</v>
          </cell>
        </row>
        <row r="25">
          <cell r="C25">
            <v>15</v>
          </cell>
          <cell r="D25">
            <v>9.7000000000000003E-2</v>
          </cell>
          <cell r="E25">
            <v>0.109</v>
          </cell>
          <cell r="F25">
            <v>0.13</v>
          </cell>
          <cell r="G25">
            <v>0.25</v>
          </cell>
          <cell r="H25">
            <v>0.44</v>
          </cell>
          <cell r="I25">
            <v>0.61</v>
          </cell>
          <cell r="J25">
            <v>0.61</v>
          </cell>
          <cell r="L25">
            <v>0.29499999999999998</v>
          </cell>
          <cell r="N25">
            <v>0.61</v>
          </cell>
          <cell r="S25">
            <v>4.8000000000000001E-2</v>
          </cell>
          <cell r="T25">
            <v>5.3999999999999999E-2</v>
          </cell>
          <cell r="U25">
            <v>6.5000000000000002E-2</v>
          </cell>
          <cell r="V25">
            <v>0.124</v>
          </cell>
          <cell r="W25">
            <v>0.219</v>
          </cell>
          <cell r="X25">
            <v>0.30299999999999999</v>
          </cell>
          <cell r="Y25">
            <v>0.30299999999999999</v>
          </cell>
          <cell r="AA25">
            <v>0.14700000000000002</v>
          </cell>
          <cell r="AC25">
            <v>0.30299999999999999</v>
          </cell>
        </row>
        <row r="26">
          <cell r="C26">
            <v>20</v>
          </cell>
          <cell r="D26">
            <v>0.122</v>
          </cell>
          <cell r="E26">
            <v>0.13400000000000001</v>
          </cell>
          <cell r="F26">
            <v>0.155</v>
          </cell>
          <cell r="G26">
            <v>0.3</v>
          </cell>
          <cell r="H26">
            <v>0.46600000000000003</v>
          </cell>
          <cell r="I26">
            <v>0.63500000000000001</v>
          </cell>
          <cell r="J26">
            <v>0.63500000000000001</v>
          </cell>
          <cell r="L26">
            <v>0.35499999999999998</v>
          </cell>
          <cell r="N26">
            <v>0.63500000000000001</v>
          </cell>
          <cell r="S26">
            <v>6.0999999999999999E-2</v>
          </cell>
          <cell r="T26">
            <v>6.7000000000000004E-2</v>
          </cell>
          <cell r="U26">
            <v>7.6999999999999999E-2</v>
          </cell>
          <cell r="V26">
            <v>0.15</v>
          </cell>
          <cell r="W26">
            <v>0.23100000000000001</v>
          </cell>
          <cell r="X26">
            <v>0.316</v>
          </cell>
          <cell r="Y26">
            <v>0.316</v>
          </cell>
          <cell r="AA26">
            <v>0.17699999999999999</v>
          </cell>
          <cell r="AC26">
            <v>0.316</v>
          </cell>
        </row>
        <row r="30">
          <cell r="D30">
            <v>8.9999999999999993E-3</v>
          </cell>
          <cell r="E30">
            <v>1.0999999999999999E-2</v>
          </cell>
          <cell r="F30">
            <v>1.4E-2</v>
          </cell>
          <cell r="G30">
            <v>2.5000000000000001E-2</v>
          </cell>
          <cell r="H30">
            <v>4.4999999999999998E-2</v>
          </cell>
          <cell r="I30">
            <v>7.4999999999999997E-2</v>
          </cell>
          <cell r="J30">
            <v>7.4999999999999997E-2</v>
          </cell>
          <cell r="L30">
            <v>0.03</v>
          </cell>
          <cell r="N30">
            <v>7.4999999999999997E-2</v>
          </cell>
          <cell r="S30">
            <v>4.0000000000000001E-3</v>
          </cell>
          <cell r="T30">
            <v>5.0000000000000001E-3</v>
          </cell>
          <cell r="U30">
            <v>7.0000000000000001E-3</v>
          </cell>
          <cell r="V30">
            <v>1.2E-2</v>
          </cell>
          <cell r="W30">
            <v>2.1999999999999999E-2</v>
          </cell>
          <cell r="X30">
            <v>3.6999999999999998E-2</v>
          </cell>
          <cell r="Y30">
            <v>3.6999999999999998E-2</v>
          </cell>
          <cell r="AA30">
            <v>1.4999999999999999E-2</v>
          </cell>
          <cell r="AC30">
            <v>3.6999999999999998E-2</v>
          </cell>
        </row>
        <row r="31">
          <cell r="D31">
            <v>5.0000000000000001E-3</v>
          </cell>
          <cell r="E31">
            <v>6.0000000000000001E-3</v>
          </cell>
          <cell r="F31">
            <v>7.0000000000000001E-3</v>
          </cell>
          <cell r="G31">
            <v>1.4999999999999999E-2</v>
          </cell>
          <cell r="H31">
            <v>2.5000000000000001E-2</v>
          </cell>
          <cell r="I31">
            <v>4.2000000000000003E-2</v>
          </cell>
          <cell r="J31">
            <v>4.2000000000000003E-2</v>
          </cell>
          <cell r="L31">
            <v>1.7000000000000001E-2</v>
          </cell>
          <cell r="N31">
            <v>4.2000000000000003E-2</v>
          </cell>
          <cell r="S31">
            <v>3.0000000000000001E-3</v>
          </cell>
          <cell r="T31">
            <v>3.0000000000000001E-3</v>
          </cell>
          <cell r="U31">
            <v>3.0000000000000001E-3</v>
          </cell>
          <cell r="V31">
            <v>7.0000000000000001E-3</v>
          </cell>
          <cell r="W31">
            <v>1.2E-2</v>
          </cell>
          <cell r="X31">
            <v>2.1000000000000001E-2</v>
          </cell>
          <cell r="Y31">
            <v>2.1000000000000001E-2</v>
          </cell>
          <cell r="AA31">
            <v>8.0000000000000002E-3</v>
          </cell>
          <cell r="AC31">
            <v>2.1000000000000001E-2</v>
          </cell>
        </row>
        <row r="32">
          <cell r="D32">
            <v>5.0000000000000001E-3</v>
          </cell>
          <cell r="E32">
            <v>5.0000000000000001E-3</v>
          </cell>
          <cell r="F32">
            <v>5.0000000000000001E-3</v>
          </cell>
          <cell r="G32">
            <v>0.01</v>
          </cell>
          <cell r="H32">
            <v>1.7999999999999999E-2</v>
          </cell>
          <cell r="I32">
            <v>5.0000000000000001E-3</v>
          </cell>
          <cell r="J32">
            <v>5.0000000000000001E-3</v>
          </cell>
          <cell r="L32">
            <v>1.2E-2</v>
          </cell>
          <cell r="N32">
            <v>5.0000000000000001E-3</v>
          </cell>
          <cell r="S32">
            <v>2E-3</v>
          </cell>
          <cell r="T32">
            <v>2E-3</v>
          </cell>
          <cell r="U32">
            <v>2E-3</v>
          </cell>
          <cell r="V32">
            <v>5.0000000000000001E-3</v>
          </cell>
          <cell r="W32">
            <v>8.9999999999999993E-3</v>
          </cell>
          <cell r="X32">
            <v>2E-3</v>
          </cell>
          <cell r="Y32">
            <v>2E-3</v>
          </cell>
          <cell r="AA32">
            <v>6.0000000000000001E-3</v>
          </cell>
          <cell r="AC32">
            <v>2E-3</v>
          </cell>
        </row>
        <row r="33">
          <cell r="D33">
            <v>5.0000000000000001E-3</v>
          </cell>
          <cell r="E33">
            <v>5.0000000000000001E-3</v>
          </cell>
          <cell r="F33">
            <v>5.0000000000000001E-3</v>
          </cell>
          <cell r="G33">
            <v>0.01</v>
          </cell>
          <cell r="H33">
            <v>5.0000000000000001E-3</v>
          </cell>
          <cell r="I33">
            <v>5.0000000000000001E-3</v>
          </cell>
          <cell r="J33">
            <v>5.0000000000000001E-3</v>
          </cell>
          <cell r="L33">
            <v>1.2E-2</v>
          </cell>
          <cell r="N33">
            <v>5.0000000000000001E-3</v>
          </cell>
          <cell r="S33">
            <v>2E-3</v>
          </cell>
          <cell r="T33">
            <v>2E-3</v>
          </cell>
          <cell r="U33">
            <v>2E-3</v>
          </cell>
          <cell r="V33">
            <v>5.0000000000000001E-3</v>
          </cell>
          <cell r="W33">
            <v>2E-3</v>
          </cell>
          <cell r="X33">
            <v>2E-3</v>
          </cell>
          <cell r="Y33">
            <v>2E-3</v>
          </cell>
          <cell r="AA33">
            <v>6.0000000000000001E-3</v>
          </cell>
          <cell r="AC33">
            <v>2E-3</v>
          </cell>
        </row>
        <row r="34">
          <cell r="D34">
            <v>5.0000000000000001E-3</v>
          </cell>
          <cell r="E34">
            <v>5.0000000000000001E-3</v>
          </cell>
          <cell r="F34">
            <v>5.0000000000000001E-3</v>
          </cell>
          <cell r="G34">
            <v>5.0000000000000001E-3</v>
          </cell>
          <cell r="H34">
            <v>5.0000000000000001E-3</v>
          </cell>
          <cell r="I34">
            <v>5.0000000000000001E-3</v>
          </cell>
          <cell r="J34">
            <v>5.0000000000000001E-3</v>
          </cell>
          <cell r="L34">
            <v>5.0000000000000001E-3</v>
          </cell>
          <cell r="N34">
            <v>5.0000000000000001E-3</v>
          </cell>
          <cell r="S34">
            <v>2E-3</v>
          </cell>
          <cell r="T34">
            <v>2E-3</v>
          </cell>
          <cell r="U34">
            <v>2E-3</v>
          </cell>
          <cell r="V34">
            <v>2E-3</v>
          </cell>
          <cell r="W34">
            <v>2E-3</v>
          </cell>
          <cell r="X34">
            <v>2E-3</v>
          </cell>
          <cell r="Y34">
            <v>2E-3</v>
          </cell>
          <cell r="AA34">
            <v>2E-3</v>
          </cell>
          <cell r="AC34">
            <v>2E-3</v>
          </cell>
        </row>
        <row r="37">
          <cell r="D37">
            <v>0</v>
          </cell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S38">
            <v>0</v>
          </cell>
          <cell r="T38">
            <v>0</v>
          </cell>
        </row>
        <row r="39">
          <cell r="C39">
            <v>5</v>
          </cell>
          <cell r="D39">
            <v>3.5000000000000003E-2</v>
          </cell>
          <cell r="E39">
            <v>4.4999999999999998E-2</v>
          </cell>
          <cell r="S39">
            <v>1.7000000000000001E-2</v>
          </cell>
          <cell r="T39">
            <v>2.1999999999999999E-2</v>
          </cell>
        </row>
        <row r="43">
          <cell r="D43">
            <v>7.0000000000000001E-3</v>
          </cell>
          <cell r="E43">
            <v>8.9999999999999993E-3</v>
          </cell>
          <cell r="S43">
            <v>3.0000000000000001E-3</v>
          </cell>
          <cell r="T43">
            <v>4.0000000000000001E-3</v>
          </cell>
        </row>
        <row r="44">
          <cell r="D44">
            <v>5.0000000000000001E-3</v>
          </cell>
          <cell r="E44">
            <v>5.0000000000000001E-3</v>
          </cell>
          <cell r="S44">
            <v>2E-3</v>
          </cell>
          <cell r="T44">
            <v>2E-3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D49">
            <v>0</v>
          </cell>
          <cell r="E49">
            <v>0</v>
          </cell>
          <cell r="F49">
            <v>5.5E-2</v>
          </cell>
          <cell r="G49">
            <v>7.0000000000000007E-2</v>
          </cell>
          <cell r="H49">
            <v>0.125</v>
          </cell>
          <cell r="I49">
            <v>0.22500000000000001</v>
          </cell>
          <cell r="J49">
            <v>0.22500000000000001</v>
          </cell>
          <cell r="S49">
            <v>0</v>
          </cell>
          <cell r="T49">
            <v>0</v>
          </cell>
          <cell r="U49">
            <v>2.7E-2</v>
          </cell>
          <cell r="V49">
            <v>3.5000000000000003E-2</v>
          </cell>
          <cell r="W49">
            <v>6.2E-2</v>
          </cell>
          <cell r="X49">
            <v>0.112</v>
          </cell>
          <cell r="Y49">
            <v>0.112</v>
          </cell>
        </row>
        <row r="50">
          <cell r="D50">
            <v>0</v>
          </cell>
          <cell r="E50">
            <v>0</v>
          </cell>
          <cell r="F50">
            <v>8.4000000000000005E-2</v>
          </cell>
          <cell r="G50">
            <v>0.105</v>
          </cell>
          <cell r="H50">
            <v>0.2</v>
          </cell>
          <cell r="I50">
            <v>0.35</v>
          </cell>
          <cell r="J50">
            <v>0.35</v>
          </cell>
          <cell r="S50">
            <v>0</v>
          </cell>
          <cell r="T50">
            <v>0</v>
          </cell>
          <cell r="U50">
            <v>4.2000000000000003E-2</v>
          </cell>
          <cell r="V50">
            <v>5.1999999999999998E-2</v>
          </cell>
          <cell r="W50">
            <v>0.1</v>
          </cell>
          <cell r="X50">
            <v>0.17399999999999999</v>
          </cell>
          <cell r="Y50">
            <v>0.17399999999999999</v>
          </cell>
        </row>
        <row r="51">
          <cell r="D51">
            <v>0</v>
          </cell>
          <cell r="E51">
            <v>0</v>
          </cell>
          <cell r="F51">
            <v>0.109</v>
          </cell>
          <cell r="G51">
            <v>0.13</v>
          </cell>
          <cell r="H51">
            <v>0.25</v>
          </cell>
          <cell r="I51">
            <v>0.44</v>
          </cell>
          <cell r="J51">
            <v>0.44</v>
          </cell>
          <cell r="S51">
            <v>0</v>
          </cell>
          <cell r="T51">
            <v>0</v>
          </cell>
          <cell r="U51">
            <v>5.3999999999999999E-2</v>
          </cell>
          <cell r="V51">
            <v>6.5000000000000002E-2</v>
          </cell>
          <cell r="W51">
            <v>0.124</v>
          </cell>
          <cell r="X51">
            <v>0.219</v>
          </cell>
          <cell r="Y51">
            <v>0.219</v>
          </cell>
        </row>
        <row r="52">
          <cell r="D52">
            <v>0</v>
          </cell>
          <cell r="E52">
            <v>0</v>
          </cell>
          <cell r="F52">
            <v>0.13400000000000001</v>
          </cell>
          <cell r="G52">
            <v>0.155</v>
          </cell>
          <cell r="H52">
            <v>0.3</v>
          </cell>
          <cell r="I52">
            <v>0.46500000000000002</v>
          </cell>
          <cell r="J52">
            <v>0.46500000000000002</v>
          </cell>
          <cell r="S52">
            <v>0</v>
          </cell>
          <cell r="T52">
            <v>0</v>
          </cell>
          <cell r="U52">
            <v>6.7000000000000004E-2</v>
          </cell>
          <cell r="V52">
            <v>7.6999999999999999E-2</v>
          </cell>
          <cell r="W52">
            <v>0.14899999999999999</v>
          </cell>
          <cell r="X52">
            <v>0.23100000000000001</v>
          </cell>
          <cell r="Y52">
            <v>0.23100000000000001</v>
          </cell>
        </row>
        <row r="56">
          <cell r="D56">
            <v>0</v>
          </cell>
          <cell r="E56">
            <v>0</v>
          </cell>
          <cell r="F56">
            <v>1.0999999999999999E-2</v>
          </cell>
          <cell r="G56">
            <v>1.4E-2</v>
          </cell>
          <cell r="H56">
            <v>2.5000000000000001E-2</v>
          </cell>
          <cell r="I56">
            <v>4.4999999999999998E-2</v>
          </cell>
          <cell r="J56">
            <v>4.4999999999999998E-2</v>
          </cell>
          <cell r="S56">
            <v>0</v>
          </cell>
          <cell r="T56">
            <v>0</v>
          </cell>
          <cell r="U56">
            <v>5.0000000000000001E-3</v>
          </cell>
          <cell r="V56">
            <v>7.0000000000000001E-3</v>
          </cell>
          <cell r="W56">
            <v>1.2E-2</v>
          </cell>
          <cell r="X56">
            <v>2.1999999999999999E-2</v>
          </cell>
          <cell r="Y56">
            <v>2.1999999999999999E-2</v>
          </cell>
        </row>
        <row r="57">
          <cell r="D57">
            <v>0</v>
          </cell>
          <cell r="E57">
            <v>0</v>
          </cell>
          <cell r="F57">
            <v>6.0000000000000001E-3</v>
          </cell>
          <cell r="G57">
            <v>7.0000000000000001E-3</v>
          </cell>
          <cell r="H57">
            <v>1.4999999999999999E-2</v>
          </cell>
          <cell r="I57">
            <v>2.5000000000000001E-2</v>
          </cell>
          <cell r="J57">
            <v>2.5000000000000001E-2</v>
          </cell>
          <cell r="S57">
            <v>0</v>
          </cell>
          <cell r="T57">
            <v>0</v>
          </cell>
          <cell r="U57">
            <v>3.0000000000000001E-3</v>
          </cell>
          <cell r="V57">
            <v>3.0000000000000001E-3</v>
          </cell>
          <cell r="W57">
            <v>7.0000000000000001E-3</v>
          </cell>
          <cell r="X57">
            <v>1.2E-2</v>
          </cell>
          <cell r="Y57">
            <v>1.2E-2</v>
          </cell>
        </row>
        <row r="58">
          <cell r="D58">
            <v>0</v>
          </cell>
          <cell r="E58">
            <v>0</v>
          </cell>
          <cell r="F58">
            <v>5.0000000000000001E-3</v>
          </cell>
          <cell r="G58">
            <v>5.0000000000000001E-3</v>
          </cell>
          <cell r="H58">
            <v>0.01</v>
          </cell>
          <cell r="I58">
            <v>1.7999999999999999E-2</v>
          </cell>
          <cell r="J58">
            <v>1.7999999999999999E-2</v>
          </cell>
          <cell r="S58">
            <v>0</v>
          </cell>
          <cell r="T58">
            <v>0</v>
          </cell>
          <cell r="U58">
            <v>2E-3</v>
          </cell>
          <cell r="V58">
            <v>2E-3</v>
          </cell>
          <cell r="W58">
            <v>5.0000000000000001E-3</v>
          </cell>
          <cell r="X58">
            <v>8.9999999999999993E-3</v>
          </cell>
          <cell r="Y58">
            <v>8.9999999999999993E-3</v>
          </cell>
        </row>
        <row r="59">
          <cell r="D59">
            <v>0</v>
          </cell>
          <cell r="E59">
            <v>0</v>
          </cell>
          <cell r="F59">
            <v>5.0000000000000001E-3</v>
          </cell>
          <cell r="G59">
            <v>5.0000000000000001E-3</v>
          </cell>
          <cell r="H59">
            <v>0.01</v>
          </cell>
          <cell r="I59">
            <v>5.0000000000000001E-3</v>
          </cell>
          <cell r="J59">
            <v>5.0000000000000001E-3</v>
          </cell>
          <cell r="S59">
            <v>0</v>
          </cell>
          <cell r="T59">
            <v>0</v>
          </cell>
          <cell r="U59">
            <v>2E-3</v>
          </cell>
          <cell r="V59">
            <v>2E-3</v>
          </cell>
          <cell r="W59">
            <v>5.0000000000000001E-3</v>
          </cell>
          <cell r="X59">
            <v>2E-3</v>
          </cell>
          <cell r="Y59">
            <v>2E-3</v>
          </cell>
        </row>
        <row r="60">
          <cell r="D60">
            <v>0</v>
          </cell>
          <cell r="E60">
            <v>0</v>
          </cell>
          <cell r="F60">
            <v>5.0000000000000001E-3</v>
          </cell>
          <cell r="G60">
            <v>5.0000000000000001E-3</v>
          </cell>
          <cell r="H60">
            <v>5.0000000000000001E-3</v>
          </cell>
          <cell r="I60">
            <v>5.0000000000000001E-3</v>
          </cell>
          <cell r="J60">
            <v>5.0000000000000001E-3</v>
          </cell>
          <cell r="S60">
            <v>0</v>
          </cell>
          <cell r="T60">
            <v>0</v>
          </cell>
          <cell r="U60">
            <v>2E-3</v>
          </cell>
          <cell r="V60">
            <v>2E-3</v>
          </cell>
          <cell r="W60">
            <v>2E-3</v>
          </cell>
          <cell r="X60">
            <v>2E-3</v>
          </cell>
          <cell r="Y60">
            <v>2E-3</v>
          </cell>
        </row>
        <row r="68">
          <cell r="C68" t="str">
            <v>Type 1</v>
          </cell>
          <cell r="D68">
            <v>2.1000000000000001E-2</v>
          </cell>
          <cell r="E68">
            <v>4.2000000000000003E-2</v>
          </cell>
          <cell r="F68">
            <v>7.3999999999999996E-2</v>
          </cell>
          <cell r="G68">
            <v>8.5000000000000006E-2</v>
          </cell>
          <cell r="S68">
            <v>0.01</v>
          </cell>
          <cell r="T68">
            <v>2.1000000000000001E-2</v>
          </cell>
          <cell r="U68">
            <v>3.6999999999999998E-2</v>
          </cell>
          <cell r="V68">
            <v>4.2000000000000003E-2</v>
          </cell>
        </row>
        <row r="69">
          <cell r="C69" t="str">
            <v>Type 2</v>
          </cell>
          <cell r="D69">
            <v>0.125</v>
          </cell>
          <cell r="E69">
            <v>0.13400000000000001</v>
          </cell>
          <cell r="F69">
            <v>0.16600000000000001</v>
          </cell>
          <cell r="G69">
            <v>0.19700000000000001</v>
          </cell>
          <cell r="H69">
            <v>0.82</v>
          </cell>
          <cell r="I69">
            <v>1</v>
          </cell>
          <cell r="J69">
            <v>1</v>
          </cell>
          <cell r="S69">
            <v>6.2E-2</v>
          </cell>
          <cell r="T69">
            <v>6.7000000000000004E-2</v>
          </cell>
          <cell r="U69">
            <v>8.3000000000000004E-2</v>
          </cell>
          <cell r="V69">
            <v>9.8000000000000004E-2</v>
          </cell>
          <cell r="W69">
            <v>0.40799999999999997</v>
          </cell>
          <cell r="X69">
            <v>0.498</v>
          </cell>
          <cell r="Y69">
            <v>0.498</v>
          </cell>
        </row>
        <row r="70">
          <cell r="C70" t="str">
            <v>Re-Sec.</v>
          </cell>
          <cell r="D70">
            <v>0.33</v>
          </cell>
          <cell r="E70">
            <v>0.4</v>
          </cell>
          <cell r="F70">
            <v>0.51</v>
          </cell>
          <cell r="G70">
            <v>0.91</v>
          </cell>
          <cell r="H70">
            <v>1</v>
          </cell>
          <cell r="I70">
            <v>1</v>
          </cell>
          <cell r="J70">
            <v>1</v>
          </cell>
          <cell r="S70">
            <v>0.16400000000000001</v>
          </cell>
          <cell r="T70">
            <v>0.19900000000000001</v>
          </cell>
          <cell r="U70">
            <v>0.254</v>
          </cell>
          <cell r="V70">
            <v>0.45300000000000001</v>
          </cell>
          <cell r="W70">
            <v>0.498</v>
          </cell>
          <cell r="X70">
            <v>0.498</v>
          </cell>
          <cell r="Y70">
            <v>0.498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zoomScale="80" zoomScaleNormal="80" workbookViewId="0">
      <selection activeCell="C10" sqref="C10"/>
    </sheetView>
  </sheetViews>
  <sheetFormatPr defaultColWidth="0" defaultRowHeight="0" customHeight="1" zeroHeight="1" x14ac:dyDescent="0.2"/>
  <cols>
    <col min="1" max="1" width="1.875" style="42" customWidth="1"/>
    <col min="2" max="2" width="20.125" style="42" customWidth="1"/>
    <col min="3" max="3" width="9.5" style="42" bestFit="1" customWidth="1"/>
    <col min="4" max="4" width="52.75" style="42" customWidth="1"/>
    <col min="5" max="5" width="1.875" style="42" customWidth="1"/>
    <col min="6" max="6" width="11.25" style="42" customWidth="1"/>
    <col min="7" max="7" width="1.875" style="42" customWidth="1"/>
    <col min="8" max="8" width="2" style="42" customWidth="1"/>
    <col min="9" max="9" width="0" style="42" hidden="1" customWidth="1"/>
    <col min="10" max="16384" width="9" style="42" hidden="1"/>
  </cols>
  <sheetData>
    <row r="1" spans="1:9" s="38" customFormat="1" ht="15.75" x14ac:dyDescent="0.25">
      <c r="A1" s="35" t="str">
        <f ca="1">RIGHT(CELL("filename",$A$1),LEN(CELL("filename",$A$1))-FIND("]",CELL("filename",$A$1)))</f>
        <v>Index</v>
      </c>
      <c r="B1" s="36"/>
      <c r="C1" s="37"/>
      <c r="D1" s="37"/>
      <c r="E1" s="35"/>
      <c r="F1" s="37"/>
      <c r="G1" s="35"/>
      <c r="H1" s="37"/>
      <c r="I1" s="37"/>
    </row>
    <row r="2" spans="1:9" s="41" customFormat="1" ht="12.75" x14ac:dyDescent="0.2">
      <c r="A2" s="39"/>
      <c r="B2" s="39"/>
      <c r="C2" s="39"/>
      <c r="D2" s="39"/>
      <c r="E2" s="39"/>
      <c r="F2" s="40"/>
      <c r="G2" s="39"/>
      <c r="I2" s="39"/>
    </row>
    <row r="3" spans="1:9" ht="12.75" x14ac:dyDescent="0.2"/>
    <row r="4" spans="1:9" s="216" customFormat="1" ht="24" customHeight="1" x14ac:dyDescent="0.2">
      <c r="A4" s="216" t="s">
        <v>136</v>
      </c>
    </row>
    <row r="5" spans="1:9" s="213" customFormat="1" ht="13.5" customHeight="1" x14ac:dyDescent="0.2"/>
    <row r="6" spans="1:9" s="216" customFormat="1" ht="19.5" customHeight="1" x14ac:dyDescent="0.2">
      <c r="A6" s="216" t="s">
        <v>134</v>
      </c>
    </row>
    <row r="7" spans="1:9" ht="12.75" x14ac:dyDescent="0.2"/>
    <row r="8" spans="1:9" s="216" customFormat="1" ht="30.75" customHeight="1" x14ac:dyDescent="0.2">
      <c r="A8" s="216" t="s">
        <v>108</v>
      </c>
    </row>
    <row r="9" spans="1:9" ht="13.5" thickBot="1" x14ac:dyDescent="0.25">
      <c r="B9" s="214"/>
      <c r="C9" s="214"/>
      <c r="D9" s="214"/>
      <c r="E9" s="214"/>
      <c r="F9" s="214"/>
    </row>
    <row r="10" spans="1:9" ht="13.5" thickBot="1" x14ac:dyDescent="0.25">
      <c r="B10" s="42" t="s">
        <v>135</v>
      </c>
      <c r="C10" s="257">
        <v>44742</v>
      </c>
      <c r="D10" s="43"/>
      <c r="E10" s="44"/>
      <c r="F10" s="45" t="s">
        <v>96</v>
      </c>
      <c r="G10" s="46"/>
    </row>
    <row r="11" spans="1:9" ht="6.75" customHeight="1" x14ac:dyDescent="0.2">
      <c r="D11" s="47"/>
      <c r="E11" s="48"/>
      <c r="F11" s="49"/>
      <c r="G11" s="50"/>
    </row>
    <row r="12" spans="1:9" ht="12.75" x14ac:dyDescent="0.2">
      <c r="D12" s="47"/>
      <c r="E12" s="51"/>
      <c r="F12" s="205" t="s">
        <v>97</v>
      </c>
      <c r="G12" s="52"/>
    </row>
    <row r="13" spans="1:9" ht="5.25" customHeight="1" x14ac:dyDescent="0.2">
      <c r="D13" s="47"/>
      <c r="E13" s="51"/>
      <c r="F13" s="53"/>
      <c r="G13" s="52"/>
    </row>
    <row r="14" spans="1:9" ht="12.75" x14ac:dyDescent="0.2">
      <c r="D14" s="47"/>
      <c r="E14" s="51"/>
      <c r="F14" s="54" t="s">
        <v>98</v>
      </c>
      <c r="G14" s="52"/>
    </row>
    <row r="15" spans="1:9" ht="5.25" customHeight="1" x14ac:dyDescent="0.2">
      <c r="D15" s="47"/>
      <c r="E15" s="51"/>
      <c r="F15" s="53"/>
      <c r="G15" s="52"/>
    </row>
    <row r="16" spans="1:9" ht="12.75" x14ac:dyDescent="0.2">
      <c r="D16" s="47"/>
      <c r="E16" s="51"/>
      <c r="F16" s="55" t="s">
        <v>99</v>
      </c>
      <c r="G16" s="52"/>
    </row>
    <row r="17" spans="2:7" ht="5.25" customHeight="1" x14ac:dyDescent="0.2">
      <c r="D17" s="47"/>
      <c r="E17" s="51"/>
      <c r="F17" s="53"/>
      <c r="G17" s="52"/>
    </row>
    <row r="18" spans="2:7" ht="12.75" x14ac:dyDescent="0.2">
      <c r="D18" s="47"/>
      <c r="E18" s="51"/>
      <c r="F18" s="56" t="s">
        <v>99</v>
      </c>
      <c r="G18" s="52"/>
    </row>
    <row r="19" spans="2:7" ht="13.5" thickBot="1" x14ac:dyDescent="0.25">
      <c r="D19" s="47"/>
      <c r="E19" s="57"/>
      <c r="F19" s="58"/>
      <c r="G19" s="59"/>
    </row>
    <row r="20" spans="2:7" ht="13.5" thickBot="1" x14ac:dyDescent="0.25"/>
    <row r="21" spans="2:7" ht="13.5" thickBot="1" x14ac:dyDescent="0.25">
      <c r="B21" s="60" t="s">
        <v>100</v>
      </c>
      <c r="C21" s="61" t="s">
        <v>101</v>
      </c>
      <c r="D21" s="62" t="s">
        <v>102</v>
      </c>
      <c r="E21" s="62"/>
      <c r="F21" s="62"/>
      <c r="G21" s="63"/>
    </row>
    <row r="22" spans="2:7" ht="12.75" x14ac:dyDescent="0.2">
      <c r="B22" s="64"/>
      <c r="C22" s="65"/>
      <c r="D22" s="66"/>
      <c r="E22" s="66"/>
      <c r="F22" s="67"/>
      <c r="G22" s="68"/>
    </row>
    <row r="23" spans="2:7" ht="26.25" customHeight="1" x14ac:dyDescent="0.2">
      <c r="B23" s="69" t="str">
        <f ca="1">RIGHT(CELL("filename",Capital!$A$3),LEN(CELL("filename",Capital!$A$3))-FIND("]",CELL("filename",$A$1)))</f>
        <v>Capital</v>
      </c>
      <c r="C23" s="34" t="s">
        <v>101</v>
      </c>
      <c r="D23" s="215" t="s">
        <v>107</v>
      </c>
      <c r="E23" s="215"/>
      <c r="F23" s="215"/>
      <c r="G23" s="70"/>
    </row>
    <row r="24" spans="2:7" ht="5.25" customHeight="1" x14ac:dyDescent="0.2">
      <c r="B24" s="71"/>
      <c r="C24" s="72"/>
      <c r="D24" s="47"/>
      <c r="E24" s="47"/>
      <c r="F24" s="73"/>
      <c r="G24" s="70"/>
    </row>
    <row r="25" spans="2:7" ht="199.5" customHeight="1" x14ac:dyDescent="0.2">
      <c r="B25" s="69" t="str">
        <f ca="1">RIGHT(CELL("filename",Bonds!$A$3),LEN(CELL("filename",Bonds!$A$3))-FIND("]",CELL("filename",$A$1)))</f>
        <v>Bonds</v>
      </c>
      <c r="C25" s="34" t="s">
        <v>101</v>
      </c>
      <c r="D25" s="215" t="s">
        <v>109</v>
      </c>
      <c r="E25" s="215"/>
      <c r="F25" s="215"/>
      <c r="G25" s="70"/>
    </row>
    <row r="26" spans="2:7" ht="5.25" customHeight="1" x14ac:dyDescent="0.2">
      <c r="B26" s="71"/>
      <c r="C26" s="72"/>
      <c r="D26" s="47"/>
      <c r="E26" s="47"/>
      <c r="F26" s="73"/>
      <c r="G26" s="70"/>
    </row>
    <row r="27" spans="2:7" ht="133.5" customHeight="1" x14ac:dyDescent="0.2">
      <c r="B27" s="69" t="str">
        <f ca="1">RIGHT(CELL("filename",Securitisations!$A$3),LEN(CELL("filename",Securitisations!$A$3))-FIND("]",CELL("filename",$A$1)))</f>
        <v>Securitisations</v>
      </c>
      <c r="C27" s="34" t="s">
        <v>101</v>
      </c>
      <c r="D27" s="215" t="s">
        <v>110</v>
      </c>
      <c r="E27" s="215"/>
      <c r="F27" s="215"/>
      <c r="G27" s="70"/>
    </row>
    <row r="28" spans="2:7" ht="5.25" customHeight="1" x14ac:dyDescent="0.2">
      <c r="B28" s="71"/>
      <c r="C28" s="72"/>
      <c r="D28" s="47"/>
      <c r="E28" s="47"/>
      <c r="F28" s="73"/>
      <c r="G28" s="70"/>
    </row>
    <row r="29" spans="2:7" ht="27.75" customHeight="1" x14ac:dyDescent="0.2">
      <c r="B29" s="69" t="str">
        <f ca="1">RIGHT(CELL("filename",'Credit Derivatives'!$A$3),LEN(CELL("filename",'Credit Derivatives'!$A$3))-FIND("]",CELL("filename",$A$1)))</f>
        <v>Credit Derivatives</v>
      </c>
      <c r="C29" s="34" t="s">
        <v>101</v>
      </c>
      <c r="D29" s="215" t="s">
        <v>103</v>
      </c>
      <c r="E29" s="215"/>
      <c r="F29" s="215"/>
      <c r="G29" s="70"/>
    </row>
    <row r="30" spans="2:7" ht="5.25" customHeight="1" x14ac:dyDescent="0.2">
      <c r="B30" s="71"/>
      <c r="C30" s="72"/>
      <c r="D30" s="47"/>
      <c r="E30" s="47"/>
      <c r="F30" s="73"/>
      <c r="G30" s="70"/>
    </row>
    <row r="31" spans="2:7" ht="41.25" customHeight="1" x14ac:dyDescent="0.2">
      <c r="B31" s="69" t="str">
        <f ca="1">RIGHT(CELL("filename",Data!$A$3),LEN(CELL("filename",Data!$A$3))-FIND("]",CELL("filename",$A$1)))</f>
        <v>Data</v>
      </c>
      <c r="C31" s="34" t="s">
        <v>101</v>
      </c>
      <c r="D31" s="215" t="s">
        <v>104</v>
      </c>
      <c r="E31" s="215"/>
      <c r="F31" s="215"/>
      <c r="G31" s="70"/>
    </row>
    <row r="32" spans="2:7" ht="6" customHeight="1" thickBot="1" x14ac:dyDescent="0.25">
      <c r="B32" s="74"/>
      <c r="C32" s="75"/>
      <c r="D32" s="76"/>
      <c r="E32" s="76"/>
      <c r="F32" s="77"/>
      <c r="G32" s="78"/>
    </row>
    <row r="33" ht="12.75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</sheetData>
  <mergeCells count="8">
    <mergeCell ref="D25:F25"/>
    <mergeCell ref="D27:F27"/>
    <mergeCell ref="D29:F29"/>
    <mergeCell ref="D31:F31"/>
    <mergeCell ref="A4:XFD4"/>
    <mergeCell ref="A6:XFD6"/>
    <mergeCell ref="A8:XFD8"/>
    <mergeCell ref="D23:F23"/>
  </mergeCells>
  <conditionalFormatting sqref="F24 F26 F28 F30">
    <cfRule type="cellIs" dxfId="55" priority="1" operator="equal">
      <formula>"May be incomplete"</formula>
    </cfRule>
    <cfRule type="cellIs" dxfId="54" priority="2" operator="equal">
      <formula>"N/A"</formula>
    </cfRule>
    <cfRule type="cellIs" dxfId="53" priority="3" operator="equal">
      <formula>"Complete"</formula>
    </cfRule>
    <cfRule type="cellIs" dxfId="52" priority="4" operator="equal">
      <formula>"Incomplete"</formula>
    </cfRule>
  </conditionalFormatting>
  <hyperlinks>
    <hyperlink ref="C23" location="Capital!A1" display="Link"/>
    <hyperlink ref="C25" location="Bonds!A1" display="Link"/>
    <hyperlink ref="C31" location="Data!A1" display="Link"/>
    <hyperlink ref="C27" location="Securitisations!A1" display="Link"/>
    <hyperlink ref="C29" location="'Credit Derivatives'!A1" display="Link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5" zoomScaleNormal="85" workbookViewId="0">
      <selection activeCell="F20" sqref="F20"/>
    </sheetView>
  </sheetViews>
  <sheetFormatPr defaultColWidth="0" defaultRowHeight="14.25" zeroHeight="1" x14ac:dyDescent="0.2"/>
  <cols>
    <col min="1" max="1" width="2" style="3" customWidth="1"/>
    <col min="2" max="2" width="27.875" style="3" customWidth="1"/>
    <col min="3" max="3" width="2" style="3" customWidth="1"/>
    <col min="4" max="4" width="9" style="4" customWidth="1"/>
    <col min="5" max="5" width="2" style="3" customWidth="1"/>
    <col min="6" max="6" width="9" style="3" customWidth="1"/>
    <col min="7" max="7" width="2" style="3" customWidth="1"/>
    <col min="8" max="8" width="8.875" style="4" customWidth="1"/>
    <col min="9" max="9" width="2" style="20" customWidth="1"/>
    <col min="10" max="10" width="8.875" style="4" customWidth="1"/>
    <col min="11" max="11" width="2" style="4" customWidth="1"/>
    <col min="12" max="12" width="9" style="3" customWidth="1"/>
    <col min="13" max="13" width="2" style="3" customWidth="1"/>
    <col min="14" max="14" width="9" style="3" customWidth="1"/>
    <col min="15" max="15" width="2" style="3" customWidth="1"/>
    <col min="16" max="16" width="9" style="3" customWidth="1"/>
    <col min="17" max="19" width="2" style="3" customWidth="1"/>
    <col min="20" max="20" width="0" style="3" hidden="1" customWidth="1"/>
    <col min="21" max="16384" width="9" style="3" hidden="1"/>
  </cols>
  <sheetData>
    <row r="1" spans="1:17" s="30" customFormat="1" ht="15.75" x14ac:dyDescent="0.25">
      <c r="A1" s="27" t="str">
        <f ca="1">RIGHT(CELL("filename",$A$1),LEN(CELL("filename",$A$1))-FIND("]",CELL("filename",$A$1)))</f>
        <v>Capital</v>
      </c>
      <c r="B1" s="28"/>
      <c r="C1" s="29"/>
      <c r="D1" s="29"/>
      <c r="E1" s="27"/>
      <c r="F1" s="29"/>
      <c r="G1" s="27"/>
      <c r="H1" s="29"/>
      <c r="I1" s="29"/>
    </row>
    <row r="2" spans="1:17" s="33" customFormat="1" ht="12.75" x14ac:dyDescent="0.2">
      <c r="A2" s="31"/>
      <c r="B2" s="31"/>
      <c r="C2" s="31"/>
      <c r="D2" s="31"/>
      <c r="E2" s="31"/>
      <c r="F2" s="32"/>
      <c r="G2" s="31"/>
      <c r="I2" s="31"/>
    </row>
    <row r="3" spans="1:17" x14ac:dyDescent="0.2"/>
    <row r="4" spans="1:17" ht="15" thickBot="1" x14ac:dyDescent="0.25"/>
    <row r="5" spans="1:17" ht="15" thickBot="1" x14ac:dyDescent="0.25">
      <c r="B5" s="25"/>
      <c r="C5" s="6"/>
      <c r="D5" s="7" t="s">
        <v>32</v>
      </c>
      <c r="E5" s="8"/>
      <c r="F5" s="7" t="s">
        <v>87</v>
      </c>
      <c r="G5" s="8"/>
      <c r="H5" s="7" t="s">
        <v>88</v>
      </c>
      <c r="I5" s="8"/>
      <c r="J5" s="7" t="s">
        <v>33</v>
      </c>
      <c r="K5" s="8"/>
      <c r="L5" s="7" t="s">
        <v>85</v>
      </c>
      <c r="M5" s="10"/>
    </row>
    <row r="6" spans="1:17" x14ac:dyDescent="0.2"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6"/>
    </row>
    <row r="7" spans="1:17" x14ac:dyDescent="0.2">
      <c r="B7" s="1" t="s">
        <v>34</v>
      </c>
      <c r="C7" s="2"/>
      <c r="D7" s="206"/>
      <c r="E7" s="2"/>
      <c r="F7" s="206"/>
      <c r="G7" s="2"/>
      <c r="H7" s="206"/>
      <c r="I7" s="2"/>
      <c r="J7" s="12">
        <f>Base_Assets-Base_VGB-Base_VDB</f>
        <v>0</v>
      </c>
      <c r="K7" s="2"/>
      <c r="L7" s="12">
        <f>Base_Assets-Base_VGB-Base_VDB</f>
        <v>0</v>
      </c>
      <c r="M7" s="11"/>
    </row>
    <row r="8" spans="1:17" ht="15" thickBot="1" x14ac:dyDescent="0.2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7" x14ac:dyDescent="0.2"/>
    <row r="10" spans="1:17" ht="6" customHeight="1" thickBot="1" x14ac:dyDescent="0.25"/>
    <row r="11" spans="1:17" s="21" customFormat="1" ht="13.5" thickBot="1" x14ac:dyDescent="0.25">
      <c r="B11" s="5" t="s">
        <v>35</v>
      </c>
      <c r="C11" s="6"/>
      <c r="D11" s="7" t="s">
        <v>32</v>
      </c>
      <c r="E11" s="6"/>
      <c r="F11" s="7" t="s">
        <v>87</v>
      </c>
      <c r="G11" s="8"/>
      <c r="H11" s="7" t="s">
        <v>88</v>
      </c>
      <c r="I11" s="8"/>
      <c r="J11" s="9" t="s">
        <v>33</v>
      </c>
      <c r="K11" s="9"/>
      <c r="L11" s="9" t="s">
        <v>85</v>
      </c>
      <c r="M11" s="9"/>
      <c r="N11" s="9" t="s">
        <v>36</v>
      </c>
      <c r="O11" s="9"/>
      <c r="P11" s="9" t="s">
        <v>86</v>
      </c>
      <c r="Q11" s="10"/>
    </row>
    <row r="12" spans="1:17" s="21" customFormat="1" ht="6" customHeight="1" x14ac:dyDescent="0.2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1"/>
    </row>
    <row r="13" spans="1:17" s="21" customFormat="1" ht="15.75" x14ac:dyDescent="0.3">
      <c r="B13" s="16" t="s">
        <v>37</v>
      </c>
      <c r="C13" s="2"/>
      <c r="D13" s="12">
        <f>Bond_Assets</f>
        <v>0</v>
      </c>
      <c r="E13" s="2"/>
      <c r="F13" s="12">
        <f>Bond_VGB</f>
        <v>0</v>
      </c>
      <c r="G13" s="2"/>
      <c r="H13" s="12">
        <f>Bond_VDB</f>
        <v>0</v>
      </c>
      <c r="I13" s="2"/>
      <c r="J13" s="12">
        <f>$D13-$F13-Base_VDB</f>
        <v>0</v>
      </c>
      <c r="K13" s="2"/>
      <c r="L13" s="12">
        <f>$D13-$F13-$H13</f>
        <v>0</v>
      </c>
      <c r="M13" s="2"/>
      <c r="N13" s="12">
        <f>MAX(0,-($J13-$J$7))</f>
        <v>0</v>
      </c>
      <c r="O13" s="2"/>
      <c r="P13" s="12">
        <f>MAX(0,-($L13-$L$7))</f>
        <v>0</v>
      </c>
      <c r="Q13" s="11"/>
    </row>
    <row r="14" spans="1:17" s="21" customFormat="1" ht="6" customHeight="1" x14ac:dyDescent="0.2">
      <c r="B14" s="1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1"/>
    </row>
    <row r="15" spans="1:17" s="21" customFormat="1" ht="15.75" x14ac:dyDescent="0.3">
      <c r="B15" s="16" t="s">
        <v>91</v>
      </c>
      <c r="C15" s="2"/>
      <c r="D15" s="12">
        <f>Sec_Assets</f>
        <v>0</v>
      </c>
      <c r="E15" s="2"/>
      <c r="F15" s="12">
        <f>Sec_VGB</f>
        <v>0</v>
      </c>
      <c r="G15" s="2"/>
      <c r="H15" s="12">
        <f>Sec_VDB</f>
        <v>0</v>
      </c>
      <c r="I15" s="2"/>
      <c r="J15" s="12">
        <f>$D15-$F15-Base_VDB</f>
        <v>0</v>
      </c>
      <c r="K15" s="2"/>
      <c r="L15" s="12">
        <f>$D15-$F15-$H15</f>
        <v>0</v>
      </c>
      <c r="M15" s="2"/>
      <c r="N15" s="12">
        <f>MAX(0,-($J15-$J$7))</f>
        <v>0</v>
      </c>
      <c r="O15" s="2"/>
      <c r="P15" s="12">
        <f>MAX(0,-($L15-$L$7))</f>
        <v>0</v>
      </c>
      <c r="Q15" s="11"/>
    </row>
    <row r="16" spans="1:17" s="21" customFormat="1" ht="6" customHeight="1" x14ac:dyDescent="0.2"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1"/>
    </row>
    <row r="17" spans="1:19" s="21" customFormat="1" ht="15.75" x14ac:dyDescent="0.3">
      <c r="B17" s="18" t="s">
        <v>38</v>
      </c>
      <c r="C17" s="2"/>
      <c r="D17" s="12">
        <f>CD_Up_Assets</f>
        <v>0</v>
      </c>
      <c r="E17" s="2"/>
      <c r="F17" s="12">
        <f>CD_Up_VGB</f>
        <v>0</v>
      </c>
      <c r="G17" s="2"/>
      <c r="H17" s="12">
        <f>CD_Down_VDB</f>
        <v>0</v>
      </c>
      <c r="I17" s="2"/>
      <c r="J17" s="12">
        <f>$D17-$F17-Base_VDB</f>
        <v>0</v>
      </c>
      <c r="K17" s="2"/>
      <c r="L17" s="12">
        <f>$D17-$F17-$H17</f>
        <v>0</v>
      </c>
      <c r="M17" s="2"/>
      <c r="N17" s="12">
        <f>MAX(0,-($J17-$J$7))</f>
        <v>0</v>
      </c>
      <c r="O17" s="2"/>
      <c r="P17" s="12">
        <f>MAX(0,-($L17-$L$7))</f>
        <v>0</v>
      </c>
      <c r="Q17" s="11"/>
    </row>
    <row r="18" spans="1:19" s="21" customFormat="1" ht="15.75" x14ac:dyDescent="0.3">
      <c r="B18" s="18" t="s">
        <v>39</v>
      </c>
      <c r="C18" s="2"/>
      <c r="D18" s="12">
        <f>CD_Down_Assets</f>
        <v>0</v>
      </c>
      <c r="E18" s="2"/>
      <c r="F18" s="12">
        <f>CD_Up_VGB</f>
        <v>0</v>
      </c>
      <c r="G18" s="2"/>
      <c r="H18" s="12">
        <f>CD_Down_VDB</f>
        <v>0</v>
      </c>
      <c r="I18" s="2"/>
      <c r="J18" s="12">
        <f>$D18-$F18-Base_VDB</f>
        <v>0</v>
      </c>
      <c r="K18" s="2"/>
      <c r="L18" s="12">
        <f>$D18-$F18-$H18</f>
        <v>0</v>
      </c>
      <c r="M18" s="2"/>
      <c r="N18" s="12">
        <f>MAX(0,-($J18-$J$7))</f>
        <v>0</v>
      </c>
      <c r="O18" s="2"/>
      <c r="P18" s="12">
        <f>MAX(0,-($L18-$L$7))</f>
        <v>0</v>
      </c>
      <c r="Q18" s="11"/>
    </row>
    <row r="19" spans="1:19" s="21" customFormat="1" ht="6" customHeight="1" x14ac:dyDescent="0.2"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1"/>
    </row>
    <row r="20" spans="1:19" s="21" customFormat="1" ht="15.75" x14ac:dyDescent="0.3">
      <c r="B20" s="16" t="s">
        <v>40</v>
      </c>
      <c r="C20" s="2"/>
      <c r="D20" s="19"/>
      <c r="E20" s="2"/>
      <c r="F20" s="19"/>
      <c r="G20" s="2"/>
      <c r="H20" s="19"/>
      <c r="I20" s="2"/>
      <c r="J20" s="19"/>
      <c r="K20" s="2"/>
      <c r="L20" s="19"/>
      <c r="M20" s="2"/>
      <c r="N20" s="12">
        <f>MAX(0,IF(P17&gt;P18,N17,N18))</f>
        <v>0</v>
      </c>
      <c r="O20" s="2"/>
      <c r="P20" s="12">
        <f>MAX(0,P17:P18)</f>
        <v>0</v>
      </c>
      <c r="Q20" s="11"/>
    </row>
    <row r="21" spans="1:19" s="21" customFormat="1" ht="6" customHeight="1" x14ac:dyDescent="0.2"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1"/>
    </row>
    <row r="22" spans="1:19" s="21" customFormat="1" ht="15.75" x14ac:dyDescent="0.3">
      <c r="B22" s="17" t="s">
        <v>41</v>
      </c>
      <c r="C22" s="2"/>
      <c r="D22" s="19"/>
      <c r="E22" s="2"/>
      <c r="F22" s="19"/>
      <c r="G22" s="2"/>
      <c r="H22" s="19"/>
      <c r="I22" s="2"/>
      <c r="J22" s="19"/>
      <c r="K22" s="2"/>
      <c r="L22" s="19"/>
      <c r="M22" s="2"/>
      <c r="N22" s="12">
        <f>SUM(Mkt_sp_Bonds,Mkt_sp_Sec,Mkt_sp_CD)</f>
        <v>0</v>
      </c>
      <c r="O22" s="2"/>
      <c r="P22" s="12">
        <f>SUM(nMkt_sp_Bonds,nMkt_sp_Sec,nMkt_sp_CD)</f>
        <v>0</v>
      </c>
      <c r="Q22" s="11"/>
    </row>
    <row r="23" spans="1:19" s="21" customFormat="1" ht="6" customHeight="1" thickBot="1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1:19" x14ac:dyDescent="0.2">
      <c r="A24" s="24"/>
      <c r="C24" s="21"/>
      <c r="D24" s="3"/>
      <c r="H24" s="3"/>
      <c r="I24" s="3"/>
      <c r="J24" s="3"/>
      <c r="K24" s="3"/>
      <c r="Q24" s="24"/>
      <c r="R24" s="24"/>
      <c r="S24" s="24"/>
    </row>
    <row r="25" spans="1:19" ht="6" customHeight="1" x14ac:dyDescent="0.2"/>
    <row r="26" spans="1:19" hidden="1" x14ac:dyDescent="0.2"/>
    <row r="27" spans="1:19" hidden="1" x14ac:dyDescent="0.2"/>
    <row r="28" spans="1:19" hidden="1" x14ac:dyDescent="0.2"/>
    <row r="29" spans="1:19" hidden="1" x14ac:dyDescent="0.2"/>
    <row r="30" spans="1:19" hidden="1" x14ac:dyDescent="0.2"/>
    <row r="31" spans="1:19" hidden="1" x14ac:dyDescent="0.2"/>
    <row r="32" spans="1:1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</sheetData>
  <sheetProtection algorithmName="SHA-512" hashValue="mB93nrjon60bUATUc+LwNSsoDLKupKYsqLkMQm6lYsMn9vPulsjS7AqFKvXAdqHDHlMhDbvUPhw6RxR/D1Npsg==" saltValue="UKDCN0xpqOTfsJ8EXCR66w==" spinCount="100000" sheet="1" objects="1" scenarios="1"/>
  <protectedRanges>
    <protectedRange sqref="D7 F7 H7" name="Range1"/>
  </protectedRanges>
  <conditionalFormatting sqref="I4 I9:I10 I25:I1048576">
    <cfRule type="cellIs" dxfId="51" priority="7" operator="equal">
      <formula>"OK"</formula>
    </cfRule>
    <cfRule type="cellIs" dxfId="50" priority="8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zoomScale="85" zoomScaleNormal="85" workbookViewId="0">
      <selection activeCell="W42" sqref="W42"/>
    </sheetView>
  </sheetViews>
  <sheetFormatPr defaultColWidth="0" defaultRowHeight="14.25" zeroHeight="1" x14ac:dyDescent="0.2"/>
  <cols>
    <col min="1" max="2" width="1.875" style="79" customWidth="1"/>
    <col min="3" max="3" width="34.5" style="79" customWidth="1"/>
    <col min="4" max="4" width="1.875" style="79" customWidth="1"/>
    <col min="5" max="5" width="11.5" style="79" customWidth="1"/>
    <col min="6" max="6" width="1.875" style="79" customWidth="1"/>
    <col min="7" max="7" width="11.5" style="79" customWidth="1"/>
    <col min="8" max="8" width="1.875" style="79" customWidth="1"/>
    <col min="9" max="9" width="11.5" style="79" customWidth="1"/>
    <col min="10" max="10" width="1.875" style="79" customWidth="1"/>
    <col min="11" max="11" width="11.5" style="79" customWidth="1"/>
    <col min="12" max="12" width="1.875" style="79" customWidth="1"/>
    <col min="13" max="13" width="11.5" style="79" customWidth="1"/>
    <col min="14" max="14" width="1.875" style="79" customWidth="1"/>
    <col min="15" max="15" width="11.5" style="79" customWidth="1"/>
    <col min="16" max="16" width="1.875" style="79" customWidth="1"/>
    <col min="17" max="17" width="11.5" style="79" customWidth="1"/>
    <col min="18" max="18" width="1.875" style="79" customWidth="1"/>
    <col min="19" max="19" width="11.5" style="79" customWidth="1"/>
    <col min="20" max="20" width="1.875" style="79" customWidth="1"/>
    <col min="21" max="21" width="11.5" style="79" customWidth="1"/>
    <col min="22" max="22" width="1.875" style="79" customWidth="1"/>
    <col min="23" max="23" width="11.5" style="79" customWidth="1"/>
    <col min="24" max="24" width="1.875" style="79" customWidth="1"/>
    <col min="25" max="25" width="11.5" style="79" customWidth="1"/>
    <col min="26" max="26" width="1.875" style="79" customWidth="1"/>
    <col min="27" max="27" width="11.5" style="79" customWidth="1"/>
    <col min="28" max="28" width="1.875" style="79" customWidth="1"/>
    <col min="29" max="29" width="11.5" style="79" customWidth="1"/>
    <col min="30" max="30" width="1.875" style="79" customWidth="1"/>
    <col min="31" max="31" width="11.5" style="79" customWidth="1"/>
    <col min="32" max="32" width="1.875" style="79" customWidth="1"/>
    <col min="33" max="33" width="11.5" style="79" customWidth="1"/>
    <col min="34" max="34" width="1.875" style="79" customWidth="1"/>
    <col min="35" max="35" width="11.5" style="79" customWidth="1"/>
    <col min="36" max="36" width="1.875" style="79" customWidth="1"/>
    <col min="37" max="37" width="11.5" style="79" customWidth="1"/>
    <col min="38" max="38" width="1.875" style="79" customWidth="1"/>
    <col min="39" max="39" width="11.5" style="80" customWidth="1"/>
    <col min="40" max="41" width="1.875" style="79" customWidth="1"/>
    <col min="42" max="42" width="9" style="81" customWidth="1"/>
    <col min="43" max="43" width="1.875" style="79" customWidth="1"/>
    <col min="44" max="16384" width="9" style="79" hidden="1"/>
  </cols>
  <sheetData>
    <row r="1" spans="1:21" s="38" customFormat="1" ht="15.75" x14ac:dyDescent="0.25">
      <c r="A1" s="35" t="str">
        <f ca="1">RIGHT(CELL("filename",$A$1),LEN(CELL("filename",$A$1))-FIND("]",CELL("filename",$A$1)))</f>
        <v>Bonds</v>
      </c>
      <c r="B1" s="36"/>
      <c r="C1" s="37"/>
      <c r="D1" s="37"/>
      <c r="E1" s="35"/>
      <c r="F1" s="37"/>
      <c r="G1" s="35"/>
      <c r="H1" s="37"/>
      <c r="I1" s="37"/>
    </row>
    <row r="2" spans="1:21" s="41" customFormat="1" ht="12.75" x14ac:dyDescent="0.2">
      <c r="A2" s="39"/>
      <c r="B2" s="39"/>
      <c r="C2" s="39"/>
      <c r="D2" s="39"/>
      <c r="E2" s="39"/>
      <c r="F2" s="40"/>
      <c r="G2" s="39"/>
      <c r="I2" s="39"/>
    </row>
    <row r="3" spans="1:21" x14ac:dyDescent="0.2"/>
    <row r="4" spans="1:21" ht="15" thickBot="1" x14ac:dyDescent="0.25"/>
    <row r="5" spans="1:21" ht="15" thickBot="1" x14ac:dyDescent="0.25">
      <c r="B5" s="82" t="s">
        <v>31</v>
      </c>
      <c r="C5" s="83"/>
      <c r="D5" s="84"/>
      <c r="E5" s="85" t="s">
        <v>32</v>
      </c>
      <c r="F5" s="84"/>
      <c r="G5" s="45" t="s">
        <v>87</v>
      </c>
      <c r="H5" s="84"/>
      <c r="I5" s="45" t="s">
        <v>88</v>
      </c>
      <c r="J5" s="86"/>
      <c r="K5" s="45" t="s">
        <v>33</v>
      </c>
      <c r="L5" s="86"/>
      <c r="M5" s="45" t="s">
        <v>85</v>
      </c>
      <c r="N5" s="87"/>
      <c r="O5" s="88"/>
      <c r="P5" s="88"/>
      <c r="Q5" s="88"/>
      <c r="R5" s="42"/>
      <c r="S5" s="42"/>
      <c r="T5" s="88"/>
    </row>
    <row r="6" spans="1:21" x14ac:dyDescent="0.2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88"/>
      <c r="P6" s="88"/>
      <c r="Q6" s="88"/>
      <c r="R6" s="42"/>
      <c r="S6" s="42"/>
      <c r="T6" s="88"/>
    </row>
    <row r="7" spans="1:21" x14ac:dyDescent="0.2">
      <c r="B7" s="51"/>
      <c r="C7" s="53" t="s">
        <v>34</v>
      </c>
      <c r="D7" s="53"/>
      <c r="E7" s="89">
        <f>Base_Assets</f>
        <v>0</v>
      </c>
      <c r="F7" s="53"/>
      <c r="G7" s="89">
        <f>Base_VGB</f>
        <v>0</v>
      </c>
      <c r="H7" s="53"/>
      <c r="I7" s="89">
        <f>Base_VDB</f>
        <v>0</v>
      </c>
      <c r="J7" s="53"/>
      <c r="K7" s="89">
        <f>$E7-$G7-$I7</f>
        <v>0</v>
      </c>
      <c r="L7" s="53"/>
      <c r="M7" s="89">
        <f>$E7-$G7-$I7</f>
        <v>0</v>
      </c>
      <c r="N7" s="52"/>
      <c r="O7" s="88"/>
      <c r="P7" s="88"/>
      <c r="Q7" s="88"/>
      <c r="R7" s="42"/>
      <c r="S7" s="42"/>
      <c r="U7" s="90"/>
    </row>
    <row r="8" spans="1:21" ht="15" thickBot="1" x14ac:dyDescent="0.25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88"/>
      <c r="P8" s="88"/>
      <c r="Q8" s="88"/>
      <c r="R8" s="42"/>
      <c r="S8" s="42"/>
      <c r="U8" s="88"/>
    </row>
    <row r="9" spans="1:21" x14ac:dyDescent="0.2">
      <c r="B9" s="9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88"/>
      <c r="P9" s="88"/>
      <c r="Q9" s="88"/>
      <c r="R9" s="42"/>
      <c r="S9" s="42"/>
      <c r="U9" s="88"/>
    </row>
    <row r="10" spans="1:21" ht="15" thickBot="1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91"/>
      <c r="Q10" s="91"/>
      <c r="R10" s="91"/>
      <c r="S10" s="91"/>
      <c r="U10" s="92"/>
    </row>
    <row r="11" spans="1:21" ht="15" thickBot="1" x14ac:dyDescent="0.25">
      <c r="B11" s="82" t="s">
        <v>105</v>
      </c>
      <c r="C11" s="83"/>
      <c r="D11" s="84"/>
      <c r="E11" s="45" t="s">
        <v>32</v>
      </c>
      <c r="F11" s="84"/>
      <c r="G11" s="45" t="s">
        <v>87</v>
      </c>
      <c r="H11" s="84"/>
      <c r="I11" s="45" t="s">
        <v>88</v>
      </c>
      <c r="J11" s="86"/>
      <c r="K11" s="45" t="s">
        <v>33</v>
      </c>
      <c r="L11" s="86"/>
      <c r="M11" s="45" t="s">
        <v>85</v>
      </c>
      <c r="N11" s="45"/>
      <c r="O11" s="45" t="s">
        <v>36</v>
      </c>
      <c r="P11" s="45"/>
      <c r="Q11" s="45" t="s">
        <v>86</v>
      </c>
      <c r="R11" s="87"/>
      <c r="S11" s="93"/>
      <c r="U11" s="88"/>
    </row>
    <row r="12" spans="1:21" x14ac:dyDescent="0.2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U12" s="88"/>
    </row>
    <row r="13" spans="1:21" ht="15.75" x14ac:dyDescent="0.3">
      <c r="B13" s="94"/>
      <c r="C13" s="95" t="s">
        <v>37</v>
      </c>
      <c r="D13" s="53"/>
      <c r="E13" s="89">
        <f>$E$7+BOF_Bond</f>
        <v>0</v>
      </c>
      <c r="F13" s="53"/>
      <c r="G13" s="89">
        <f>$G$7</f>
        <v>0</v>
      </c>
      <c r="H13" s="53"/>
      <c r="I13" s="206"/>
      <c r="J13" s="53"/>
      <c r="K13" s="89">
        <f>$E13-$G13-$I$7</f>
        <v>0</v>
      </c>
      <c r="L13" s="53"/>
      <c r="M13" s="89">
        <f>$E13-$G13-$I13</f>
        <v>0</v>
      </c>
      <c r="N13" s="53"/>
      <c r="O13" s="89">
        <f>MAX(0,-(K$13-K$7))</f>
        <v>0</v>
      </c>
      <c r="P13" s="53"/>
      <c r="Q13" s="89">
        <f>MAX(0,-(M$13-M$7))</f>
        <v>0</v>
      </c>
      <c r="R13" s="52"/>
      <c r="S13" s="47"/>
      <c r="U13" s="90"/>
    </row>
    <row r="14" spans="1:21" ht="15" thickBot="1" x14ac:dyDescent="0.2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47"/>
      <c r="T14" s="88"/>
    </row>
    <row r="15" spans="1:21" x14ac:dyDescent="0.2"/>
    <row r="16" spans="1:21" ht="6" customHeight="1" thickBot="1" x14ac:dyDescent="0.25"/>
    <row r="17" spans="2:21" ht="14.25" customHeight="1" thickBot="1" x14ac:dyDescent="0.25">
      <c r="B17" s="221" t="s">
        <v>94</v>
      </c>
      <c r="C17" s="222"/>
      <c r="D17" s="126"/>
      <c r="E17" s="127">
        <f>SUM(AM44:AM1048576)</f>
        <v>0</v>
      </c>
      <c r="U17" s="96"/>
    </row>
    <row r="18" spans="2:21" x14ac:dyDescent="0.2">
      <c r="C18" s="97"/>
      <c r="D18" s="98"/>
      <c r="E18" s="99"/>
      <c r="G18" s="100"/>
    </row>
    <row r="19" spans="2:21" ht="6" customHeight="1" thickBot="1" x14ac:dyDescent="0.25"/>
    <row r="20" spans="2:21" ht="15" thickBot="1" x14ac:dyDescent="0.25">
      <c r="B20" s="223" t="s">
        <v>43</v>
      </c>
      <c r="C20" s="224"/>
      <c r="D20" s="224"/>
      <c r="E20" s="101" t="s">
        <v>44</v>
      </c>
      <c r="F20" s="227" t="s">
        <v>45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8"/>
    </row>
    <row r="21" spans="2:21" x14ac:dyDescent="0.2">
      <c r="B21" s="225" t="s">
        <v>0</v>
      </c>
      <c r="C21" s="226"/>
      <c r="D21" s="226"/>
      <c r="E21" s="102" t="s">
        <v>48</v>
      </c>
      <c r="F21" s="229" t="s">
        <v>66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30"/>
    </row>
    <row r="22" spans="2:21" x14ac:dyDescent="0.2">
      <c r="B22" s="219" t="s">
        <v>1</v>
      </c>
      <c r="C22" s="220"/>
      <c r="D22" s="220"/>
      <c r="E22" s="103" t="s">
        <v>49</v>
      </c>
      <c r="F22" s="231" t="s">
        <v>111</v>
      </c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2"/>
    </row>
    <row r="23" spans="2:21" x14ac:dyDescent="0.2">
      <c r="B23" s="219" t="s">
        <v>2</v>
      </c>
      <c r="C23" s="220"/>
      <c r="D23" s="220"/>
      <c r="E23" s="103" t="s">
        <v>50</v>
      </c>
      <c r="F23" s="231" t="s">
        <v>75</v>
      </c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2"/>
    </row>
    <row r="24" spans="2:21" x14ac:dyDescent="0.2">
      <c r="B24" s="219" t="s">
        <v>3</v>
      </c>
      <c r="C24" s="220"/>
      <c r="D24" s="220"/>
      <c r="E24" s="103" t="s">
        <v>51</v>
      </c>
      <c r="F24" s="231" t="s">
        <v>76</v>
      </c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2"/>
    </row>
    <row r="25" spans="2:21" x14ac:dyDescent="0.2">
      <c r="B25" s="219" t="s">
        <v>5</v>
      </c>
      <c r="C25" s="220"/>
      <c r="D25" s="220"/>
      <c r="E25" s="103" t="s">
        <v>52</v>
      </c>
      <c r="F25" s="231" t="s">
        <v>112</v>
      </c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2"/>
    </row>
    <row r="26" spans="2:21" x14ac:dyDescent="0.2">
      <c r="B26" s="219" t="s">
        <v>120</v>
      </c>
      <c r="C26" s="220"/>
      <c r="D26" s="220"/>
      <c r="E26" s="103" t="s">
        <v>53</v>
      </c>
      <c r="F26" s="231" t="s">
        <v>113</v>
      </c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2"/>
    </row>
    <row r="27" spans="2:21" x14ac:dyDescent="0.2">
      <c r="B27" s="219" t="s">
        <v>46</v>
      </c>
      <c r="C27" s="220"/>
      <c r="D27" s="220"/>
      <c r="E27" s="103" t="s">
        <v>54</v>
      </c>
      <c r="F27" s="231" t="s">
        <v>77</v>
      </c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2"/>
    </row>
    <row r="28" spans="2:21" x14ac:dyDescent="0.2">
      <c r="B28" s="219" t="s">
        <v>121</v>
      </c>
      <c r="C28" s="220"/>
      <c r="D28" s="220"/>
      <c r="E28" s="103" t="s">
        <v>55</v>
      </c>
      <c r="F28" s="231" t="s">
        <v>114</v>
      </c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2"/>
    </row>
    <row r="29" spans="2:21" x14ac:dyDescent="0.2">
      <c r="B29" s="219" t="s">
        <v>47</v>
      </c>
      <c r="C29" s="220"/>
      <c r="D29" s="220"/>
      <c r="E29" s="103" t="s">
        <v>56</v>
      </c>
      <c r="F29" s="231" t="s">
        <v>115</v>
      </c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2"/>
    </row>
    <row r="30" spans="2:21" x14ac:dyDescent="0.2">
      <c r="B30" s="219" t="s">
        <v>78</v>
      </c>
      <c r="C30" s="220"/>
      <c r="D30" s="220"/>
      <c r="E30" s="103" t="s">
        <v>57</v>
      </c>
      <c r="F30" s="231" t="s">
        <v>106</v>
      </c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2"/>
    </row>
    <row r="31" spans="2:21" x14ac:dyDescent="0.2">
      <c r="B31" s="219" t="s">
        <v>122</v>
      </c>
      <c r="C31" s="220"/>
      <c r="D31" s="220"/>
      <c r="E31" s="103" t="s">
        <v>58</v>
      </c>
      <c r="F31" s="231" t="s">
        <v>116</v>
      </c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2"/>
    </row>
    <row r="32" spans="2:21" x14ac:dyDescent="0.2">
      <c r="B32" s="219" t="s">
        <v>123</v>
      </c>
      <c r="C32" s="220"/>
      <c r="D32" s="220"/>
      <c r="E32" s="103" t="s">
        <v>6</v>
      </c>
      <c r="F32" s="231" t="s">
        <v>117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2"/>
    </row>
    <row r="33" spans="2:40" x14ac:dyDescent="0.2">
      <c r="B33" s="219" t="s">
        <v>124</v>
      </c>
      <c r="C33" s="220"/>
      <c r="D33" s="220"/>
      <c r="E33" s="103" t="s">
        <v>59</v>
      </c>
      <c r="F33" s="231" t="s">
        <v>79</v>
      </c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2"/>
    </row>
    <row r="34" spans="2:40" x14ac:dyDescent="0.2">
      <c r="B34" s="219" t="s">
        <v>125</v>
      </c>
      <c r="C34" s="220"/>
      <c r="D34" s="220"/>
      <c r="E34" s="103" t="s">
        <v>60</v>
      </c>
      <c r="F34" s="231" t="s">
        <v>80</v>
      </c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</row>
    <row r="35" spans="2:40" x14ac:dyDescent="0.2">
      <c r="B35" s="219" t="s">
        <v>92</v>
      </c>
      <c r="C35" s="220"/>
      <c r="D35" s="220"/>
      <c r="E35" s="103" t="s">
        <v>61</v>
      </c>
      <c r="F35" s="231" t="s">
        <v>81</v>
      </c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2"/>
    </row>
    <row r="36" spans="2:40" x14ac:dyDescent="0.2">
      <c r="B36" s="219" t="s">
        <v>126</v>
      </c>
      <c r="C36" s="220"/>
      <c r="D36" s="220"/>
      <c r="E36" s="103" t="s">
        <v>62</v>
      </c>
      <c r="F36" s="231" t="s">
        <v>118</v>
      </c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2"/>
      <c r="AM36" s="79"/>
    </row>
    <row r="37" spans="2:40" x14ac:dyDescent="0.2">
      <c r="B37" s="219" t="s">
        <v>127</v>
      </c>
      <c r="C37" s="220"/>
      <c r="D37" s="220"/>
      <c r="E37" s="103" t="s">
        <v>63</v>
      </c>
      <c r="F37" s="231" t="s">
        <v>119</v>
      </c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2"/>
      <c r="R37" s="104"/>
      <c r="S37" s="104"/>
      <c r="T37" s="104"/>
      <c r="U37" s="104"/>
      <c r="V37" s="104"/>
      <c r="W37" s="104"/>
    </row>
    <row r="38" spans="2:40" x14ac:dyDescent="0.2">
      <c r="B38" s="219" t="s">
        <v>93</v>
      </c>
      <c r="C38" s="220"/>
      <c r="D38" s="220"/>
      <c r="E38" s="103" t="s">
        <v>64</v>
      </c>
      <c r="F38" s="231" t="s">
        <v>82</v>
      </c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2"/>
      <c r="R38" s="104"/>
      <c r="S38" s="104"/>
      <c r="T38" s="104"/>
      <c r="U38" s="104"/>
      <c r="V38" s="104"/>
      <c r="W38" s="104"/>
    </row>
    <row r="39" spans="2:40" ht="15" thickBot="1" x14ac:dyDescent="0.25">
      <c r="B39" s="217" t="s">
        <v>94</v>
      </c>
      <c r="C39" s="218"/>
      <c r="D39" s="218"/>
      <c r="E39" s="105" t="s">
        <v>65</v>
      </c>
      <c r="F39" s="233" t="s">
        <v>95</v>
      </c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4"/>
      <c r="R39" s="104"/>
      <c r="S39" s="104"/>
      <c r="T39" s="104"/>
      <c r="U39" s="104"/>
      <c r="V39" s="104"/>
      <c r="W39" s="104"/>
    </row>
    <row r="40" spans="2:40" x14ac:dyDescent="0.2">
      <c r="J40" s="104"/>
      <c r="K40" s="104"/>
      <c r="L40" s="104"/>
      <c r="M40" s="104"/>
      <c r="N40" s="104"/>
      <c r="O40" s="106"/>
      <c r="P40" s="104"/>
      <c r="Q40" s="104"/>
      <c r="R40" s="104"/>
      <c r="S40" s="104"/>
      <c r="T40" s="104"/>
      <c r="U40" s="104"/>
      <c r="V40" s="104"/>
      <c r="W40" s="104"/>
    </row>
    <row r="41" spans="2:40" ht="6" customHeight="1" thickBot="1" x14ac:dyDescent="0.25"/>
    <row r="42" spans="2:40" ht="64.5" thickBot="1" x14ac:dyDescent="0.25">
      <c r="B42" s="107"/>
      <c r="C42" s="108" t="s">
        <v>0</v>
      </c>
      <c r="D42" s="109"/>
      <c r="E42" s="110" t="s">
        <v>1</v>
      </c>
      <c r="F42" s="111"/>
      <c r="G42" s="110" t="s">
        <v>2</v>
      </c>
      <c r="H42" s="111"/>
      <c r="I42" s="110" t="s">
        <v>3</v>
      </c>
      <c r="J42" s="111"/>
      <c r="K42" s="110" t="s">
        <v>5</v>
      </c>
      <c r="L42" s="110"/>
      <c r="M42" s="110" t="s">
        <v>128</v>
      </c>
      <c r="N42" s="110"/>
      <c r="O42" s="110" t="s">
        <v>46</v>
      </c>
      <c r="P42" s="110"/>
      <c r="Q42" s="110" t="s">
        <v>121</v>
      </c>
      <c r="R42" s="110"/>
      <c r="S42" s="110" t="s">
        <v>22</v>
      </c>
      <c r="T42" s="111"/>
      <c r="U42" s="110" t="s">
        <v>4</v>
      </c>
      <c r="V42" s="111"/>
      <c r="W42" s="110" t="s">
        <v>122</v>
      </c>
      <c r="X42" s="111"/>
      <c r="Y42" s="110" t="s">
        <v>123</v>
      </c>
      <c r="Z42" s="111"/>
      <c r="AA42" s="110" t="s">
        <v>129</v>
      </c>
      <c r="AB42" s="111"/>
      <c r="AC42" s="110" t="s">
        <v>130</v>
      </c>
      <c r="AD42" s="111"/>
      <c r="AE42" s="110" t="s">
        <v>90</v>
      </c>
      <c r="AF42" s="111"/>
      <c r="AG42" s="110" t="s">
        <v>131</v>
      </c>
      <c r="AH42" s="111"/>
      <c r="AI42" s="110" t="s">
        <v>132</v>
      </c>
      <c r="AJ42" s="111"/>
      <c r="AK42" s="110" t="s">
        <v>89</v>
      </c>
      <c r="AL42" s="111"/>
      <c r="AM42" s="112" t="s">
        <v>94</v>
      </c>
      <c r="AN42" s="113"/>
    </row>
    <row r="43" spans="2:40" ht="6" customHeight="1" x14ac:dyDescent="0.2">
      <c r="B43" s="5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114"/>
      <c r="AN43" s="115"/>
    </row>
    <row r="44" spans="2:40" x14ac:dyDescent="0.2">
      <c r="B44" s="116"/>
      <c r="C44" s="207"/>
      <c r="D44" s="53"/>
      <c r="E44" s="208"/>
      <c r="F44" s="53"/>
      <c r="G44" s="209"/>
      <c r="H44" s="53"/>
      <c r="I44" s="210"/>
      <c r="J44" s="53"/>
      <c r="K44" s="118" t="str">
        <f>IF(I44="","",IF($O44="Y",IF($I44&lt;=5,0,5),IF(ROUNDUP($I44/5,0)-1&gt;4,4,ROUNDUP($I44/5,0)-1)*5))</f>
        <v/>
      </c>
      <c r="L44" s="53"/>
      <c r="M44" s="211"/>
      <c r="N44" s="53"/>
      <c r="O44" s="211"/>
      <c r="P44" s="53"/>
      <c r="Q44" s="211"/>
      <c r="R44" s="53"/>
      <c r="S44" s="211"/>
      <c r="T44" s="53"/>
      <c r="U44" s="117"/>
      <c r="V44" s="53"/>
      <c r="W44" s="119"/>
      <c r="X44" s="53"/>
      <c r="Y44" s="120"/>
      <c r="Z44" s="53"/>
      <c r="AA44" s="121" t="str">
        <f t="shared" ref="AA44:AA75" si="0">IF(AND($G44="Unrated",$M44="Y",$W44="Y"),IF($Y44&gt;=196%,196%,IF($Y44&lt;=75%,75%,IF($Y44&gt;175%,175%,IF($Y44&gt;122%,122%,IF($Y44&gt;95%,95%,75%))))),"")</f>
        <v/>
      </c>
      <c r="AB44" s="53"/>
      <c r="AC44" s="121" t="str">
        <f t="shared" ref="AC44:AC75" si="1">IF(AND($G44="Unrated",$M44="Y",$W44="Y"),IF($Y44&gt;=196%,196%,IF($Y44&lt;=75%,75%,IF($Y44&gt;175%,196%,IF($Y44&gt;122%,175%,IF($Y44&gt;95%,122%,95%))))),"")</f>
        <v/>
      </c>
      <c r="AD44" s="53"/>
      <c r="AE44" s="122" t="str">
        <f t="array" ref="AE44">IF(OR($C44="",$E44="",$G44="",$I44="",$M44="",$O44="",$Q44="",$S44="",$G44="Unrated"),"",IF($Q44="Y",0,MIN(1,SUM((IF($O44="Y",Cov_Range,Range)=$K44)*(IF($O44="Y",Cov_CQS,CQS)=$G44)*(IF($S44="Y",Gilt_Base,IF($O44="Y",Cov_Bond_Base,Bond_Base))))+IF($I44&lt;1,1,$I44-$K44)*SUM((IF($O44="Y",Cov_Range,Range)=$K44)*(IF($O44="Y",Cov_CQS,CQS)=$G44)*(IF($S44="Y",Gilt_Mult,IF($O44="Y",Cov_Bond_Mult,Bond_Mult)))))))</f>
        <v/>
      </c>
      <c r="AF44" s="53"/>
      <c r="AG44" s="122" t="str">
        <f t="array" ref="AG44">IF(OR($C44="",$E44="",$G44="",$I44="",$M44="",$O44="",$Q44="",$S44="",$G44&lt;&gt;"Unrated",$M44="Y"),"",MIN(1,IF(AND(U44&lt;E44,U44&gt;=E44*(1-(SUM((Range=$K44)*(Bond_Base_UR))+IF($I44&lt;1,1,$I44-$K44)*SUM((Range=$K44)*(Bond_Mult_UR))))),0.5*((SUM((Range=$K44)*(Bond_Base_UR))+IF($I44&lt;1,1,$I44-$K44)*SUM((Range=$K44)*(Bond_Mult_UR)))+((E44-U44)/E44)),IF(U44&gt;=E44,0.5,1)*(SUM((Range=$K44)*(Bond_Base_UR))+IF($I44&lt;1,1,$I44-$K44)*SUM((Range=$K44)*(Bond_Mult_UR))))))</f>
        <v/>
      </c>
      <c r="AH44" s="53"/>
      <c r="AI44" s="122" t="str">
        <f t="array" ref="AI44">IF(OR($C44="",$E44="",$G44="",$I44="",$M44="",$O44="",$Q44="",$S44="",$G44&lt;&gt;"Unrated",$M44&lt;&gt;"Y"),"",MIN(1,IF(OR($W44&lt;&gt;"Y",$AA44=$AC44),SUM((Range=$K44)*(CQS=IF($W44&lt;&gt;"Y",0,IF($AC44=196%,1,6)))*(IF($W44&lt;&gt;"Y",Bond_Base_MCR,Bond_Base)))+IF($I44&lt;1,1,$I44-$K44)*SUM((Range=$K44)*(CQS=IF($W44&lt;&gt;"Y",0,IF($AC44=196%,1,6)))*(IF($W44&lt;&gt;"Y",Bond_Mult_MCR,Bond_Mult))),((SUM((Range=$K44)*(CQS=HLOOKUP($AA44,Solv_Ratio_CQS_Map,2,0))*(Bond_Base))+IF($I44&lt;1,1,$I44-$K44)*SUM((Range=$K44)*(CQS=HLOOKUP($AA44,Solv_Ratio_CQS_Map,2,0))*(Bond_Mult)))*($AC44-$Y44)+(SUM((Range=$K44)*(CQS=HLOOKUP($AC44,Solv_Ratio_CQS_Map,2,0))*(Bond_Base))+IF($I44&lt;1,1,$I44-$K44)*SUM((Range=$K44)*(CQS=HLOOKUP($AC44,Solv_Ratio_CQS_Map,2,0))*(Bond_Mult)))*($Y44-$AA44))/($AC44-$AA44))))</f>
        <v/>
      </c>
      <c r="AJ44" s="53"/>
      <c r="AK44" s="121" t="str">
        <f>IF(AND(AE44="",AG44="",AI44=""),"",SUM(AE44,AG44,AI44))</f>
        <v/>
      </c>
      <c r="AL44" s="53"/>
      <c r="AM44" s="123" t="str">
        <f>IF(AK44="","",-$AK44*$E44)</f>
        <v/>
      </c>
      <c r="AN44" s="115"/>
    </row>
    <row r="45" spans="2:40" x14ac:dyDescent="0.2">
      <c r="B45" s="116"/>
      <c r="C45" s="207"/>
      <c r="D45" s="53"/>
      <c r="E45" s="208"/>
      <c r="F45" s="53"/>
      <c r="G45" s="209"/>
      <c r="H45" s="53"/>
      <c r="I45" s="210"/>
      <c r="J45" s="53"/>
      <c r="K45" s="118" t="str">
        <f t="shared" ref="K45:K108" si="2">IF(I45="","",IF($O45="Y",IF($I45&lt;=5,0,5),IF(ROUNDUP($I45/5,0)-1&gt;4,4,ROUNDUP($I45/5,0)-1)*5))</f>
        <v/>
      </c>
      <c r="L45" s="53"/>
      <c r="M45" s="211"/>
      <c r="N45" s="53"/>
      <c r="O45" s="211"/>
      <c r="P45" s="53"/>
      <c r="Q45" s="211"/>
      <c r="R45" s="53"/>
      <c r="S45" s="211"/>
      <c r="T45" s="53"/>
      <c r="U45" s="117"/>
      <c r="V45" s="53"/>
      <c r="W45" s="119"/>
      <c r="X45" s="53"/>
      <c r="Y45" s="120"/>
      <c r="Z45" s="53"/>
      <c r="AA45" s="121" t="str">
        <f t="shared" si="0"/>
        <v/>
      </c>
      <c r="AB45" s="53"/>
      <c r="AC45" s="121" t="str">
        <f t="shared" si="1"/>
        <v/>
      </c>
      <c r="AD45" s="53"/>
      <c r="AE45" s="122" t="str">
        <f t="array" ref="AE45">IF(OR($C45="",$E45="",$G45="",$I45="",$M45="",$O45="",$Q45="",$S45="",$G45="Unrated"),"",IF($Q45="Y",0,MIN(1,SUM((IF($O45="Y",Cov_Range,Range)=$K45)*(IF($O45="Y",Cov_CQS,CQS)=$G45)*(IF($S45="Y",Gilt_Base,IF($O45="Y",Cov_Bond_Base,Bond_Base))))+IF($I45&lt;1,1,$I45-$K45)*SUM((IF($O45="Y",Cov_Range,Range)=$K45)*(IF($O45="Y",Cov_CQS,CQS)=$G45)*(IF($S45="Y",Gilt_Mult,IF($O45="Y",Cov_Bond_Mult,Bond_Mult)))))))</f>
        <v/>
      </c>
      <c r="AF45" s="53"/>
      <c r="AG45" s="122" t="str">
        <f t="array" ref="AG45">IF(OR($C45="",$E45="",$G45="",$I45="",$M45="",$O45="",$Q45="",$S45="",$G45&lt;&gt;"Unrated",$M45="Y"),"",MIN(1,IF(AND(U45&lt;E45,U45&gt;=E45*(1-(SUM((Range=$K45)*(Bond_Base_UR))+IF($I45&lt;1,1,$I45-$K45)*SUM((Range=$K45)*(Bond_Mult_UR))))),0.5*((SUM((Range=$K45)*(Bond_Base_UR))+IF($I45&lt;1,1,$I45-$K45)*SUM((Range=$K45)*(Bond_Mult_UR)))+((E45-U45)/E45)),IF(U45&gt;=E45,0.5,1)*(SUM((Range=$K45)*(Bond_Base_UR))+IF($I45&lt;1,1,$I45-$K45)*SUM((Range=$K45)*(Bond_Mult_UR))))))</f>
        <v/>
      </c>
      <c r="AH45" s="53"/>
      <c r="AI45" s="122" t="str">
        <f t="array" ref="AI45">IF(OR($C45="",$E45="",$G45="",$I45="",$M45="",$O45="",$Q45="",$S45="",$G45&lt;&gt;"Unrated",$M45&lt;&gt;"Y"),"",MIN(1,IF(OR($W45&lt;&gt;"Y",$AA45=$AC45),SUM((Range=$K45)*(CQS=IF($W45&lt;&gt;"Y",0,IF($AC45=196%,1,6)))*(IF($W45&lt;&gt;"Y",Bond_Base_MCR,Bond_Base)))+IF($I45&lt;1,1,$I45-$K45)*SUM((Range=$K45)*(CQS=IF($W45&lt;&gt;"Y",0,IF($AC45=196%,1,6)))*(IF($W45&lt;&gt;"Y",Bond_Mult_MCR,Bond_Mult))),((SUM((Range=$K45)*(CQS=HLOOKUP($AA45,Solv_Ratio_CQS_Map,2,0))*(Bond_Base))+IF($I45&lt;1,1,$I45-$K45)*SUM((Range=$K45)*(CQS=HLOOKUP($AA45,Solv_Ratio_CQS_Map,2,0))*(Bond_Mult)))*($AC45-$Y45)+(SUM((Range=$K45)*(CQS=HLOOKUP($AC45,Solv_Ratio_CQS_Map,2,0))*(Bond_Base))+IF($I45&lt;1,1,$I45-$K45)*SUM((Range=$K45)*(CQS=HLOOKUP($AC45,Solv_Ratio_CQS_Map,2,0))*(Bond_Mult)))*($Y45-$AA45))/($AC45-$AA45))))</f>
        <v/>
      </c>
      <c r="AJ45" s="53"/>
      <c r="AK45" s="121" t="str">
        <f t="shared" ref="AK45:AK108" si="3">IF(AND(AE45="",AG45="",AI45=""),"",SUM(AE45,AG45,AI45))</f>
        <v/>
      </c>
      <c r="AL45" s="53"/>
      <c r="AM45" s="123" t="str">
        <f t="shared" ref="AM45:AM108" si="4">IF(AK45="","",-$AK45*$E45)</f>
        <v/>
      </c>
      <c r="AN45" s="115"/>
    </row>
    <row r="46" spans="2:40" x14ac:dyDescent="0.2">
      <c r="B46" s="116"/>
      <c r="C46" s="207"/>
      <c r="D46" s="53"/>
      <c r="E46" s="208"/>
      <c r="F46" s="53"/>
      <c r="G46" s="209"/>
      <c r="H46" s="53"/>
      <c r="I46" s="210"/>
      <c r="J46" s="53"/>
      <c r="K46" s="118" t="str">
        <f t="shared" si="2"/>
        <v/>
      </c>
      <c r="L46" s="53"/>
      <c r="M46" s="211"/>
      <c r="N46" s="53"/>
      <c r="O46" s="211"/>
      <c r="P46" s="53"/>
      <c r="Q46" s="211"/>
      <c r="R46" s="53"/>
      <c r="S46" s="211"/>
      <c r="T46" s="53"/>
      <c r="U46" s="117"/>
      <c r="V46" s="53"/>
      <c r="W46" s="119"/>
      <c r="X46" s="53"/>
      <c r="Y46" s="120"/>
      <c r="Z46" s="53"/>
      <c r="AA46" s="121" t="str">
        <f t="shared" si="0"/>
        <v/>
      </c>
      <c r="AB46" s="53"/>
      <c r="AC46" s="121" t="str">
        <f t="shared" si="1"/>
        <v/>
      </c>
      <c r="AD46" s="53"/>
      <c r="AE46" s="122" t="str">
        <f t="array" ref="AE46">IF(OR($C46="",$E46="",$G46="",$I46="",$M46="",$O46="",$Q46="",$S46="",$G46="Unrated"),"",IF($Q46="Y",0,MIN(1,SUM((IF($O46="Y",Cov_Range,Range)=$K46)*(IF($O46="Y",Cov_CQS,CQS)=$G46)*(IF($S46="Y",Gilt_Base,IF($O46="Y",Cov_Bond_Base,Bond_Base))))+IF($I46&lt;1,1,$I46-$K46)*SUM((IF($O46="Y",Cov_Range,Range)=$K46)*(IF($O46="Y",Cov_CQS,CQS)=$G46)*(IF($S46="Y",Gilt_Mult,IF($O46="Y",Cov_Bond_Mult,Bond_Mult)))))))</f>
        <v/>
      </c>
      <c r="AF46" s="53"/>
      <c r="AG46" s="122" t="str">
        <f t="array" ref="AG46">IF(OR($C46="",$E46="",$G46="",$I46="",$M46="",$O46="",$Q46="",$S46="",$G46&lt;&gt;"Unrated",$M46="Y"),"",MIN(1,IF(AND(U46&lt;E46,U46&gt;=E46*(1-(SUM((Range=$K46)*(Bond_Base_UR))+IF($I46&lt;1,1,$I46-$K46)*SUM((Range=$K46)*(Bond_Mult_UR))))),0.5*((SUM((Range=$K46)*(Bond_Base_UR))+IF($I46&lt;1,1,$I46-$K46)*SUM((Range=$K46)*(Bond_Mult_UR)))+((E46-U46)/E46)),IF(U46&gt;=E46,0.5,1)*(SUM((Range=$K46)*(Bond_Base_UR))+IF($I46&lt;1,1,$I46-$K46)*SUM((Range=$K46)*(Bond_Mult_UR))))))</f>
        <v/>
      </c>
      <c r="AH46" s="53"/>
      <c r="AI46" s="122" t="str">
        <f t="array" ref="AI46">IF(OR($C46="",$E46="",$G46="",$I46="",$M46="",$O46="",$Q46="",$S46="",$G46&lt;&gt;"Unrated",$M46&lt;&gt;"Y"),"",MIN(1,IF(OR($W46&lt;&gt;"Y",$AA46=$AC46),SUM((Range=$K46)*(CQS=IF($W46&lt;&gt;"Y",0,IF($AC46=196%,1,6)))*(IF($W46&lt;&gt;"Y",Bond_Base_MCR,Bond_Base)))+IF($I46&lt;1,1,$I46-$K46)*SUM((Range=$K46)*(CQS=IF($W46&lt;&gt;"Y",0,IF($AC46=196%,1,6)))*(IF($W46&lt;&gt;"Y",Bond_Mult_MCR,Bond_Mult))),((SUM((Range=$K46)*(CQS=HLOOKUP($AA46,Solv_Ratio_CQS_Map,2,0))*(Bond_Base))+IF($I46&lt;1,1,$I46-$K46)*SUM((Range=$K46)*(CQS=HLOOKUP($AA46,Solv_Ratio_CQS_Map,2,0))*(Bond_Mult)))*($AC46-$Y46)+(SUM((Range=$K46)*(CQS=HLOOKUP($AC46,Solv_Ratio_CQS_Map,2,0))*(Bond_Base))+IF($I46&lt;1,1,$I46-$K46)*SUM((Range=$K46)*(CQS=HLOOKUP($AC46,Solv_Ratio_CQS_Map,2,0))*(Bond_Mult)))*($Y46-$AA46))/($AC46-$AA46))))</f>
        <v/>
      </c>
      <c r="AJ46" s="53"/>
      <c r="AK46" s="121" t="str">
        <f t="shared" si="3"/>
        <v/>
      </c>
      <c r="AL46" s="53"/>
      <c r="AM46" s="123" t="str">
        <f t="shared" si="4"/>
        <v/>
      </c>
      <c r="AN46" s="115"/>
    </row>
    <row r="47" spans="2:40" x14ac:dyDescent="0.2">
      <c r="B47" s="116"/>
      <c r="C47" s="207"/>
      <c r="D47" s="53"/>
      <c r="E47" s="208"/>
      <c r="F47" s="53"/>
      <c r="G47" s="209"/>
      <c r="H47" s="53"/>
      <c r="I47" s="210"/>
      <c r="J47" s="53"/>
      <c r="K47" s="118" t="str">
        <f t="shared" si="2"/>
        <v/>
      </c>
      <c r="L47" s="53"/>
      <c r="M47" s="211"/>
      <c r="N47" s="53"/>
      <c r="O47" s="211"/>
      <c r="P47" s="53"/>
      <c r="Q47" s="211"/>
      <c r="R47" s="53"/>
      <c r="S47" s="211"/>
      <c r="T47" s="53"/>
      <c r="U47" s="117"/>
      <c r="V47" s="53"/>
      <c r="W47" s="119"/>
      <c r="X47" s="53"/>
      <c r="Y47" s="120"/>
      <c r="Z47" s="53"/>
      <c r="AA47" s="121" t="str">
        <f t="shared" si="0"/>
        <v/>
      </c>
      <c r="AB47" s="53"/>
      <c r="AC47" s="121" t="str">
        <f t="shared" si="1"/>
        <v/>
      </c>
      <c r="AD47" s="53"/>
      <c r="AE47" s="122" t="str">
        <f t="array" ref="AE47">IF(OR($C47="",$E47="",$G47="",$I47="",$M47="",$O47="",$Q47="",$S47="",$G47="Unrated"),"",IF($Q47="Y",0,MIN(1,SUM((IF($O47="Y",Cov_Range,Range)=$K47)*(IF($O47="Y",Cov_CQS,CQS)=$G47)*(IF($S47="Y",Gilt_Base,IF($O47="Y",Cov_Bond_Base,Bond_Base))))+IF($I47&lt;1,1,$I47-$K47)*SUM((IF($O47="Y",Cov_Range,Range)=$K47)*(IF($O47="Y",Cov_CQS,CQS)=$G47)*(IF($S47="Y",Gilt_Mult,IF($O47="Y",Cov_Bond_Mult,Bond_Mult)))))))</f>
        <v/>
      </c>
      <c r="AF47" s="53"/>
      <c r="AG47" s="122" t="str">
        <f t="array" ref="AG47">IF(OR($C47="",$E47="",$G47="",$I47="",$M47="",$O47="",$Q47="",$S47="",$G47&lt;&gt;"Unrated",$M47="Y"),"",MIN(1,IF(AND(U47&lt;E47,U47&gt;=E47*(1-(SUM((Range=$K47)*(Bond_Base_UR))+IF($I47&lt;1,1,$I47-$K47)*SUM((Range=$K47)*(Bond_Mult_UR))))),0.5*((SUM((Range=$K47)*(Bond_Base_UR))+IF($I47&lt;1,1,$I47-$K47)*SUM((Range=$K47)*(Bond_Mult_UR)))+((E47-U47)/E47)),IF(U47&gt;=E47,0.5,1)*(SUM((Range=$K47)*(Bond_Base_UR))+IF($I47&lt;1,1,$I47-$K47)*SUM((Range=$K47)*(Bond_Mult_UR))))))</f>
        <v/>
      </c>
      <c r="AH47" s="53"/>
      <c r="AI47" s="122" t="str">
        <f t="array" ref="AI47">IF(OR($C47="",$E47="",$G47="",$I47="",$M47="",$O47="",$Q47="",$S47="",$G47&lt;&gt;"Unrated",$M47&lt;&gt;"Y"),"",MIN(1,IF(OR($W47&lt;&gt;"Y",$AA47=$AC47),SUM((Range=$K47)*(CQS=IF($W47&lt;&gt;"Y",0,IF($AC47=196%,1,6)))*(IF($W47&lt;&gt;"Y",Bond_Base_MCR,Bond_Base)))+IF($I47&lt;1,1,$I47-$K47)*SUM((Range=$K47)*(CQS=IF($W47&lt;&gt;"Y",0,IF($AC47=196%,1,6)))*(IF($W47&lt;&gt;"Y",Bond_Mult_MCR,Bond_Mult))),((SUM((Range=$K47)*(CQS=HLOOKUP($AA47,Solv_Ratio_CQS_Map,2,0))*(Bond_Base))+IF($I47&lt;1,1,$I47-$K47)*SUM((Range=$K47)*(CQS=HLOOKUP($AA47,Solv_Ratio_CQS_Map,2,0))*(Bond_Mult)))*($AC47-$Y47)+(SUM((Range=$K47)*(CQS=HLOOKUP($AC47,Solv_Ratio_CQS_Map,2,0))*(Bond_Base))+IF($I47&lt;1,1,$I47-$K47)*SUM((Range=$K47)*(CQS=HLOOKUP($AC47,Solv_Ratio_CQS_Map,2,0))*(Bond_Mult)))*($Y47-$AA47))/($AC47-$AA47))))</f>
        <v/>
      </c>
      <c r="AJ47" s="53"/>
      <c r="AK47" s="121" t="str">
        <f t="shared" si="3"/>
        <v/>
      </c>
      <c r="AL47" s="53"/>
      <c r="AM47" s="123" t="str">
        <f t="shared" si="4"/>
        <v/>
      </c>
      <c r="AN47" s="115"/>
    </row>
    <row r="48" spans="2:40" x14ac:dyDescent="0.2">
      <c r="B48" s="116"/>
      <c r="C48" s="207"/>
      <c r="D48" s="53"/>
      <c r="E48" s="208"/>
      <c r="F48" s="53"/>
      <c r="G48" s="209"/>
      <c r="H48" s="53"/>
      <c r="I48" s="210"/>
      <c r="J48" s="53"/>
      <c r="K48" s="118" t="str">
        <f t="shared" si="2"/>
        <v/>
      </c>
      <c r="L48" s="53"/>
      <c r="M48" s="211"/>
      <c r="N48" s="53"/>
      <c r="O48" s="211"/>
      <c r="P48" s="53"/>
      <c r="Q48" s="211"/>
      <c r="R48" s="53"/>
      <c r="S48" s="211"/>
      <c r="T48" s="53"/>
      <c r="U48" s="117"/>
      <c r="V48" s="53"/>
      <c r="W48" s="119"/>
      <c r="X48" s="53"/>
      <c r="Y48" s="120"/>
      <c r="Z48" s="53"/>
      <c r="AA48" s="121" t="str">
        <f t="shared" si="0"/>
        <v/>
      </c>
      <c r="AB48" s="53"/>
      <c r="AC48" s="121" t="str">
        <f t="shared" si="1"/>
        <v/>
      </c>
      <c r="AD48" s="53"/>
      <c r="AE48" s="122" t="str">
        <f t="array" ref="AE48">IF(OR($C48="",$E48="",$G48="",$I48="",$M48="",$O48="",$Q48="",$S48="",$G48="Unrated"),"",IF($Q48="Y",0,MIN(1,SUM((IF($O48="Y",Cov_Range,Range)=$K48)*(IF($O48="Y",Cov_CQS,CQS)=$G48)*(IF($S48="Y",Gilt_Base,IF($O48="Y",Cov_Bond_Base,Bond_Base))))+IF($I48&lt;1,1,$I48-$K48)*SUM((IF($O48="Y",Cov_Range,Range)=$K48)*(IF($O48="Y",Cov_CQS,CQS)=$G48)*(IF($S48="Y",Gilt_Mult,IF($O48="Y",Cov_Bond_Mult,Bond_Mult)))))))</f>
        <v/>
      </c>
      <c r="AF48" s="53"/>
      <c r="AG48" s="122" t="str">
        <f t="array" ref="AG48">IF(OR($C48="",$E48="",$G48="",$I48="",$M48="",$O48="",$Q48="",$S48="",$G48&lt;&gt;"Unrated",$M48="Y"),"",MIN(1,IF(AND(U48&lt;E48,U48&gt;=E48*(1-(SUM((Range=$K48)*(Bond_Base_UR))+IF($I48&lt;1,1,$I48-$K48)*SUM((Range=$K48)*(Bond_Mult_UR))))),0.5*((SUM((Range=$K48)*(Bond_Base_UR))+IF($I48&lt;1,1,$I48-$K48)*SUM((Range=$K48)*(Bond_Mult_UR)))+((E48-U48)/E48)),IF(U48&gt;=E48,0.5,1)*(SUM((Range=$K48)*(Bond_Base_UR))+IF($I48&lt;1,1,$I48-$K48)*SUM((Range=$K48)*(Bond_Mult_UR))))))</f>
        <v/>
      </c>
      <c r="AH48" s="53"/>
      <c r="AI48" s="122" t="str">
        <f t="array" ref="AI48">IF(OR($C48="",$E48="",$G48="",$I48="",$M48="",$O48="",$Q48="",$S48="",$G48&lt;&gt;"Unrated",$M48&lt;&gt;"Y"),"",MIN(1,IF(OR($W48&lt;&gt;"Y",$AA48=$AC48),SUM((Range=$K48)*(CQS=IF($W48&lt;&gt;"Y",0,IF($AC48=196%,1,6)))*(IF($W48&lt;&gt;"Y",Bond_Base_MCR,Bond_Base)))+IF($I48&lt;1,1,$I48-$K48)*SUM((Range=$K48)*(CQS=IF($W48&lt;&gt;"Y",0,IF($AC48=196%,1,6)))*(IF($W48&lt;&gt;"Y",Bond_Mult_MCR,Bond_Mult))),((SUM((Range=$K48)*(CQS=HLOOKUP($AA48,Solv_Ratio_CQS_Map,2,0))*(Bond_Base))+IF($I48&lt;1,1,$I48-$K48)*SUM((Range=$K48)*(CQS=HLOOKUP($AA48,Solv_Ratio_CQS_Map,2,0))*(Bond_Mult)))*($AC48-$Y48)+(SUM((Range=$K48)*(CQS=HLOOKUP($AC48,Solv_Ratio_CQS_Map,2,0))*(Bond_Base))+IF($I48&lt;1,1,$I48-$K48)*SUM((Range=$K48)*(CQS=HLOOKUP($AC48,Solv_Ratio_CQS_Map,2,0))*(Bond_Mult)))*($Y48-$AA48))/($AC48-$AA48))))</f>
        <v/>
      </c>
      <c r="AJ48" s="53"/>
      <c r="AK48" s="121" t="str">
        <f t="shared" si="3"/>
        <v/>
      </c>
      <c r="AL48" s="53"/>
      <c r="AM48" s="123" t="str">
        <f t="shared" si="4"/>
        <v/>
      </c>
      <c r="AN48" s="115"/>
    </row>
    <row r="49" spans="2:40" x14ac:dyDescent="0.2">
      <c r="B49" s="116"/>
      <c r="C49" s="207"/>
      <c r="D49" s="53"/>
      <c r="E49" s="208"/>
      <c r="F49" s="53"/>
      <c r="G49" s="209"/>
      <c r="H49" s="53"/>
      <c r="I49" s="210"/>
      <c r="J49" s="53"/>
      <c r="K49" s="118" t="str">
        <f t="shared" si="2"/>
        <v/>
      </c>
      <c r="L49" s="53"/>
      <c r="M49" s="211"/>
      <c r="N49" s="53"/>
      <c r="O49" s="211"/>
      <c r="P49" s="53"/>
      <c r="Q49" s="211"/>
      <c r="R49" s="53"/>
      <c r="S49" s="211"/>
      <c r="T49" s="53"/>
      <c r="U49" s="117"/>
      <c r="V49" s="53"/>
      <c r="W49" s="119"/>
      <c r="X49" s="53"/>
      <c r="Y49" s="120"/>
      <c r="Z49" s="53"/>
      <c r="AA49" s="121" t="str">
        <f t="shared" si="0"/>
        <v/>
      </c>
      <c r="AB49" s="53"/>
      <c r="AC49" s="121" t="str">
        <f t="shared" si="1"/>
        <v/>
      </c>
      <c r="AD49" s="53"/>
      <c r="AE49" s="122" t="str">
        <f t="array" ref="AE49">IF(OR($C49="",$E49="",$G49="",$I49="",$M49="",$O49="",$Q49="",$S49="",$G49="Unrated"),"",IF($Q49="Y",0,MIN(1,SUM((IF($O49="Y",Cov_Range,Range)=$K49)*(IF($O49="Y",Cov_CQS,CQS)=$G49)*(IF($S49="Y",Gilt_Base,IF($O49="Y",Cov_Bond_Base,Bond_Base))))+IF($I49&lt;1,1,$I49-$K49)*SUM((IF($O49="Y",Cov_Range,Range)=$K49)*(IF($O49="Y",Cov_CQS,CQS)=$G49)*(IF($S49="Y",Gilt_Mult,IF($O49="Y",Cov_Bond_Mult,Bond_Mult)))))))</f>
        <v/>
      </c>
      <c r="AF49" s="53"/>
      <c r="AG49" s="122" t="str">
        <f t="array" ref="AG49">IF(OR($C49="",$E49="",$G49="",$I49="",$M49="",$O49="",$Q49="",$S49="",$G49&lt;&gt;"Unrated",$M49="Y"),"",MIN(1,IF(AND(U49&lt;E49,U49&gt;=E49*(1-(SUM((Range=$K49)*(Bond_Base_UR))+IF($I49&lt;1,1,$I49-$K49)*SUM((Range=$K49)*(Bond_Mult_UR))))),0.5*((SUM((Range=$K49)*(Bond_Base_UR))+IF($I49&lt;1,1,$I49-$K49)*SUM((Range=$K49)*(Bond_Mult_UR)))+((E49-U49)/E49)),IF(U49&gt;=E49,0.5,1)*(SUM((Range=$K49)*(Bond_Base_UR))+IF($I49&lt;1,1,$I49-$K49)*SUM((Range=$K49)*(Bond_Mult_UR))))))</f>
        <v/>
      </c>
      <c r="AH49" s="53"/>
      <c r="AI49" s="122" t="str">
        <f t="array" ref="AI49">IF(OR($C49="",$E49="",$G49="",$I49="",$M49="",$O49="",$Q49="",$S49="",$G49&lt;&gt;"Unrated",$M49&lt;&gt;"Y"),"",MIN(1,IF(OR($W49&lt;&gt;"Y",$AA49=$AC49),SUM((Range=$K49)*(CQS=IF($W49&lt;&gt;"Y",0,IF($AC49=196%,1,6)))*(IF($W49&lt;&gt;"Y",Bond_Base_MCR,Bond_Base)))+IF($I49&lt;1,1,$I49-$K49)*SUM((Range=$K49)*(CQS=IF($W49&lt;&gt;"Y",0,IF($AC49=196%,1,6)))*(IF($W49&lt;&gt;"Y",Bond_Mult_MCR,Bond_Mult))),((SUM((Range=$K49)*(CQS=HLOOKUP($AA49,Solv_Ratio_CQS_Map,2,0))*(Bond_Base))+IF($I49&lt;1,1,$I49-$K49)*SUM((Range=$K49)*(CQS=HLOOKUP($AA49,Solv_Ratio_CQS_Map,2,0))*(Bond_Mult)))*($AC49-$Y49)+(SUM((Range=$K49)*(CQS=HLOOKUP($AC49,Solv_Ratio_CQS_Map,2,0))*(Bond_Base))+IF($I49&lt;1,1,$I49-$K49)*SUM((Range=$K49)*(CQS=HLOOKUP($AC49,Solv_Ratio_CQS_Map,2,0))*(Bond_Mult)))*($Y49-$AA49))/($AC49-$AA49))))</f>
        <v/>
      </c>
      <c r="AJ49" s="53"/>
      <c r="AK49" s="121" t="str">
        <f t="shared" si="3"/>
        <v/>
      </c>
      <c r="AL49" s="53"/>
      <c r="AM49" s="123" t="str">
        <f t="shared" si="4"/>
        <v/>
      </c>
      <c r="AN49" s="115"/>
    </row>
    <row r="50" spans="2:40" x14ac:dyDescent="0.2">
      <c r="B50" s="116"/>
      <c r="C50" s="207"/>
      <c r="D50" s="53"/>
      <c r="E50" s="208"/>
      <c r="F50" s="53"/>
      <c r="G50" s="209"/>
      <c r="H50" s="53"/>
      <c r="I50" s="210"/>
      <c r="J50" s="53"/>
      <c r="K50" s="118" t="str">
        <f t="shared" si="2"/>
        <v/>
      </c>
      <c r="L50" s="53"/>
      <c r="M50" s="211"/>
      <c r="N50" s="53"/>
      <c r="O50" s="211"/>
      <c r="P50" s="53"/>
      <c r="Q50" s="211"/>
      <c r="R50" s="53"/>
      <c r="S50" s="211"/>
      <c r="T50" s="53"/>
      <c r="U50" s="117"/>
      <c r="V50" s="53"/>
      <c r="W50" s="119"/>
      <c r="X50" s="53"/>
      <c r="Y50" s="120"/>
      <c r="Z50" s="53"/>
      <c r="AA50" s="121" t="str">
        <f t="shared" si="0"/>
        <v/>
      </c>
      <c r="AB50" s="53"/>
      <c r="AC50" s="121" t="str">
        <f t="shared" si="1"/>
        <v/>
      </c>
      <c r="AD50" s="53"/>
      <c r="AE50" s="122" t="str">
        <f t="array" ref="AE50">IF(OR($C50="",$E50="",$G50="",$I50="",$M50="",$O50="",$Q50="",$S50="",$G50="Unrated"),"",IF($Q50="Y",0,MIN(1,SUM((IF($O50="Y",Cov_Range,Range)=$K50)*(IF($O50="Y",Cov_CQS,CQS)=$G50)*(IF($S50="Y",Gilt_Base,IF($O50="Y",Cov_Bond_Base,Bond_Base))))+IF($I50&lt;1,1,$I50-$K50)*SUM((IF($O50="Y",Cov_Range,Range)=$K50)*(IF($O50="Y",Cov_CQS,CQS)=$G50)*(IF($S50="Y",Gilt_Mult,IF($O50="Y",Cov_Bond_Mult,Bond_Mult)))))))</f>
        <v/>
      </c>
      <c r="AF50" s="53"/>
      <c r="AG50" s="122" t="str">
        <f t="array" ref="AG50">IF(OR($C50="",$E50="",$G50="",$I50="",$M50="",$O50="",$Q50="",$S50="",$G50&lt;&gt;"Unrated",$M50="Y"),"",MIN(1,IF(AND(U50&lt;E50,U50&gt;=E50*(1-(SUM((Range=$K50)*(Bond_Base_UR))+IF($I50&lt;1,1,$I50-$K50)*SUM((Range=$K50)*(Bond_Mult_UR))))),0.5*((SUM((Range=$K50)*(Bond_Base_UR))+IF($I50&lt;1,1,$I50-$K50)*SUM((Range=$K50)*(Bond_Mult_UR)))+((E50-U50)/E50)),IF(U50&gt;=E50,0.5,1)*(SUM((Range=$K50)*(Bond_Base_UR))+IF($I50&lt;1,1,$I50-$K50)*SUM((Range=$K50)*(Bond_Mult_UR))))))</f>
        <v/>
      </c>
      <c r="AH50" s="53"/>
      <c r="AI50" s="122" t="str">
        <f t="array" ref="AI50">IF(OR($C50="",$E50="",$G50="",$I50="",$M50="",$O50="",$Q50="",$S50="",$G50&lt;&gt;"Unrated",$M50&lt;&gt;"Y"),"",MIN(1,IF(OR($W50&lt;&gt;"Y",$AA50=$AC50),SUM((Range=$K50)*(CQS=IF($W50&lt;&gt;"Y",0,IF($AC50=196%,1,6)))*(IF($W50&lt;&gt;"Y",Bond_Base_MCR,Bond_Base)))+IF($I50&lt;1,1,$I50-$K50)*SUM((Range=$K50)*(CQS=IF($W50&lt;&gt;"Y",0,IF($AC50=196%,1,6)))*(IF($W50&lt;&gt;"Y",Bond_Mult_MCR,Bond_Mult))),((SUM((Range=$K50)*(CQS=HLOOKUP($AA50,Solv_Ratio_CQS_Map,2,0))*(Bond_Base))+IF($I50&lt;1,1,$I50-$K50)*SUM((Range=$K50)*(CQS=HLOOKUP($AA50,Solv_Ratio_CQS_Map,2,0))*(Bond_Mult)))*($AC50-$Y50)+(SUM((Range=$K50)*(CQS=HLOOKUP($AC50,Solv_Ratio_CQS_Map,2,0))*(Bond_Base))+IF($I50&lt;1,1,$I50-$K50)*SUM((Range=$K50)*(CQS=HLOOKUP($AC50,Solv_Ratio_CQS_Map,2,0))*(Bond_Mult)))*($Y50-$AA50))/($AC50-$AA50))))</f>
        <v/>
      </c>
      <c r="AJ50" s="53"/>
      <c r="AK50" s="121" t="str">
        <f t="shared" si="3"/>
        <v/>
      </c>
      <c r="AL50" s="53"/>
      <c r="AM50" s="123" t="str">
        <f t="shared" si="4"/>
        <v/>
      </c>
      <c r="AN50" s="115"/>
    </row>
    <row r="51" spans="2:40" x14ac:dyDescent="0.2">
      <c r="B51" s="116"/>
      <c r="C51" s="207"/>
      <c r="D51" s="53"/>
      <c r="E51" s="208"/>
      <c r="F51" s="53"/>
      <c r="G51" s="209"/>
      <c r="H51" s="53"/>
      <c r="I51" s="210"/>
      <c r="J51" s="53"/>
      <c r="K51" s="118" t="str">
        <f t="shared" si="2"/>
        <v/>
      </c>
      <c r="L51" s="53"/>
      <c r="M51" s="211"/>
      <c r="N51" s="53"/>
      <c r="O51" s="211"/>
      <c r="P51" s="53"/>
      <c r="Q51" s="211"/>
      <c r="R51" s="53"/>
      <c r="S51" s="211"/>
      <c r="T51" s="53"/>
      <c r="U51" s="117"/>
      <c r="V51" s="53"/>
      <c r="W51" s="119"/>
      <c r="X51" s="53"/>
      <c r="Y51" s="120"/>
      <c r="Z51" s="53"/>
      <c r="AA51" s="121" t="str">
        <f t="shared" si="0"/>
        <v/>
      </c>
      <c r="AB51" s="53"/>
      <c r="AC51" s="121" t="str">
        <f t="shared" si="1"/>
        <v/>
      </c>
      <c r="AD51" s="53"/>
      <c r="AE51" s="122" t="str">
        <f t="array" ref="AE51">IF(OR($C51="",$E51="",$G51="",$I51="",$M51="",$O51="",$Q51="",$S51="",$G51="Unrated"),"",IF($Q51="Y",0,MIN(1,SUM((IF($O51="Y",Cov_Range,Range)=$K51)*(IF($O51="Y",Cov_CQS,CQS)=$G51)*(IF($S51="Y",Gilt_Base,IF($O51="Y",Cov_Bond_Base,Bond_Base))))+IF($I51&lt;1,1,$I51-$K51)*SUM((IF($O51="Y",Cov_Range,Range)=$K51)*(IF($O51="Y",Cov_CQS,CQS)=$G51)*(IF($S51="Y",Gilt_Mult,IF($O51="Y",Cov_Bond_Mult,Bond_Mult)))))))</f>
        <v/>
      </c>
      <c r="AF51" s="53"/>
      <c r="AG51" s="122" t="str">
        <f t="array" ref="AG51">IF(OR($C51="",$E51="",$G51="",$I51="",$M51="",$O51="",$Q51="",$S51="",$G51&lt;&gt;"Unrated",$M51="Y"),"",MIN(1,IF(AND(U51&lt;E51,U51&gt;=E51*(1-(SUM((Range=$K51)*(Bond_Base_UR))+IF($I51&lt;1,1,$I51-$K51)*SUM((Range=$K51)*(Bond_Mult_UR))))),0.5*((SUM((Range=$K51)*(Bond_Base_UR))+IF($I51&lt;1,1,$I51-$K51)*SUM((Range=$K51)*(Bond_Mult_UR)))+((E51-U51)/E51)),IF(U51&gt;=E51,0.5,1)*(SUM((Range=$K51)*(Bond_Base_UR))+IF($I51&lt;1,1,$I51-$K51)*SUM((Range=$K51)*(Bond_Mult_UR))))))</f>
        <v/>
      </c>
      <c r="AH51" s="53"/>
      <c r="AI51" s="122" t="str">
        <f t="array" ref="AI51">IF(OR($C51="",$E51="",$G51="",$I51="",$M51="",$O51="",$Q51="",$S51="",$G51&lt;&gt;"Unrated",$M51&lt;&gt;"Y"),"",MIN(1,IF(OR($W51&lt;&gt;"Y",$AA51=$AC51),SUM((Range=$K51)*(CQS=IF($W51&lt;&gt;"Y",0,IF($AC51=196%,1,6)))*(IF($W51&lt;&gt;"Y",Bond_Base_MCR,Bond_Base)))+IF($I51&lt;1,1,$I51-$K51)*SUM((Range=$K51)*(CQS=IF($W51&lt;&gt;"Y",0,IF($AC51=196%,1,6)))*(IF($W51&lt;&gt;"Y",Bond_Mult_MCR,Bond_Mult))),((SUM((Range=$K51)*(CQS=HLOOKUP($AA51,Solv_Ratio_CQS_Map,2,0))*(Bond_Base))+IF($I51&lt;1,1,$I51-$K51)*SUM((Range=$K51)*(CQS=HLOOKUP($AA51,Solv_Ratio_CQS_Map,2,0))*(Bond_Mult)))*($AC51-$Y51)+(SUM((Range=$K51)*(CQS=HLOOKUP($AC51,Solv_Ratio_CQS_Map,2,0))*(Bond_Base))+IF($I51&lt;1,1,$I51-$K51)*SUM((Range=$K51)*(CQS=HLOOKUP($AC51,Solv_Ratio_CQS_Map,2,0))*(Bond_Mult)))*($Y51-$AA51))/($AC51-$AA51))))</f>
        <v/>
      </c>
      <c r="AJ51" s="53"/>
      <c r="AK51" s="121" t="str">
        <f t="shared" si="3"/>
        <v/>
      </c>
      <c r="AL51" s="53"/>
      <c r="AM51" s="123" t="str">
        <f t="shared" si="4"/>
        <v/>
      </c>
      <c r="AN51" s="115"/>
    </row>
    <row r="52" spans="2:40" x14ac:dyDescent="0.2">
      <c r="B52" s="116"/>
      <c r="C52" s="207"/>
      <c r="D52" s="53"/>
      <c r="E52" s="208"/>
      <c r="F52" s="53"/>
      <c r="G52" s="209"/>
      <c r="H52" s="53"/>
      <c r="I52" s="210"/>
      <c r="J52" s="53"/>
      <c r="K52" s="118" t="str">
        <f t="shared" si="2"/>
        <v/>
      </c>
      <c r="L52" s="53"/>
      <c r="M52" s="211"/>
      <c r="N52" s="53"/>
      <c r="O52" s="211"/>
      <c r="P52" s="53"/>
      <c r="Q52" s="211"/>
      <c r="R52" s="53"/>
      <c r="S52" s="211"/>
      <c r="T52" s="53"/>
      <c r="U52" s="117"/>
      <c r="V52" s="53"/>
      <c r="W52" s="119"/>
      <c r="X52" s="53"/>
      <c r="Y52" s="120"/>
      <c r="Z52" s="53"/>
      <c r="AA52" s="121" t="str">
        <f t="shared" si="0"/>
        <v/>
      </c>
      <c r="AB52" s="53"/>
      <c r="AC52" s="121" t="str">
        <f t="shared" si="1"/>
        <v/>
      </c>
      <c r="AD52" s="53"/>
      <c r="AE52" s="122" t="str">
        <f t="array" ref="AE52">IF(OR($C52="",$E52="",$G52="",$I52="",$M52="",$O52="",$Q52="",$S52="",$G52="Unrated"),"",IF($Q52="Y",0,MIN(1,SUM((IF($O52="Y",Cov_Range,Range)=$K52)*(IF($O52="Y",Cov_CQS,CQS)=$G52)*(IF($S52="Y",Gilt_Base,IF($O52="Y",Cov_Bond_Base,Bond_Base))))+IF($I52&lt;1,1,$I52-$K52)*SUM((IF($O52="Y",Cov_Range,Range)=$K52)*(IF($O52="Y",Cov_CQS,CQS)=$G52)*(IF($S52="Y",Gilt_Mult,IF($O52="Y",Cov_Bond_Mult,Bond_Mult)))))))</f>
        <v/>
      </c>
      <c r="AF52" s="53"/>
      <c r="AG52" s="122" t="str">
        <f t="array" ref="AG52">IF(OR($C52="",$E52="",$G52="",$I52="",$M52="",$O52="",$Q52="",$S52="",$G52&lt;&gt;"Unrated",$M52="Y"),"",MIN(1,IF(AND(U52&lt;E52,U52&gt;=E52*(1-(SUM((Range=$K52)*(Bond_Base_UR))+IF($I52&lt;1,1,$I52-$K52)*SUM((Range=$K52)*(Bond_Mult_UR))))),0.5*((SUM((Range=$K52)*(Bond_Base_UR))+IF($I52&lt;1,1,$I52-$K52)*SUM((Range=$K52)*(Bond_Mult_UR)))+((E52-U52)/E52)),IF(U52&gt;=E52,0.5,1)*(SUM((Range=$K52)*(Bond_Base_UR))+IF($I52&lt;1,1,$I52-$K52)*SUM((Range=$K52)*(Bond_Mult_UR))))))</f>
        <v/>
      </c>
      <c r="AH52" s="53"/>
      <c r="AI52" s="122" t="str">
        <f t="array" ref="AI52">IF(OR($C52="",$E52="",$G52="",$I52="",$M52="",$O52="",$Q52="",$S52="",$G52&lt;&gt;"Unrated",$M52&lt;&gt;"Y"),"",MIN(1,IF(OR($W52&lt;&gt;"Y",$AA52=$AC52),SUM((Range=$K52)*(CQS=IF($W52&lt;&gt;"Y",0,IF($AC52=196%,1,6)))*(IF($W52&lt;&gt;"Y",Bond_Base_MCR,Bond_Base)))+IF($I52&lt;1,1,$I52-$K52)*SUM((Range=$K52)*(CQS=IF($W52&lt;&gt;"Y",0,IF($AC52=196%,1,6)))*(IF($W52&lt;&gt;"Y",Bond_Mult_MCR,Bond_Mult))),((SUM((Range=$K52)*(CQS=HLOOKUP($AA52,Solv_Ratio_CQS_Map,2,0))*(Bond_Base))+IF($I52&lt;1,1,$I52-$K52)*SUM((Range=$K52)*(CQS=HLOOKUP($AA52,Solv_Ratio_CQS_Map,2,0))*(Bond_Mult)))*($AC52-$Y52)+(SUM((Range=$K52)*(CQS=HLOOKUP($AC52,Solv_Ratio_CQS_Map,2,0))*(Bond_Base))+IF($I52&lt;1,1,$I52-$K52)*SUM((Range=$K52)*(CQS=HLOOKUP($AC52,Solv_Ratio_CQS_Map,2,0))*(Bond_Mult)))*($Y52-$AA52))/($AC52-$AA52))))</f>
        <v/>
      </c>
      <c r="AJ52" s="53"/>
      <c r="AK52" s="121" t="str">
        <f t="shared" si="3"/>
        <v/>
      </c>
      <c r="AL52" s="53"/>
      <c r="AM52" s="123" t="str">
        <f t="shared" si="4"/>
        <v/>
      </c>
      <c r="AN52" s="115"/>
    </row>
    <row r="53" spans="2:40" x14ac:dyDescent="0.2">
      <c r="B53" s="116"/>
      <c r="C53" s="207"/>
      <c r="D53" s="53"/>
      <c r="E53" s="208"/>
      <c r="F53" s="53"/>
      <c r="G53" s="209"/>
      <c r="H53" s="53"/>
      <c r="I53" s="210"/>
      <c r="J53" s="53"/>
      <c r="K53" s="118" t="str">
        <f t="shared" si="2"/>
        <v/>
      </c>
      <c r="L53" s="53"/>
      <c r="M53" s="211"/>
      <c r="N53" s="53"/>
      <c r="O53" s="211"/>
      <c r="P53" s="53"/>
      <c r="Q53" s="211"/>
      <c r="R53" s="53"/>
      <c r="S53" s="211"/>
      <c r="T53" s="53"/>
      <c r="U53" s="117"/>
      <c r="V53" s="53"/>
      <c r="W53" s="119"/>
      <c r="X53" s="53"/>
      <c r="Y53" s="120"/>
      <c r="Z53" s="53"/>
      <c r="AA53" s="121" t="str">
        <f t="shared" si="0"/>
        <v/>
      </c>
      <c r="AB53" s="53"/>
      <c r="AC53" s="121" t="str">
        <f t="shared" si="1"/>
        <v/>
      </c>
      <c r="AD53" s="53"/>
      <c r="AE53" s="122" t="str">
        <f t="array" ref="AE53">IF(OR($C53="",$E53="",$G53="",$I53="",$M53="",$O53="",$Q53="",$S53="",$G53="Unrated"),"",IF($Q53="Y",0,MIN(1,SUM((IF($O53="Y",Cov_Range,Range)=$K53)*(IF($O53="Y",Cov_CQS,CQS)=$G53)*(IF($S53="Y",Gilt_Base,IF($O53="Y",Cov_Bond_Base,Bond_Base))))+IF($I53&lt;1,1,$I53-$K53)*SUM((IF($O53="Y",Cov_Range,Range)=$K53)*(IF($O53="Y",Cov_CQS,CQS)=$G53)*(IF($S53="Y",Gilt_Mult,IF($O53="Y",Cov_Bond_Mult,Bond_Mult)))))))</f>
        <v/>
      </c>
      <c r="AF53" s="53"/>
      <c r="AG53" s="122" t="str">
        <f t="array" ref="AG53">IF(OR($C53="",$E53="",$G53="",$I53="",$M53="",$O53="",$Q53="",$S53="",$G53&lt;&gt;"Unrated",$M53="Y"),"",MIN(1,IF(AND(U53&lt;E53,U53&gt;=E53*(1-(SUM((Range=$K53)*(Bond_Base_UR))+IF($I53&lt;1,1,$I53-$K53)*SUM((Range=$K53)*(Bond_Mult_UR))))),0.5*((SUM((Range=$K53)*(Bond_Base_UR))+IF($I53&lt;1,1,$I53-$K53)*SUM((Range=$K53)*(Bond_Mult_UR)))+((E53-U53)/E53)),IF(U53&gt;=E53,0.5,1)*(SUM((Range=$K53)*(Bond_Base_UR))+IF($I53&lt;1,1,$I53-$K53)*SUM((Range=$K53)*(Bond_Mult_UR))))))</f>
        <v/>
      </c>
      <c r="AH53" s="53"/>
      <c r="AI53" s="122" t="str">
        <f t="array" ref="AI53">IF(OR($C53="",$E53="",$G53="",$I53="",$M53="",$O53="",$Q53="",$S53="",$G53&lt;&gt;"Unrated",$M53&lt;&gt;"Y"),"",MIN(1,IF(OR($W53&lt;&gt;"Y",$AA53=$AC53),SUM((Range=$K53)*(CQS=IF($W53&lt;&gt;"Y",0,IF($AC53=196%,1,6)))*(IF($W53&lt;&gt;"Y",Bond_Base_MCR,Bond_Base)))+IF($I53&lt;1,1,$I53-$K53)*SUM((Range=$K53)*(CQS=IF($W53&lt;&gt;"Y",0,IF($AC53=196%,1,6)))*(IF($W53&lt;&gt;"Y",Bond_Mult_MCR,Bond_Mult))),((SUM((Range=$K53)*(CQS=HLOOKUP($AA53,Solv_Ratio_CQS_Map,2,0))*(Bond_Base))+IF($I53&lt;1,1,$I53-$K53)*SUM((Range=$K53)*(CQS=HLOOKUP($AA53,Solv_Ratio_CQS_Map,2,0))*(Bond_Mult)))*($AC53-$Y53)+(SUM((Range=$K53)*(CQS=HLOOKUP($AC53,Solv_Ratio_CQS_Map,2,0))*(Bond_Base))+IF($I53&lt;1,1,$I53-$K53)*SUM((Range=$K53)*(CQS=HLOOKUP($AC53,Solv_Ratio_CQS_Map,2,0))*(Bond_Mult)))*($Y53-$AA53))/($AC53-$AA53))))</f>
        <v/>
      </c>
      <c r="AJ53" s="53"/>
      <c r="AK53" s="121" t="str">
        <f t="shared" si="3"/>
        <v/>
      </c>
      <c r="AL53" s="53"/>
      <c r="AM53" s="123" t="str">
        <f t="shared" si="4"/>
        <v/>
      </c>
      <c r="AN53" s="115"/>
    </row>
    <row r="54" spans="2:40" x14ac:dyDescent="0.2">
      <c r="B54" s="116"/>
      <c r="C54" s="207"/>
      <c r="D54" s="53"/>
      <c r="E54" s="208"/>
      <c r="F54" s="53"/>
      <c r="G54" s="209"/>
      <c r="H54" s="53"/>
      <c r="I54" s="210"/>
      <c r="J54" s="53"/>
      <c r="K54" s="118" t="str">
        <f t="shared" si="2"/>
        <v/>
      </c>
      <c r="L54" s="53"/>
      <c r="M54" s="211"/>
      <c r="N54" s="53"/>
      <c r="O54" s="211"/>
      <c r="P54" s="53"/>
      <c r="Q54" s="211"/>
      <c r="R54" s="53"/>
      <c r="S54" s="211"/>
      <c r="T54" s="53"/>
      <c r="U54" s="117"/>
      <c r="V54" s="53"/>
      <c r="W54" s="119"/>
      <c r="X54" s="53"/>
      <c r="Y54" s="120"/>
      <c r="Z54" s="53"/>
      <c r="AA54" s="121" t="str">
        <f t="shared" si="0"/>
        <v/>
      </c>
      <c r="AB54" s="53"/>
      <c r="AC54" s="121" t="str">
        <f t="shared" si="1"/>
        <v/>
      </c>
      <c r="AD54" s="53"/>
      <c r="AE54" s="122" t="str">
        <f t="array" ref="AE54">IF(OR($C54="",$E54="",$G54="",$I54="",$M54="",$O54="",$Q54="",$S54="",$G54="Unrated"),"",IF($Q54="Y",0,MIN(1,SUM((IF($O54="Y",Cov_Range,Range)=$K54)*(IF($O54="Y",Cov_CQS,CQS)=$G54)*(IF($S54="Y",Gilt_Base,IF($O54="Y",Cov_Bond_Base,Bond_Base))))+IF($I54&lt;1,1,$I54-$K54)*SUM((IF($O54="Y",Cov_Range,Range)=$K54)*(IF($O54="Y",Cov_CQS,CQS)=$G54)*(IF($S54="Y",Gilt_Mult,IF($O54="Y",Cov_Bond_Mult,Bond_Mult)))))))</f>
        <v/>
      </c>
      <c r="AF54" s="53"/>
      <c r="AG54" s="122" t="str">
        <f t="array" ref="AG54">IF(OR($C54="",$E54="",$G54="",$I54="",$M54="",$O54="",$Q54="",$S54="",$G54&lt;&gt;"Unrated",$M54="Y"),"",MIN(1,IF(AND(U54&lt;E54,U54&gt;=E54*(1-(SUM((Range=$K54)*(Bond_Base_UR))+IF($I54&lt;1,1,$I54-$K54)*SUM((Range=$K54)*(Bond_Mult_UR))))),0.5*((SUM((Range=$K54)*(Bond_Base_UR))+IF($I54&lt;1,1,$I54-$K54)*SUM((Range=$K54)*(Bond_Mult_UR)))+((E54-U54)/E54)),IF(U54&gt;=E54,0.5,1)*(SUM((Range=$K54)*(Bond_Base_UR))+IF($I54&lt;1,1,$I54-$K54)*SUM((Range=$K54)*(Bond_Mult_UR))))))</f>
        <v/>
      </c>
      <c r="AH54" s="53"/>
      <c r="AI54" s="122" t="str">
        <f t="array" ref="AI54">IF(OR($C54="",$E54="",$G54="",$I54="",$M54="",$O54="",$Q54="",$S54="",$G54&lt;&gt;"Unrated",$M54&lt;&gt;"Y"),"",MIN(1,IF(OR($W54&lt;&gt;"Y",$AA54=$AC54),SUM((Range=$K54)*(CQS=IF($W54&lt;&gt;"Y",0,IF($AC54=196%,1,6)))*(IF($W54&lt;&gt;"Y",Bond_Base_MCR,Bond_Base)))+IF($I54&lt;1,1,$I54-$K54)*SUM((Range=$K54)*(CQS=IF($W54&lt;&gt;"Y",0,IF($AC54=196%,1,6)))*(IF($W54&lt;&gt;"Y",Bond_Mult_MCR,Bond_Mult))),((SUM((Range=$K54)*(CQS=HLOOKUP($AA54,Solv_Ratio_CQS_Map,2,0))*(Bond_Base))+IF($I54&lt;1,1,$I54-$K54)*SUM((Range=$K54)*(CQS=HLOOKUP($AA54,Solv_Ratio_CQS_Map,2,0))*(Bond_Mult)))*($AC54-$Y54)+(SUM((Range=$K54)*(CQS=HLOOKUP($AC54,Solv_Ratio_CQS_Map,2,0))*(Bond_Base))+IF($I54&lt;1,1,$I54-$K54)*SUM((Range=$K54)*(CQS=HLOOKUP($AC54,Solv_Ratio_CQS_Map,2,0))*(Bond_Mult)))*($Y54-$AA54))/($AC54-$AA54))))</f>
        <v/>
      </c>
      <c r="AJ54" s="53"/>
      <c r="AK54" s="121" t="str">
        <f t="shared" si="3"/>
        <v/>
      </c>
      <c r="AL54" s="53"/>
      <c r="AM54" s="123" t="str">
        <f t="shared" si="4"/>
        <v/>
      </c>
      <c r="AN54" s="115"/>
    </row>
    <row r="55" spans="2:40" x14ac:dyDescent="0.2">
      <c r="B55" s="116"/>
      <c r="C55" s="207"/>
      <c r="D55" s="53"/>
      <c r="E55" s="208"/>
      <c r="F55" s="53"/>
      <c r="G55" s="209"/>
      <c r="H55" s="53"/>
      <c r="I55" s="210"/>
      <c r="J55" s="53"/>
      <c r="K55" s="118" t="str">
        <f t="shared" si="2"/>
        <v/>
      </c>
      <c r="L55" s="53"/>
      <c r="M55" s="211"/>
      <c r="N55" s="53"/>
      <c r="O55" s="211"/>
      <c r="P55" s="53"/>
      <c r="Q55" s="211"/>
      <c r="R55" s="53"/>
      <c r="S55" s="211"/>
      <c r="T55" s="53"/>
      <c r="U55" s="117"/>
      <c r="V55" s="53"/>
      <c r="W55" s="119"/>
      <c r="X55" s="53"/>
      <c r="Y55" s="120"/>
      <c r="Z55" s="53"/>
      <c r="AA55" s="121" t="str">
        <f t="shared" si="0"/>
        <v/>
      </c>
      <c r="AB55" s="53"/>
      <c r="AC55" s="121" t="str">
        <f t="shared" si="1"/>
        <v/>
      </c>
      <c r="AD55" s="53"/>
      <c r="AE55" s="122" t="str">
        <f t="array" ref="AE55">IF(OR($C55="",$E55="",$G55="",$I55="",$M55="",$O55="",$Q55="",$S55="",$G55="Unrated"),"",IF($Q55="Y",0,MIN(1,SUM((IF($O55="Y",Cov_Range,Range)=$K55)*(IF($O55="Y",Cov_CQS,CQS)=$G55)*(IF($S55="Y",Gilt_Base,IF($O55="Y",Cov_Bond_Base,Bond_Base))))+IF($I55&lt;1,1,$I55-$K55)*SUM((IF($O55="Y",Cov_Range,Range)=$K55)*(IF($O55="Y",Cov_CQS,CQS)=$G55)*(IF($S55="Y",Gilt_Mult,IF($O55="Y",Cov_Bond_Mult,Bond_Mult)))))))</f>
        <v/>
      </c>
      <c r="AF55" s="53"/>
      <c r="AG55" s="122" t="str">
        <f t="array" ref="AG55">IF(OR($C55="",$E55="",$G55="",$I55="",$M55="",$O55="",$Q55="",$S55="",$G55&lt;&gt;"Unrated",$M55="Y"),"",MIN(1,IF(AND(U55&lt;E55,U55&gt;=E55*(1-(SUM((Range=$K55)*(Bond_Base_UR))+IF($I55&lt;1,1,$I55-$K55)*SUM((Range=$K55)*(Bond_Mult_UR))))),0.5*((SUM((Range=$K55)*(Bond_Base_UR))+IF($I55&lt;1,1,$I55-$K55)*SUM((Range=$K55)*(Bond_Mult_UR)))+((E55-U55)/E55)),IF(U55&gt;=E55,0.5,1)*(SUM((Range=$K55)*(Bond_Base_UR))+IF($I55&lt;1,1,$I55-$K55)*SUM((Range=$K55)*(Bond_Mult_UR))))))</f>
        <v/>
      </c>
      <c r="AH55" s="53"/>
      <c r="AI55" s="122" t="str">
        <f t="array" ref="AI55">IF(OR($C55="",$E55="",$G55="",$I55="",$M55="",$O55="",$Q55="",$S55="",$G55&lt;&gt;"Unrated",$M55&lt;&gt;"Y"),"",MIN(1,IF(OR($W55&lt;&gt;"Y",$AA55=$AC55),SUM((Range=$K55)*(CQS=IF($W55&lt;&gt;"Y",0,IF($AC55=196%,1,6)))*(IF($W55&lt;&gt;"Y",Bond_Base_MCR,Bond_Base)))+IF($I55&lt;1,1,$I55-$K55)*SUM((Range=$K55)*(CQS=IF($W55&lt;&gt;"Y",0,IF($AC55=196%,1,6)))*(IF($W55&lt;&gt;"Y",Bond_Mult_MCR,Bond_Mult))),((SUM((Range=$K55)*(CQS=HLOOKUP($AA55,Solv_Ratio_CQS_Map,2,0))*(Bond_Base))+IF($I55&lt;1,1,$I55-$K55)*SUM((Range=$K55)*(CQS=HLOOKUP($AA55,Solv_Ratio_CQS_Map,2,0))*(Bond_Mult)))*($AC55-$Y55)+(SUM((Range=$K55)*(CQS=HLOOKUP($AC55,Solv_Ratio_CQS_Map,2,0))*(Bond_Base))+IF($I55&lt;1,1,$I55-$K55)*SUM((Range=$K55)*(CQS=HLOOKUP($AC55,Solv_Ratio_CQS_Map,2,0))*(Bond_Mult)))*($Y55-$AA55))/($AC55-$AA55))))</f>
        <v/>
      </c>
      <c r="AJ55" s="53"/>
      <c r="AK55" s="121" t="str">
        <f t="shared" si="3"/>
        <v/>
      </c>
      <c r="AL55" s="53"/>
      <c r="AM55" s="123" t="str">
        <f t="shared" si="4"/>
        <v/>
      </c>
      <c r="AN55" s="115"/>
    </row>
    <row r="56" spans="2:40" x14ac:dyDescent="0.2">
      <c r="B56" s="116"/>
      <c r="C56" s="207"/>
      <c r="D56" s="53"/>
      <c r="E56" s="208"/>
      <c r="F56" s="53"/>
      <c r="G56" s="209"/>
      <c r="H56" s="53"/>
      <c r="I56" s="210"/>
      <c r="J56" s="53"/>
      <c r="K56" s="118" t="str">
        <f t="shared" si="2"/>
        <v/>
      </c>
      <c r="L56" s="53"/>
      <c r="M56" s="211"/>
      <c r="N56" s="53"/>
      <c r="O56" s="211"/>
      <c r="P56" s="53"/>
      <c r="Q56" s="211"/>
      <c r="R56" s="53"/>
      <c r="S56" s="211"/>
      <c r="T56" s="53"/>
      <c r="U56" s="117"/>
      <c r="V56" s="53"/>
      <c r="W56" s="119"/>
      <c r="X56" s="53"/>
      <c r="Y56" s="120"/>
      <c r="Z56" s="53"/>
      <c r="AA56" s="121" t="str">
        <f t="shared" si="0"/>
        <v/>
      </c>
      <c r="AB56" s="53"/>
      <c r="AC56" s="121" t="str">
        <f t="shared" si="1"/>
        <v/>
      </c>
      <c r="AD56" s="53"/>
      <c r="AE56" s="122" t="str">
        <f t="array" ref="AE56">IF(OR($C56="",$E56="",$G56="",$I56="",$M56="",$O56="",$Q56="",$S56="",$G56="Unrated"),"",IF($Q56="Y",0,MIN(1,SUM((IF($O56="Y",Cov_Range,Range)=$K56)*(IF($O56="Y",Cov_CQS,CQS)=$G56)*(IF($S56="Y",Gilt_Base,IF($O56="Y",Cov_Bond_Base,Bond_Base))))+IF($I56&lt;1,1,$I56-$K56)*SUM((IF($O56="Y",Cov_Range,Range)=$K56)*(IF($O56="Y",Cov_CQS,CQS)=$G56)*(IF($S56="Y",Gilt_Mult,IF($O56="Y",Cov_Bond_Mult,Bond_Mult)))))))</f>
        <v/>
      </c>
      <c r="AF56" s="53"/>
      <c r="AG56" s="122" t="str">
        <f t="array" ref="AG56">IF(OR($C56="",$E56="",$G56="",$I56="",$M56="",$O56="",$Q56="",$S56="",$G56&lt;&gt;"Unrated",$M56="Y"),"",MIN(1,IF(AND(U56&lt;E56,U56&gt;=E56*(1-(SUM((Range=$K56)*(Bond_Base_UR))+IF($I56&lt;1,1,$I56-$K56)*SUM((Range=$K56)*(Bond_Mult_UR))))),0.5*((SUM((Range=$K56)*(Bond_Base_UR))+IF($I56&lt;1,1,$I56-$K56)*SUM((Range=$K56)*(Bond_Mult_UR)))+((E56-U56)/E56)),IF(U56&gt;=E56,0.5,1)*(SUM((Range=$K56)*(Bond_Base_UR))+IF($I56&lt;1,1,$I56-$K56)*SUM((Range=$K56)*(Bond_Mult_UR))))))</f>
        <v/>
      </c>
      <c r="AH56" s="53"/>
      <c r="AI56" s="122" t="str">
        <f t="array" ref="AI56">IF(OR($C56="",$E56="",$G56="",$I56="",$M56="",$O56="",$Q56="",$S56="",$G56&lt;&gt;"Unrated",$M56&lt;&gt;"Y"),"",MIN(1,IF(OR($W56&lt;&gt;"Y",$AA56=$AC56),SUM((Range=$K56)*(CQS=IF($W56&lt;&gt;"Y",0,IF($AC56=196%,1,6)))*(IF($W56&lt;&gt;"Y",Bond_Base_MCR,Bond_Base)))+IF($I56&lt;1,1,$I56-$K56)*SUM((Range=$K56)*(CQS=IF($W56&lt;&gt;"Y",0,IF($AC56=196%,1,6)))*(IF($W56&lt;&gt;"Y",Bond_Mult_MCR,Bond_Mult))),((SUM((Range=$K56)*(CQS=HLOOKUP($AA56,Solv_Ratio_CQS_Map,2,0))*(Bond_Base))+IF($I56&lt;1,1,$I56-$K56)*SUM((Range=$K56)*(CQS=HLOOKUP($AA56,Solv_Ratio_CQS_Map,2,0))*(Bond_Mult)))*($AC56-$Y56)+(SUM((Range=$K56)*(CQS=HLOOKUP($AC56,Solv_Ratio_CQS_Map,2,0))*(Bond_Base))+IF($I56&lt;1,1,$I56-$K56)*SUM((Range=$K56)*(CQS=HLOOKUP($AC56,Solv_Ratio_CQS_Map,2,0))*(Bond_Mult)))*($Y56-$AA56))/($AC56-$AA56))))</f>
        <v/>
      </c>
      <c r="AJ56" s="53"/>
      <c r="AK56" s="121" t="str">
        <f t="shared" si="3"/>
        <v/>
      </c>
      <c r="AL56" s="53"/>
      <c r="AM56" s="123" t="str">
        <f t="shared" si="4"/>
        <v/>
      </c>
      <c r="AN56" s="115"/>
    </row>
    <row r="57" spans="2:40" x14ac:dyDescent="0.2">
      <c r="B57" s="116"/>
      <c r="C57" s="207"/>
      <c r="D57" s="53"/>
      <c r="E57" s="208"/>
      <c r="F57" s="53"/>
      <c r="G57" s="209"/>
      <c r="H57" s="53"/>
      <c r="I57" s="210"/>
      <c r="J57" s="53"/>
      <c r="K57" s="118" t="str">
        <f t="shared" si="2"/>
        <v/>
      </c>
      <c r="L57" s="53"/>
      <c r="M57" s="211"/>
      <c r="N57" s="53"/>
      <c r="O57" s="211"/>
      <c r="P57" s="53"/>
      <c r="Q57" s="211"/>
      <c r="R57" s="53"/>
      <c r="S57" s="211"/>
      <c r="T57" s="53"/>
      <c r="U57" s="117"/>
      <c r="V57" s="53"/>
      <c r="W57" s="119"/>
      <c r="X57" s="53"/>
      <c r="Y57" s="120"/>
      <c r="Z57" s="53"/>
      <c r="AA57" s="121" t="str">
        <f t="shared" si="0"/>
        <v/>
      </c>
      <c r="AB57" s="53"/>
      <c r="AC57" s="121" t="str">
        <f t="shared" si="1"/>
        <v/>
      </c>
      <c r="AD57" s="53"/>
      <c r="AE57" s="122" t="str">
        <f t="array" ref="AE57">IF(OR($C57="",$E57="",$G57="",$I57="",$M57="",$O57="",$Q57="",$S57="",$G57="Unrated"),"",IF($Q57="Y",0,MIN(1,SUM((IF($O57="Y",Cov_Range,Range)=$K57)*(IF($O57="Y",Cov_CQS,CQS)=$G57)*(IF($S57="Y",Gilt_Base,IF($O57="Y",Cov_Bond_Base,Bond_Base))))+IF($I57&lt;1,1,$I57-$K57)*SUM((IF($O57="Y",Cov_Range,Range)=$K57)*(IF($O57="Y",Cov_CQS,CQS)=$G57)*(IF($S57="Y",Gilt_Mult,IF($O57="Y",Cov_Bond_Mult,Bond_Mult)))))))</f>
        <v/>
      </c>
      <c r="AF57" s="53"/>
      <c r="AG57" s="122" t="str">
        <f t="array" ref="AG57">IF(OR($C57="",$E57="",$G57="",$I57="",$M57="",$O57="",$Q57="",$S57="",$G57&lt;&gt;"Unrated",$M57="Y"),"",MIN(1,IF(AND(U57&lt;E57,U57&gt;=E57*(1-(SUM((Range=$K57)*(Bond_Base_UR))+IF($I57&lt;1,1,$I57-$K57)*SUM((Range=$K57)*(Bond_Mult_UR))))),0.5*((SUM((Range=$K57)*(Bond_Base_UR))+IF($I57&lt;1,1,$I57-$K57)*SUM((Range=$K57)*(Bond_Mult_UR)))+((E57-U57)/E57)),IF(U57&gt;=E57,0.5,1)*(SUM((Range=$K57)*(Bond_Base_UR))+IF($I57&lt;1,1,$I57-$K57)*SUM((Range=$K57)*(Bond_Mult_UR))))))</f>
        <v/>
      </c>
      <c r="AH57" s="53"/>
      <c r="AI57" s="122" t="str">
        <f t="array" ref="AI57">IF(OR($C57="",$E57="",$G57="",$I57="",$M57="",$O57="",$Q57="",$S57="",$G57&lt;&gt;"Unrated",$M57&lt;&gt;"Y"),"",MIN(1,IF(OR($W57&lt;&gt;"Y",$AA57=$AC57),SUM((Range=$K57)*(CQS=IF($W57&lt;&gt;"Y",0,IF($AC57=196%,1,6)))*(IF($W57&lt;&gt;"Y",Bond_Base_MCR,Bond_Base)))+IF($I57&lt;1,1,$I57-$K57)*SUM((Range=$K57)*(CQS=IF($W57&lt;&gt;"Y",0,IF($AC57=196%,1,6)))*(IF($W57&lt;&gt;"Y",Bond_Mult_MCR,Bond_Mult))),((SUM((Range=$K57)*(CQS=HLOOKUP($AA57,Solv_Ratio_CQS_Map,2,0))*(Bond_Base))+IF($I57&lt;1,1,$I57-$K57)*SUM((Range=$K57)*(CQS=HLOOKUP($AA57,Solv_Ratio_CQS_Map,2,0))*(Bond_Mult)))*($AC57-$Y57)+(SUM((Range=$K57)*(CQS=HLOOKUP($AC57,Solv_Ratio_CQS_Map,2,0))*(Bond_Base))+IF($I57&lt;1,1,$I57-$K57)*SUM((Range=$K57)*(CQS=HLOOKUP($AC57,Solv_Ratio_CQS_Map,2,0))*(Bond_Mult)))*($Y57-$AA57))/($AC57-$AA57))))</f>
        <v/>
      </c>
      <c r="AJ57" s="53"/>
      <c r="AK57" s="121" t="str">
        <f t="shared" si="3"/>
        <v/>
      </c>
      <c r="AL57" s="53"/>
      <c r="AM57" s="123" t="str">
        <f t="shared" si="4"/>
        <v/>
      </c>
      <c r="AN57" s="115"/>
    </row>
    <row r="58" spans="2:40" x14ac:dyDescent="0.2">
      <c r="B58" s="116"/>
      <c r="C58" s="207"/>
      <c r="D58" s="53"/>
      <c r="E58" s="208"/>
      <c r="F58" s="53"/>
      <c r="G58" s="209"/>
      <c r="H58" s="53"/>
      <c r="I58" s="210"/>
      <c r="J58" s="53"/>
      <c r="K58" s="118" t="str">
        <f t="shared" si="2"/>
        <v/>
      </c>
      <c r="L58" s="53"/>
      <c r="M58" s="211"/>
      <c r="N58" s="53"/>
      <c r="O58" s="211"/>
      <c r="P58" s="53"/>
      <c r="Q58" s="211"/>
      <c r="R58" s="53"/>
      <c r="S58" s="211"/>
      <c r="T58" s="53"/>
      <c r="U58" s="117"/>
      <c r="V58" s="53"/>
      <c r="W58" s="119"/>
      <c r="X58" s="53"/>
      <c r="Y58" s="120"/>
      <c r="Z58" s="53"/>
      <c r="AA58" s="121" t="str">
        <f t="shared" si="0"/>
        <v/>
      </c>
      <c r="AB58" s="53"/>
      <c r="AC58" s="121" t="str">
        <f t="shared" si="1"/>
        <v/>
      </c>
      <c r="AD58" s="53"/>
      <c r="AE58" s="122" t="str">
        <f t="array" ref="AE58">IF(OR($C58="",$E58="",$G58="",$I58="",$M58="",$O58="",$Q58="",$S58="",$G58="Unrated"),"",IF($Q58="Y",0,MIN(1,SUM((IF($O58="Y",Cov_Range,Range)=$K58)*(IF($O58="Y",Cov_CQS,CQS)=$G58)*(IF($S58="Y",Gilt_Base,IF($O58="Y",Cov_Bond_Base,Bond_Base))))+IF($I58&lt;1,1,$I58-$K58)*SUM((IF($O58="Y",Cov_Range,Range)=$K58)*(IF($O58="Y",Cov_CQS,CQS)=$G58)*(IF($S58="Y",Gilt_Mult,IF($O58="Y",Cov_Bond_Mult,Bond_Mult)))))))</f>
        <v/>
      </c>
      <c r="AF58" s="53"/>
      <c r="AG58" s="122" t="str">
        <f t="array" ref="AG58">IF(OR($C58="",$E58="",$G58="",$I58="",$M58="",$O58="",$Q58="",$S58="",$G58&lt;&gt;"Unrated",$M58="Y"),"",MIN(1,IF(AND(U58&lt;E58,U58&gt;=E58*(1-(SUM((Range=$K58)*(Bond_Base_UR))+IF($I58&lt;1,1,$I58-$K58)*SUM((Range=$K58)*(Bond_Mult_UR))))),0.5*((SUM((Range=$K58)*(Bond_Base_UR))+IF($I58&lt;1,1,$I58-$K58)*SUM((Range=$K58)*(Bond_Mult_UR)))+((E58-U58)/E58)),IF(U58&gt;=E58,0.5,1)*(SUM((Range=$K58)*(Bond_Base_UR))+IF($I58&lt;1,1,$I58-$K58)*SUM((Range=$K58)*(Bond_Mult_UR))))))</f>
        <v/>
      </c>
      <c r="AH58" s="53"/>
      <c r="AI58" s="122" t="str">
        <f t="array" ref="AI58">IF(OR($C58="",$E58="",$G58="",$I58="",$M58="",$O58="",$Q58="",$S58="",$G58&lt;&gt;"Unrated",$M58&lt;&gt;"Y"),"",MIN(1,IF(OR($W58&lt;&gt;"Y",$AA58=$AC58),SUM((Range=$K58)*(CQS=IF($W58&lt;&gt;"Y",0,IF($AC58=196%,1,6)))*(IF($W58&lt;&gt;"Y",Bond_Base_MCR,Bond_Base)))+IF($I58&lt;1,1,$I58-$K58)*SUM((Range=$K58)*(CQS=IF($W58&lt;&gt;"Y",0,IF($AC58=196%,1,6)))*(IF($W58&lt;&gt;"Y",Bond_Mult_MCR,Bond_Mult))),((SUM((Range=$K58)*(CQS=HLOOKUP($AA58,Solv_Ratio_CQS_Map,2,0))*(Bond_Base))+IF($I58&lt;1,1,$I58-$K58)*SUM((Range=$K58)*(CQS=HLOOKUP($AA58,Solv_Ratio_CQS_Map,2,0))*(Bond_Mult)))*($AC58-$Y58)+(SUM((Range=$K58)*(CQS=HLOOKUP($AC58,Solv_Ratio_CQS_Map,2,0))*(Bond_Base))+IF($I58&lt;1,1,$I58-$K58)*SUM((Range=$K58)*(CQS=HLOOKUP($AC58,Solv_Ratio_CQS_Map,2,0))*(Bond_Mult)))*($Y58-$AA58))/($AC58-$AA58))))</f>
        <v/>
      </c>
      <c r="AJ58" s="53"/>
      <c r="AK58" s="121" t="str">
        <f t="shared" si="3"/>
        <v/>
      </c>
      <c r="AL58" s="53"/>
      <c r="AM58" s="123" t="str">
        <f t="shared" si="4"/>
        <v/>
      </c>
      <c r="AN58" s="115"/>
    </row>
    <row r="59" spans="2:40" x14ac:dyDescent="0.2">
      <c r="B59" s="116"/>
      <c r="C59" s="207"/>
      <c r="D59" s="53"/>
      <c r="E59" s="208"/>
      <c r="F59" s="53"/>
      <c r="G59" s="209"/>
      <c r="H59" s="53"/>
      <c r="I59" s="210"/>
      <c r="J59" s="53"/>
      <c r="K59" s="118" t="str">
        <f t="shared" si="2"/>
        <v/>
      </c>
      <c r="L59" s="53"/>
      <c r="M59" s="211"/>
      <c r="N59" s="53"/>
      <c r="O59" s="211"/>
      <c r="P59" s="53"/>
      <c r="Q59" s="211"/>
      <c r="R59" s="53"/>
      <c r="S59" s="211"/>
      <c r="T59" s="53"/>
      <c r="U59" s="117"/>
      <c r="V59" s="53"/>
      <c r="W59" s="119"/>
      <c r="X59" s="53"/>
      <c r="Y59" s="120"/>
      <c r="Z59" s="53"/>
      <c r="AA59" s="121" t="str">
        <f t="shared" si="0"/>
        <v/>
      </c>
      <c r="AB59" s="53"/>
      <c r="AC59" s="121" t="str">
        <f t="shared" si="1"/>
        <v/>
      </c>
      <c r="AD59" s="53"/>
      <c r="AE59" s="122" t="str">
        <f t="array" ref="AE59">IF(OR($C59="",$E59="",$G59="",$I59="",$M59="",$O59="",$Q59="",$S59="",$G59="Unrated"),"",IF($Q59="Y",0,MIN(1,SUM((IF($O59="Y",Cov_Range,Range)=$K59)*(IF($O59="Y",Cov_CQS,CQS)=$G59)*(IF($S59="Y",Gilt_Base,IF($O59="Y",Cov_Bond_Base,Bond_Base))))+IF($I59&lt;1,1,$I59-$K59)*SUM((IF($O59="Y",Cov_Range,Range)=$K59)*(IF($O59="Y",Cov_CQS,CQS)=$G59)*(IF($S59="Y",Gilt_Mult,IF($O59="Y",Cov_Bond_Mult,Bond_Mult)))))))</f>
        <v/>
      </c>
      <c r="AF59" s="53"/>
      <c r="AG59" s="122" t="str">
        <f t="array" ref="AG59">IF(OR($C59="",$E59="",$G59="",$I59="",$M59="",$O59="",$Q59="",$S59="",$G59&lt;&gt;"Unrated",$M59="Y"),"",MIN(1,IF(AND(U59&lt;E59,U59&gt;=E59*(1-(SUM((Range=$K59)*(Bond_Base_UR))+IF($I59&lt;1,1,$I59-$K59)*SUM((Range=$K59)*(Bond_Mult_UR))))),0.5*((SUM((Range=$K59)*(Bond_Base_UR))+IF($I59&lt;1,1,$I59-$K59)*SUM((Range=$K59)*(Bond_Mult_UR)))+((E59-U59)/E59)),IF(U59&gt;=E59,0.5,1)*(SUM((Range=$K59)*(Bond_Base_UR))+IF($I59&lt;1,1,$I59-$K59)*SUM((Range=$K59)*(Bond_Mult_UR))))))</f>
        <v/>
      </c>
      <c r="AH59" s="53"/>
      <c r="AI59" s="122" t="str">
        <f t="array" ref="AI59">IF(OR($C59="",$E59="",$G59="",$I59="",$M59="",$O59="",$Q59="",$S59="",$G59&lt;&gt;"Unrated",$M59&lt;&gt;"Y"),"",MIN(1,IF(OR($W59&lt;&gt;"Y",$AA59=$AC59),SUM((Range=$K59)*(CQS=IF($W59&lt;&gt;"Y",0,IF($AC59=196%,1,6)))*(IF($W59&lt;&gt;"Y",Bond_Base_MCR,Bond_Base)))+IF($I59&lt;1,1,$I59-$K59)*SUM((Range=$K59)*(CQS=IF($W59&lt;&gt;"Y",0,IF($AC59=196%,1,6)))*(IF($W59&lt;&gt;"Y",Bond_Mult_MCR,Bond_Mult))),((SUM((Range=$K59)*(CQS=HLOOKUP($AA59,Solv_Ratio_CQS_Map,2,0))*(Bond_Base))+IF($I59&lt;1,1,$I59-$K59)*SUM((Range=$K59)*(CQS=HLOOKUP($AA59,Solv_Ratio_CQS_Map,2,0))*(Bond_Mult)))*($AC59-$Y59)+(SUM((Range=$K59)*(CQS=HLOOKUP($AC59,Solv_Ratio_CQS_Map,2,0))*(Bond_Base))+IF($I59&lt;1,1,$I59-$K59)*SUM((Range=$K59)*(CQS=HLOOKUP($AC59,Solv_Ratio_CQS_Map,2,0))*(Bond_Mult)))*($Y59-$AA59))/($AC59-$AA59))))</f>
        <v/>
      </c>
      <c r="AJ59" s="53"/>
      <c r="AK59" s="121" t="str">
        <f t="shared" si="3"/>
        <v/>
      </c>
      <c r="AL59" s="53"/>
      <c r="AM59" s="123" t="str">
        <f t="shared" si="4"/>
        <v/>
      </c>
      <c r="AN59" s="115"/>
    </row>
    <row r="60" spans="2:40" x14ac:dyDescent="0.2">
      <c r="B60" s="116"/>
      <c r="C60" s="207"/>
      <c r="D60" s="53"/>
      <c r="E60" s="208"/>
      <c r="F60" s="53"/>
      <c r="G60" s="209"/>
      <c r="H60" s="53"/>
      <c r="I60" s="210"/>
      <c r="J60" s="53"/>
      <c r="K60" s="118" t="str">
        <f t="shared" si="2"/>
        <v/>
      </c>
      <c r="L60" s="53"/>
      <c r="M60" s="211"/>
      <c r="N60" s="53"/>
      <c r="O60" s="211"/>
      <c r="P60" s="53"/>
      <c r="Q60" s="211"/>
      <c r="R60" s="53"/>
      <c r="S60" s="211"/>
      <c r="T60" s="53"/>
      <c r="U60" s="117"/>
      <c r="V60" s="53"/>
      <c r="W60" s="119"/>
      <c r="X60" s="53"/>
      <c r="Y60" s="120"/>
      <c r="Z60" s="53"/>
      <c r="AA60" s="121" t="str">
        <f t="shared" si="0"/>
        <v/>
      </c>
      <c r="AB60" s="53"/>
      <c r="AC60" s="121" t="str">
        <f t="shared" si="1"/>
        <v/>
      </c>
      <c r="AD60" s="53"/>
      <c r="AE60" s="122" t="str">
        <f t="array" ref="AE60">IF(OR($C60="",$E60="",$G60="",$I60="",$M60="",$O60="",$Q60="",$S60="",$G60="Unrated"),"",IF($Q60="Y",0,MIN(1,SUM((IF($O60="Y",Cov_Range,Range)=$K60)*(IF($O60="Y",Cov_CQS,CQS)=$G60)*(IF($S60="Y",Gilt_Base,IF($O60="Y",Cov_Bond_Base,Bond_Base))))+IF($I60&lt;1,1,$I60-$K60)*SUM((IF($O60="Y",Cov_Range,Range)=$K60)*(IF($O60="Y",Cov_CQS,CQS)=$G60)*(IF($S60="Y",Gilt_Mult,IF($O60="Y",Cov_Bond_Mult,Bond_Mult)))))))</f>
        <v/>
      </c>
      <c r="AF60" s="53"/>
      <c r="AG60" s="122" t="str">
        <f t="array" ref="AG60">IF(OR($C60="",$E60="",$G60="",$I60="",$M60="",$O60="",$Q60="",$S60="",$G60&lt;&gt;"Unrated",$M60="Y"),"",MIN(1,IF(AND(U60&lt;E60,U60&gt;=E60*(1-(SUM((Range=$K60)*(Bond_Base_UR))+IF($I60&lt;1,1,$I60-$K60)*SUM((Range=$K60)*(Bond_Mult_UR))))),0.5*((SUM((Range=$K60)*(Bond_Base_UR))+IF($I60&lt;1,1,$I60-$K60)*SUM((Range=$K60)*(Bond_Mult_UR)))+((E60-U60)/E60)),IF(U60&gt;=E60,0.5,1)*(SUM((Range=$K60)*(Bond_Base_UR))+IF($I60&lt;1,1,$I60-$K60)*SUM((Range=$K60)*(Bond_Mult_UR))))))</f>
        <v/>
      </c>
      <c r="AH60" s="53"/>
      <c r="AI60" s="122" t="str">
        <f t="array" ref="AI60">IF(OR($C60="",$E60="",$G60="",$I60="",$M60="",$O60="",$Q60="",$S60="",$G60&lt;&gt;"Unrated",$M60&lt;&gt;"Y"),"",MIN(1,IF(OR($W60&lt;&gt;"Y",$AA60=$AC60),SUM((Range=$K60)*(CQS=IF($W60&lt;&gt;"Y",0,IF($AC60=196%,1,6)))*(IF($W60&lt;&gt;"Y",Bond_Base_MCR,Bond_Base)))+IF($I60&lt;1,1,$I60-$K60)*SUM((Range=$K60)*(CQS=IF($W60&lt;&gt;"Y",0,IF($AC60=196%,1,6)))*(IF($W60&lt;&gt;"Y",Bond_Mult_MCR,Bond_Mult))),((SUM((Range=$K60)*(CQS=HLOOKUP($AA60,Solv_Ratio_CQS_Map,2,0))*(Bond_Base))+IF($I60&lt;1,1,$I60-$K60)*SUM((Range=$K60)*(CQS=HLOOKUP($AA60,Solv_Ratio_CQS_Map,2,0))*(Bond_Mult)))*($AC60-$Y60)+(SUM((Range=$K60)*(CQS=HLOOKUP($AC60,Solv_Ratio_CQS_Map,2,0))*(Bond_Base))+IF($I60&lt;1,1,$I60-$K60)*SUM((Range=$K60)*(CQS=HLOOKUP($AC60,Solv_Ratio_CQS_Map,2,0))*(Bond_Mult)))*($Y60-$AA60))/($AC60-$AA60))))</f>
        <v/>
      </c>
      <c r="AJ60" s="53"/>
      <c r="AK60" s="121" t="str">
        <f t="shared" si="3"/>
        <v/>
      </c>
      <c r="AL60" s="53"/>
      <c r="AM60" s="123" t="str">
        <f t="shared" si="4"/>
        <v/>
      </c>
      <c r="AN60" s="115"/>
    </row>
    <row r="61" spans="2:40" x14ac:dyDescent="0.2">
      <c r="B61" s="116"/>
      <c r="C61" s="207"/>
      <c r="D61" s="53"/>
      <c r="E61" s="208"/>
      <c r="F61" s="53"/>
      <c r="G61" s="209"/>
      <c r="H61" s="53"/>
      <c r="I61" s="210"/>
      <c r="J61" s="53"/>
      <c r="K61" s="118" t="str">
        <f t="shared" si="2"/>
        <v/>
      </c>
      <c r="L61" s="53"/>
      <c r="M61" s="211"/>
      <c r="N61" s="53"/>
      <c r="O61" s="211"/>
      <c r="P61" s="53"/>
      <c r="Q61" s="211"/>
      <c r="R61" s="53"/>
      <c r="S61" s="211"/>
      <c r="T61" s="53"/>
      <c r="U61" s="117"/>
      <c r="V61" s="53"/>
      <c r="W61" s="119"/>
      <c r="X61" s="53"/>
      <c r="Y61" s="120"/>
      <c r="Z61" s="53"/>
      <c r="AA61" s="121" t="str">
        <f t="shared" si="0"/>
        <v/>
      </c>
      <c r="AB61" s="53"/>
      <c r="AC61" s="121" t="str">
        <f t="shared" si="1"/>
        <v/>
      </c>
      <c r="AD61" s="53"/>
      <c r="AE61" s="122" t="str">
        <f t="array" ref="AE61">IF(OR($C61="",$E61="",$G61="",$I61="",$M61="",$O61="",$Q61="",$S61="",$G61="Unrated"),"",IF($Q61="Y",0,MIN(1,SUM((IF($O61="Y",Cov_Range,Range)=$K61)*(IF($O61="Y",Cov_CQS,CQS)=$G61)*(IF($S61="Y",Gilt_Base,IF($O61="Y",Cov_Bond_Base,Bond_Base))))+IF($I61&lt;1,1,$I61-$K61)*SUM((IF($O61="Y",Cov_Range,Range)=$K61)*(IF($O61="Y",Cov_CQS,CQS)=$G61)*(IF($S61="Y",Gilt_Mult,IF($O61="Y",Cov_Bond_Mult,Bond_Mult)))))))</f>
        <v/>
      </c>
      <c r="AF61" s="53"/>
      <c r="AG61" s="122" t="str">
        <f t="array" ref="AG61">IF(OR($C61="",$E61="",$G61="",$I61="",$M61="",$O61="",$Q61="",$S61="",$G61&lt;&gt;"Unrated",$M61="Y"),"",MIN(1,IF(AND(U61&lt;E61,U61&gt;=E61*(1-(SUM((Range=$K61)*(Bond_Base_UR))+IF($I61&lt;1,1,$I61-$K61)*SUM((Range=$K61)*(Bond_Mult_UR))))),0.5*((SUM((Range=$K61)*(Bond_Base_UR))+IF($I61&lt;1,1,$I61-$K61)*SUM((Range=$K61)*(Bond_Mult_UR)))+((E61-U61)/E61)),IF(U61&gt;=E61,0.5,1)*(SUM((Range=$K61)*(Bond_Base_UR))+IF($I61&lt;1,1,$I61-$K61)*SUM((Range=$K61)*(Bond_Mult_UR))))))</f>
        <v/>
      </c>
      <c r="AH61" s="53"/>
      <c r="AI61" s="122" t="str">
        <f t="array" ref="AI61">IF(OR($C61="",$E61="",$G61="",$I61="",$M61="",$O61="",$Q61="",$S61="",$G61&lt;&gt;"Unrated",$M61&lt;&gt;"Y"),"",MIN(1,IF(OR($W61&lt;&gt;"Y",$AA61=$AC61),SUM((Range=$K61)*(CQS=IF($W61&lt;&gt;"Y",0,IF($AC61=196%,1,6)))*(IF($W61&lt;&gt;"Y",Bond_Base_MCR,Bond_Base)))+IF($I61&lt;1,1,$I61-$K61)*SUM((Range=$K61)*(CQS=IF($W61&lt;&gt;"Y",0,IF($AC61=196%,1,6)))*(IF($W61&lt;&gt;"Y",Bond_Mult_MCR,Bond_Mult))),((SUM((Range=$K61)*(CQS=HLOOKUP($AA61,Solv_Ratio_CQS_Map,2,0))*(Bond_Base))+IF($I61&lt;1,1,$I61-$K61)*SUM((Range=$K61)*(CQS=HLOOKUP($AA61,Solv_Ratio_CQS_Map,2,0))*(Bond_Mult)))*($AC61-$Y61)+(SUM((Range=$K61)*(CQS=HLOOKUP($AC61,Solv_Ratio_CQS_Map,2,0))*(Bond_Base))+IF($I61&lt;1,1,$I61-$K61)*SUM((Range=$K61)*(CQS=HLOOKUP($AC61,Solv_Ratio_CQS_Map,2,0))*(Bond_Mult)))*($Y61-$AA61))/($AC61-$AA61))))</f>
        <v/>
      </c>
      <c r="AJ61" s="53"/>
      <c r="AK61" s="121" t="str">
        <f t="shared" si="3"/>
        <v/>
      </c>
      <c r="AL61" s="53"/>
      <c r="AM61" s="123" t="str">
        <f t="shared" si="4"/>
        <v/>
      </c>
      <c r="AN61" s="115"/>
    </row>
    <row r="62" spans="2:40" x14ac:dyDescent="0.2">
      <c r="B62" s="116"/>
      <c r="C62" s="207"/>
      <c r="D62" s="53"/>
      <c r="E62" s="208"/>
      <c r="F62" s="53"/>
      <c r="G62" s="209"/>
      <c r="H62" s="53"/>
      <c r="I62" s="210"/>
      <c r="J62" s="53"/>
      <c r="K62" s="118" t="str">
        <f t="shared" si="2"/>
        <v/>
      </c>
      <c r="L62" s="53"/>
      <c r="M62" s="211"/>
      <c r="N62" s="53"/>
      <c r="O62" s="211"/>
      <c r="P62" s="53"/>
      <c r="Q62" s="211"/>
      <c r="R62" s="53"/>
      <c r="S62" s="211"/>
      <c r="T62" s="53"/>
      <c r="U62" s="117"/>
      <c r="V62" s="53"/>
      <c r="W62" s="119"/>
      <c r="X62" s="53"/>
      <c r="Y62" s="120"/>
      <c r="Z62" s="53"/>
      <c r="AA62" s="121" t="str">
        <f t="shared" si="0"/>
        <v/>
      </c>
      <c r="AB62" s="53"/>
      <c r="AC62" s="121" t="str">
        <f t="shared" si="1"/>
        <v/>
      </c>
      <c r="AD62" s="53"/>
      <c r="AE62" s="122" t="str">
        <f t="array" ref="AE62">IF(OR($C62="",$E62="",$G62="",$I62="",$M62="",$O62="",$Q62="",$S62="",$G62="Unrated"),"",IF($Q62="Y",0,MIN(1,SUM((IF($O62="Y",Cov_Range,Range)=$K62)*(IF($O62="Y",Cov_CQS,CQS)=$G62)*(IF($S62="Y",Gilt_Base,IF($O62="Y",Cov_Bond_Base,Bond_Base))))+IF($I62&lt;1,1,$I62-$K62)*SUM((IF($O62="Y",Cov_Range,Range)=$K62)*(IF($O62="Y",Cov_CQS,CQS)=$G62)*(IF($S62="Y",Gilt_Mult,IF($O62="Y",Cov_Bond_Mult,Bond_Mult)))))))</f>
        <v/>
      </c>
      <c r="AF62" s="53"/>
      <c r="AG62" s="122" t="str">
        <f t="array" ref="AG62">IF(OR($C62="",$E62="",$G62="",$I62="",$M62="",$O62="",$Q62="",$S62="",$G62&lt;&gt;"Unrated",$M62="Y"),"",MIN(1,IF(AND(U62&lt;E62,U62&gt;=E62*(1-(SUM((Range=$K62)*(Bond_Base_UR))+IF($I62&lt;1,1,$I62-$K62)*SUM((Range=$K62)*(Bond_Mult_UR))))),0.5*((SUM((Range=$K62)*(Bond_Base_UR))+IF($I62&lt;1,1,$I62-$K62)*SUM((Range=$K62)*(Bond_Mult_UR)))+((E62-U62)/E62)),IF(U62&gt;=E62,0.5,1)*(SUM((Range=$K62)*(Bond_Base_UR))+IF($I62&lt;1,1,$I62-$K62)*SUM((Range=$K62)*(Bond_Mult_UR))))))</f>
        <v/>
      </c>
      <c r="AH62" s="53"/>
      <c r="AI62" s="122" t="str">
        <f t="array" ref="AI62">IF(OR($C62="",$E62="",$G62="",$I62="",$M62="",$O62="",$Q62="",$S62="",$G62&lt;&gt;"Unrated",$M62&lt;&gt;"Y"),"",MIN(1,IF(OR($W62&lt;&gt;"Y",$AA62=$AC62),SUM((Range=$K62)*(CQS=IF($W62&lt;&gt;"Y",0,IF($AC62=196%,1,6)))*(IF($W62&lt;&gt;"Y",Bond_Base_MCR,Bond_Base)))+IF($I62&lt;1,1,$I62-$K62)*SUM((Range=$K62)*(CQS=IF($W62&lt;&gt;"Y",0,IF($AC62=196%,1,6)))*(IF($W62&lt;&gt;"Y",Bond_Mult_MCR,Bond_Mult))),((SUM((Range=$K62)*(CQS=HLOOKUP($AA62,Solv_Ratio_CQS_Map,2,0))*(Bond_Base))+IF($I62&lt;1,1,$I62-$K62)*SUM((Range=$K62)*(CQS=HLOOKUP($AA62,Solv_Ratio_CQS_Map,2,0))*(Bond_Mult)))*($AC62-$Y62)+(SUM((Range=$K62)*(CQS=HLOOKUP($AC62,Solv_Ratio_CQS_Map,2,0))*(Bond_Base))+IF($I62&lt;1,1,$I62-$K62)*SUM((Range=$K62)*(CQS=HLOOKUP($AC62,Solv_Ratio_CQS_Map,2,0))*(Bond_Mult)))*($Y62-$AA62))/($AC62-$AA62))))</f>
        <v/>
      </c>
      <c r="AJ62" s="53"/>
      <c r="AK62" s="121" t="str">
        <f t="shared" si="3"/>
        <v/>
      </c>
      <c r="AL62" s="53"/>
      <c r="AM62" s="123" t="str">
        <f t="shared" si="4"/>
        <v/>
      </c>
      <c r="AN62" s="115"/>
    </row>
    <row r="63" spans="2:40" x14ac:dyDescent="0.2">
      <c r="B63" s="116"/>
      <c r="C63" s="207"/>
      <c r="D63" s="53"/>
      <c r="E63" s="208"/>
      <c r="F63" s="53"/>
      <c r="G63" s="209"/>
      <c r="H63" s="53"/>
      <c r="I63" s="210"/>
      <c r="J63" s="53"/>
      <c r="K63" s="118" t="str">
        <f t="shared" si="2"/>
        <v/>
      </c>
      <c r="L63" s="53"/>
      <c r="M63" s="211"/>
      <c r="N63" s="53"/>
      <c r="O63" s="211"/>
      <c r="P63" s="53"/>
      <c r="Q63" s="211"/>
      <c r="R63" s="53"/>
      <c r="S63" s="211"/>
      <c r="T63" s="53"/>
      <c r="U63" s="117"/>
      <c r="V63" s="53"/>
      <c r="W63" s="119"/>
      <c r="X63" s="53"/>
      <c r="Y63" s="120"/>
      <c r="Z63" s="53"/>
      <c r="AA63" s="121" t="str">
        <f t="shared" si="0"/>
        <v/>
      </c>
      <c r="AB63" s="53"/>
      <c r="AC63" s="121" t="str">
        <f t="shared" si="1"/>
        <v/>
      </c>
      <c r="AD63" s="53"/>
      <c r="AE63" s="122" t="str">
        <f t="array" ref="AE63">IF(OR($C63="",$E63="",$G63="",$I63="",$M63="",$O63="",$Q63="",$S63="",$G63="Unrated"),"",IF($Q63="Y",0,MIN(1,SUM((IF($O63="Y",Cov_Range,Range)=$K63)*(IF($O63="Y",Cov_CQS,CQS)=$G63)*(IF($S63="Y",Gilt_Base,IF($O63="Y",Cov_Bond_Base,Bond_Base))))+IF($I63&lt;1,1,$I63-$K63)*SUM((IF($O63="Y",Cov_Range,Range)=$K63)*(IF($O63="Y",Cov_CQS,CQS)=$G63)*(IF($S63="Y",Gilt_Mult,IF($O63="Y",Cov_Bond_Mult,Bond_Mult)))))))</f>
        <v/>
      </c>
      <c r="AF63" s="53"/>
      <c r="AG63" s="122" t="str">
        <f t="array" ref="AG63">IF(OR($C63="",$E63="",$G63="",$I63="",$M63="",$O63="",$Q63="",$S63="",$G63&lt;&gt;"Unrated",$M63="Y"),"",MIN(1,IF(AND(U63&lt;E63,U63&gt;=E63*(1-(SUM((Range=$K63)*(Bond_Base_UR))+IF($I63&lt;1,1,$I63-$K63)*SUM((Range=$K63)*(Bond_Mult_UR))))),0.5*((SUM((Range=$K63)*(Bond_Base_UR))+IF($I63&lt;1,1,$I63-$K63)*SUM((Range=$K63)*(Bond_Mult_UR)))+((E63-U63)/E63)),IF(U63&gt;=E63,0.5,1)*(SUM((Range=$K63)*(Bond_Base_UR))+IF($I63&lt;1,1,$I63-$K63)*SUM((Range=$K63)*(Bond_Mult_UR))))))</f>
        <v/>
      </c>
      <c r="AH63" s="53"/>
      <c r="AI63" s="122" t="str">
        <f t="array" ref="AI63">IF(OR($C63="",$E63="",$G63="",$I63="",$M63="",$O63="",$Q63="",$S63="",$G63&lt;&gt;"Unrated",$M63&lt;&gt;"Y"),"",MIN(1,IF(OR($W63&lt;&gt;"Y",$AA63=$AC63),SUM((Range=$K63)*(CQS=IF($W63&lt;&gt;"Y",0,IF($AC63=196%,1,6)))*(IF($W63&lt;&gt;"Y",Bond_Base_MCR,Bond_Base)))+IF($I63&lt;1,1,$I63-$K63)*SUM((Range=$K63)*(CQS=IF($W63&lt;&gt;"Y",0,IF($AC63=196%,1,6)))*(IF($W63&lt;&gt;"Y",Bond_Mult_MCR,Bond_Mult))),((SUM((Range=$K63)*(CQS=HLOOKUP($AA63,Solv_Ratio_CQS_Map,2,0))*(Bond_Base))+IF($I63&lt;1,1,$I63-$K63)*SUM((Range=$K63)*(CQS=HLOOKUP($AA63,Solv_Ratio_CQS_Map,2,0))*(Bond_Mult)))*($AC63-$Y63)+(SUM((Range=$K63)*(CQS=HLOOKUP($AC63,Solv_Ratio_CQS_Map,2,0))*(Bond_Base))+IF($I63&lt;1,1,$I63-$K63)*SUM((Range=$K63)*(CQS=HLOOKUP($AC63,Solv_Ratio_CQS_Map,2,0))*(Bond_Mult)))*($Y63-$AA63))/($AC63-$AA63))))</f>
        <v/>
      </c>
      <c r="AJ63" s="53"/>
      <c r="AK63" s="121" t="str">
        <f t="shared" si="3"/>
        <v/>
      </c>
      <c r="AL63" s="53"/>
      <c r="AM63" s="123" t="str">
        <f t="shared" si="4"/>
        <v/>
      </c>
      <c r="AN63" s="115"/>
    </row>
    <row r="64" spans="2:40" x14ac:dyDescent="0.2">
      <c r="B64" s="116"/>
      <c r="C64" s="207"/>
      <c r="D64" s="53"/>
      <c r="E64" s="208"/>
      <c r="F64" s="53"/>
      <c r="G64" s="209"/>
      <c r="H64" s="53"/>
      <c r="I64" s="210"/>
      <c r="J64" s="53"/>
      <c r="K64" s="118" t="str">
        <f t="shared" si="2"/>
        <v/>
      </c>
      <c r="L64" s="53"/>
      <c r="M64" s="211"/>
      <c r="N64" s="53"/>
      <c r="O64" s="211"/>
      <c r="P64" s="53"/>
      <c r="Q64" s="211"/>
      <c r="R64" s="53"/>
      <c r="S64" s="211"/>
      <c r="T64" s="53"/>
      <c r="U64" s="117"/>
      <c r="V64" s="53"/>
      <c r="W64" s="119"/>
      <c r="X64" s="53"/>
      <c r="Y64" s="120"/>
      <c r="Z64" s="53"/>
      <c r="AA64" s="121" t="str">
        <f t="shared" si="0"/>
        <v/>
      </c>
      <c r="AB64" s="53"/>
      <c r="AC64" s="121" t="str">
        <f t="shared" si="1"/>
        <v/>
      </c>
      <c r="AD64" s="53"/>
      <c r="AE64" s="122" t="str">
        <f t="array" ref="AE64">IF(OR($C64="",$E64="",$G64="",$I64="",$M64="",$O64="",$Q64="",$S64="",$G64="Unrated"),"",IF($Q64="Y",0,MIN(1,SUM((IF($O64="Y",Cov_Range,Range)=$K64)*(IF($O64="Y",Cov_CQS,CQS)=$G64)*(IF($S64="Y",Gilt_Base,IF($O64="Y",Cov_Bond_Base,Bond_Base))))+IF($I64&lt;1,1,$I64-$K64)*SUM((IF($O64="Y",Cov_Range,Range)=$K64)*(IF($O64="Y",Cov_CQS,CQS)=$G64)*(IF($S64="Y",Gilt_Mult,IF($O64="Y",Cov_Bond_Mult,Bond_Mult)))))))</f>
        <v/>
      </c>
      <c r="AF64" s="53"/>
      <c r="AG64" s="122" t="str">
        <f t="array" ref="AG64">IF(OR($C64="",$E64="",$G64="",$I64="",$M64="",$O64="",$Q64="",$S64="",$G64&lt;&gt;"Unrated",$M64="Y"),"",MIN(1,IF(AND(U64&lt;E64,U64&gt;=E64*(1-(SUM((Range=$K64)*(Bond_Base_UR))+IF($I64&lt;1,1,$I64-$K64)*SUM((Range=$K64)*(Bond_Mult_UR))))),0.5*((SUM((Range=$K64)*(Bond_Base_UR))+IF($I64&lt;1,1,$I64-$K64)*SUM((Range=$K64)*(Bond_Mult_UR)))+((E64-U64)/E64)),IF(U64&gt;=E64,0.5,1)*(SUM((Range=$K64)*(Bond_Base_UR))+IF($I64&lt;1,1,$I64-$K64)*SUM((Range=$K64)*(Bond_Mult_UR))))))</f>
        <v/>
      </c>
      <c r="AH64" s="53"/>
      <c r="AI64" s="122" t="str">
        <f t="array" ref="AI64">IF(OR($C64="",$E64="",$G64="",$I64="",$M64="",$O64="",$Q64="",$S64="",$G64&lt;&gt;"Unrated",$M64&lt;&gt;"Y"),"",MIN(1,IF(OR($W64&lt;&gt;"Y",$AA64=$AC64),SUM((Range=$K64)*(CQS=IF($W64&lt;&gt;"Y",0,IF($AC64=196%,1,6)))*(IF($W64&lt;&gt;"Y",Bond_Base_MCR,Bond_Base)))+IF($I64&lt;1,1,$I64-$K64)*SUM((Range=$K64)*(CQS=IF($W64&lt;&gt;"Y",0,IF($AC64=196%,1,6)))*(IF($W64&lt;&gt;"Y",Bond_Mult_MCR,Bond_Mult))),((SUM((Range=$K64)*(CQS=HLOOKUP($AA64,Solv_Ratio_CQS_Map,2,0))*(Bond_Base))+IF($I64&lt;1,1,$I64-$K64)*SUM((Range=$K64)*(CQS=HLOOKUP($AA64,Solv_Ratio_CQS_Map,2,0))*(Bond_Mult)))*($AC64-$Y64)+(SUM((Range=$K64)*(CQS=HLOOKUP($AC64,Solv_Ratio_CQS_Map,2,0))*(Bond_Base))+IF($I64&lt;1,1,$I64-$K64)*SUM((Range=$K64)*(CQS=HLOOKUP($AC64,Solv_Ratio_CQS_Map,2,0))*(Bond_Mult)))*($Y64-$AA64))/($AC64-$AA64))))</f>
        <v/>
      </c>
      <c r="AJ64" s="53"/>
      <c r="AK64" s="121" t="str">
        <f t="shared" si="3"/>
        <v/>
      </c>
      <c r="AL64" s="53"/>
      <c r="AM64" s="123" t="str">
        <f t="shared" si="4"/>
        <v/>
      </c>
      <c r="AN64" s="115"/>
    </row>
    <row r="65" spans="2:40" x14ac:dyDescent="0.2">
      <c r="B65" s="116"/>
      <c r="C65" s="207"/>
      <c r="D65" s="53"/>
      <c r="E65" s="208"/>
      <c r="F65" s="53"/>
      <c r="G65" s="209"/>
      <c r="H65" s="53"/>
      <c r="I65" s="210"/>
      <c r="J65" s="53"/>
      <c r="K65" s="118" t="str">
        <f t="shared" si="2"/>
        <v/>
      </c>
      <c r="L65" s="53"/>
      <c r="M65" s="211"/>
      <c r="N65" s="53"/>
      <c r="O65" s="211"/>
      <c r="P65" s="53"/>
      <c r="Q65" s="211"/>
      <c r="R65" s="53"/>
      <c r="S65" s="211"/>
      <c r="T65" s="53"/>
      <c r="U65" s="117"/>
      <c r="V65" s="53"/>
      <c r="W65" s="119"/>
      <c r="X65" s="53"/>
      <c r="Y65" s="120"/>
      <c r="Z65" s="53"/>
      <c r="AA65" s="121" t="str">
        <f t="shared" si="0"/>
        <v/>
      </c>
      <c r="AB65" s="53"/>
      <c r="AC65" s="121" t="str">
        <f t="shared" si="1"/>
        <v/>
      </c>
      <c r="AD65" s="53"/>
      <c r="AE65" s="122" t="str">
        <f t="array" ref="AE65">IF(OR($C65="",$E65="",$G65="",$I65="",$M65="",$O65="",$Q65="",$S65="",$G65="Unrated"),"",IF($Q65="Y",0,MIN(1,SUM((IF($O65="Y",Cov_Range,Range)=$K65)*(IF($O65="Y",Cov_CQS,CQS)=$G65)*(IF($S65="Y",Gilt_Base,IF($O65="Y",Cov_Bond_Base,Bond_Base))))+IF($I65&lt;1,1,$I65-$K65)*SUM((IF($O65="Y",Cov_Range,Range)=$K65)*(IF($O65="Y",Cov_CQS,CQS)=$G65)*(IF($S65="Y",Gilt_Mult,IF($O65="Y",Cov_Bond_Mult,Bond_Mult)))))))</f>
        <v/>
      </c>
      <c r="AF65" s="53"/>
      <c r="AG65" s="122" t="str">
        <f t="array" ref="AG65">IF(OR($C65="",$E65="",$G65="",$I65="",$M65="",$O65="",$Q65="",$S65="",$G65&lt;&gt;"Unrated",$M65="Y"),"",MIN(1,IF(AND(U65&lt;E65,U65&gt;=E65*(1-(SUM((Range=$K65)*(Bond_Base_UR))+IF($I65&lt;1,1,$I65-$K65)*SUM((Range=$K65)*(Bond_Mult_UR))))),0.5*((SUM((Range=$K65)*(Bond_Base_UR))+IF($I65&lt;1,1,$I65-$K65)*SUM((Range=$K65)*(Bond_Mult_UR)))+((E65-U65)/E65)),IF(U65&gt;=E65,0.5,1)*(SUM((Range=$K65)*(Bond_Base_UR))+IF($I65&lt;1,1,$I65-$K65)*SUM((Range=$K65)*(Bond_Mult_UR))))))</f>
        <v/>
      </c>
      <c r="AH65" s="53"/>
      <c r="AI65" s="122" t="str">
        <f t="array" ref="AI65">IF(OR($C65="",$E65="",$G65="",$I65="",$M65="",$O65="",$Q65="",$S65="",$G65&lt;&gt;"Unrated",$M65&lt;&gt;"Y"),"",MIN(1,IF(OR($W65&lt;&gt;"Y",$AA65=$AC65),SUM((Range=$K65)*(CQS=IF($W65&lt;&gt;"Y",0,IF($AC65=196%,1,6)))*(IF($W65&lt;&gt;"Y",Bond_Base_MCR,Bond_Base)))+IF($I65&lt;1,1,$I65-$K65)*SUM((Range=$K65)*(CQS=IF($W65&lt;&gt;"Y",0,IF($AC65=196%,1,6)))*(IF($W65&lt;&gt;"Y",Bond_Mult_MCR,Bond_Mult))),((SUM((Range=$K65)*(CQS=HLOOKUP($AA65,Solv_Ratio_CQS_Map,2,0))*(Bond_Base))+IF($I65&lt;1,1,$I65-$K65)*SUM((Range=$K65)*(CQS=HLOOKUP($AA65,Solv_Ratio_CQS_Map,2,0))*(Bond_Mult)))*($AC65-$Y65)+(SUM((Range=$K65)*(CQS=HLOOKUP($AC65,Solv_Ratio_CQS_Map,2,0))*(Bond_Base))+IF($I65&lt;1,1,$I65-$K65)*SUM((Range=$K65)*(CQS=HLOOKUP($AC65,Solv_Ratio_CQS_Map,2,0))*(Bond_Mult)))*($Y65-$AA65))/($AC65-$AA65))))</f>
        <v/>
      </c>
      <c r="AJ65" s="53"/>
      <c r="AK65" s="121" t="str">
        <f t="shared" si="3"/>
        <v/>
      </c>
      <c r="AL65" s="53"/>
      <c r="AM65" s="123" t="str">
        <f t="shared" si="4"/>
        <v/>
      </c>
      <c r="AN65" s="115"/>
    </row>
    <row r="66" spans="2:40" x14ac:dyDescent="0.2">
      <c r="B66" s="116"/>
      <c r="C66" s="207"/>
      <c r="D66" s="53"/>
      <c r="E66" s="208"/>
      <c r="F66" s="53"/>
      <c r="G66" s="209"/>
      <c r="H66" s="53"/>
      <c r="I66" s="210"/>
      <c r="J66" s="53"/>
      <c r="K66" s="118" t="str">
        <f t="shared" si="2"/>
        <v/>
      </c>
      <c r="L66" s="53"/>
      <c r="M66" s="211"/>
      <c r="N66" s="53"/>
      <c r="O66" s="211"/>
      <c r="P66" s="53"/>
      <c r="Q66" s="211"/>
      <c r="R66" s="53"/>
      <c r="S66" s="211"/>
      <c r="T66" s="53"/>
      <c r="U66" s="117"/>
      <c r="V66" s="53"/>
      <c r="W66" s="119"/>
      <c r="X66" s="53"/>
      <c r="Y66" s="120"/>
      <c r="Z66" s="53"/>
      <c r="AA66" s="121" t="str">
        <f t="shared" si="0"/>
        <v/>
      </c>
      <c r="AB66" s="53"/>
      <c r="AC66" s="121" t="str">
        <f t="shared" si="1"/>
        <v/>
      </c>
      <c r="AD66" s="53"/>
      <c r="AE66" s="122" t="str">
        <f t="array" ref="AE66">IF(OR($C66="",$E66="",$G66="",$I66="",$M66="",$O66="",$Q66="",$S66="",$G66="Unrated"),"",IF($Q66="Y",0,MIN(1,SUM((IF($O66="Y",Cov_Range,Range)=$K66)*(IF($O66="Y",Cov_CQS,CQS)=$G66)*(IF($S66="Y",Gilt_Base,IF($O66="Y",Cov_Bond_Base,Bond_Base))))+IF($I66&lt;1,1,$I66-$K66)*SUM((IF($O66="Y",Cov_Range,Range)=$K66)*(IF($O66="Y",Cov_CQS,CQS)=$G66)*(IF($S66="Y",Gilt_Mult,IF($O66="Y",Cov_Bond_Mult,Bond_Mult)))))))</f>
        <v/>
      </c>
      <c r="AF66" s="53"/>
      <c r="AG66" s="122" t="str">
        <f t="array" ref="AG66">IF(OR($C66="",$E66="",$G66="",$I66="",$M66="",$O66="",$Q66="",$S66="",$G66&lt;&gt;"Unrated",$M66="Y"),"",MIN(1,IF(AND(U66&lt;E66,U66&gt;=E66*(1-(SUM((Range=$K66)*(Bond_Base_UR))+IF($I66&lt;1,1,$I66-$K66)*SUM((Range=$K66)*(Bond_Mult_UR))))),0.5*((SUM((Range=$K66)*(Bond_Base_UR))+IF($I66&lt;1,1,$I66-$K66)*SUM((Range=$K66)*(Bond_Mult_UR)))+((E66-U66)/E66)),IF(U66&gt;=E66,0.5,1)*(SUM((Range=$K66)*(Bond_Base_UR))+IF($I66&lt;1,1,$I66-$K66)*SUM((Range=$K66)*(Bond_Mult_UR))))))</f>
        <v/>
      </c>
      <c r="AH66" s="53"/>
      <c r="AI66" s="122" t="str">
        <f t="array" ref="AI66">IF(OR($C66="",$E66="",$G66="",$I66="",$M66="",$O66="",$Q66="",$S66="",$G66&lt;&gt;"Unrated",$M66&lt;&gt;"Y"),"",MIN(1,IF(OR($W66&lt;&gt;"Y",$AA66=$AC66),SUM((Range=$K66)*(CQS=IF($W66&lt;&gt;"Y",0,IF($AC66=196%,1,6)))*(IF($W66&lt;&gt;"Y",Bond_Base_MCR,Bond_Base)))+IF($I66&lt;1,1,$I66-$K66)*SUM((Range=$K66)*(CQS=IF($W66&lt;&gt;"Y",0,IF($AC66=196%,1,6)))*(IF($W66&lt;&gt;"Y",Bond_Mult_MCR,Bond_Mult))),((SUM((Range=$K66)*(CQS=HLOOKUP($AA66,Solv_Ratio_CQS_Map,2,0))*(Bond_Base))+IF($I66&lt;1,1,$I66-$K66)*SUM((Range=$K66)*(CQS=HLOOKUP($AA66,Solv_Ratio_CQS_Map,2,0))*(Bond_Mult)))*($AC66-$Y66)+(SUM((Range=$K66)*(CQS=HLOOKUP($AC66,Solv_Ratio_CQS_Map,2,0))*(Bond_Base))+IF($I66&lt;1,1,$I66-$K66)*SUM((Range=$K66)*(CQS=HLOOKUP($AC66,Solv_Ratio_CQS_Map,2,0))*(Bond_Mult)))*($Y66-$AA66))/($AC66-$AA66))))</f>
        <v/>
      </c>
      <c r="AJ66" s="53"/>
      <c r="AK66" s="121" t="str">
        <f t="shared" si="3"/>
        <v/>
      </c>
      <c r="AL66" s="53"/>
      <c r="AM66" s="123" t="str">
        <f t="shared" si="4"/>
        <v/>
      </c>
      <c r="AN66" s="115"/>
    </row>
    <row r="67" spans="2:40" x14ac:dyDescent="0.2">
      <c r="B67" s="116"/>
      <c r="C67" s="207"/>
      <c r="D67" s="53"/>
      <c r="E67" s="208"/>
      <c r="F67" s="53"/>
      <c r="G67" s="209"/>
      <c r="H67" s="53"/>
      <c r="I67" s="210"/>
      <c r="J67" s="53"/>
      <c r="K67" s="118" t="str">
        <f t="shared" si="2"/>
        <v/>
      </c>
      <c r="L67" s="53"/>
      <c r="M67" s="211"/>
      <c r="N67" s="53"/>
      <c r="O67" s="211"/>
      <c r="P67" s="53"/>
      <c r="Q67" s="211"/>
      <c r="R67" s="53"/>
      <c r="S67" s="211"/>
      <c r="T67" s="53"/>
      <c r="U67" s="117"/>
      <c r="V67" s="53"/>
      <c r="W67" s="119"/>
      <c r="X67" s="53"/>
      <c r="Y67" s="120"/>
      <c r="Z67" s="53"/>
      <c r="AA67" s="121" t="str">
        <f t="shared" si="0"/>
        <v/>
      </c>
      <c r="AB67" s="53"/>
      <c r="AC67" s="121" t="str">
        <f t="shared" si="1"/>
        <v/>
      </c>
      <c r="AD67" s="53"/>
      <c r="AE67" s="122" t="str">
        <f t="array" ref="AE67">IF(OR($C67="",$E67="",$G67="",$I67="",$M67="",$O67="",$Q67="",$S67="",$G67="Unrated"),"",IF($Q67="Y",0,MIN(1,SUM((IF($O67="Y",Cov_Range,Range)=$K67)*(IF($O67="Y",Cov_CQS,CQS)=$G67)*(IF($S67="Y",Gilt_Base,IF($O67="Y",Cov_Bond_Base,Bond_Base))))+IF($I67&lt;1,1,$I67-$K67)*SUM((IF($O67="Y",Cov_Range,Range)=$K67)*(IF($O67="Y",Cov_CQS,CQS)=$G67)*(IF($S67="Y",Gilt_Mult,IF($O67="Y",Cov_Bond_Mult,Bond_Mult)))))))</f>
        <v/>
      </c>
      <c r="AF67" s="53"/>
      <c r="AG67" s="122" t="str">
        <f t="array" ref="AG67">IF(OR($C67="",$E67="",$G67="",$I67="",$M67="",$O67="",$Q67="",$S67="",$G67&lt;&gt;"Unrated",$M67="Y"),"",MIN(1,IF(AND(U67&lt;E67,U67&gt;=E67*(1-(SUM((Range=$K67)*(Bond_Base_UR))+IF($I67&lt;1,1,$I67-$K67)*SUM((Range=$K67)*(Bond_Mult_UR))))),0.5*((SUM((Range=$K67)*(Bond_Base_UR))+IF($I67&lt;1,1,$I67-$K67)*SUM((Range=$K67)*(Bond_Mult_UR)))+((E67-U67)/E67)),IF(U67&gt;=E67,0.5,1)*(SUM((Range=$K67)*(Bond_Base_UR))+IF($I67&lt;1,1,$I67-$K67)*SUM((Range=$K67)*(Bond_Mult_UR))))))</f>
        <v/>
      </c>
      <c r="AH67" s="53"/>
      <c r="AI67" s="122" t="str">
        <f t="array" ref="AI67">IF(OR($C67="",$E67="",$G67="",$I67="",$M67="",$O67="",$Q67="",$S67="",$G67&lt;&gt;"Unrated",$M67&lt;&gt;"Y"),"",MIN(1,IF(OR($W67&lt;&gt;"Y",$AA67=$AC67),SUM((Range=$K67)*(CQS=IF($W67&lt;&gt;"Y",0,IF($AC67=196%,1,6)))*(IF($W67&lt;&gt;"Y",Bond_Base_MCR,Bond_Base)))+IF($I67&lt;1,1,$I67-$K67)*SUM((Range=$K67)*(CQS=IF($W67&lt;&gt;"Y",0,IF($AC67=196%,1,6)))*(IF($W67&lt;&gt;"Y",Bond_Mult_MCR,Bond_Mult))),((SUM((Range=$K67)*(CQS=HLOOKUP($AA67,Solv_Ratio_CQS_Map,2,0))*(Bond_Base))+IF($I67&lt;1,1,$I67-$K67)*SUM((Range=$K67)*(CQS=HLOOKUP($AA67,Solv_Ratio_CQS_Map,2,0))*(Bond_Mult)))*($AC67-$Y67)+(SUM((Range=$K67)*(CQS=HLOOKUP($AC67,Solv_Ratio_CQS_Map,2,0))*(Bond_Base))+IF($I67&lt;1,1,$I67-$K67)*SUM((Range=$K67)*(CQS=HLOOKUP($AC67,Solv_Ratio_CQS_Map,2,0))*(Bond_Mult)))*($Y67-$AA67))/($AC67-$AA67))))</f>
        <v/>
      </c>
      <c r="AJ67" s="53"/>
      <c r="AK67" s="121" t="str">
        <f t="shared" si="3"/>
        <v/>
      </c>
      <c r="AL67" s="53"/>
      <c r="AM67" s="123" t="str">
        <f t="shared" si="4"/>
        <v/>
      </c>
      <c r="AN67" s="115"/>
    </row>
    <row r="68" spans="2:40" x14ac:dyDescent="0.2">
      <c r="B68" s="116"/>
      <c r="C68" s="207"/>
      <c r="D68" s="53"/>
      <c r="E68" s="208"/>
      <c r="F68" s="53"/>
      <c r="G68" s="209"/>
      <c r="H68" s="53"/>
      <c r="I68" s="210"/>
      <c r="J68" s="53"/>
      <c r="K68" s="118" t="str">
        <f t="shared" si="2"/>
        <v/>
      </c>
      <c r="L68" s="53"/>
      <c r="M68" s="211"/>
      <c r="N68" s="53"/>
      <c r="O68" s="211"/>
      <c r="P68" s="53"/>
      <c r="Q68" s="211"/>
      <c r="R68" s="53"/>
      <c r="S68" s="211"/>
      <c r="T68" s="53"/>
      <c r="U68" s="117"/>
      <c r="V68" s="53"/>
      <c r="W68" s="119"/>
      <c r="X68" s="53"/>
      <c r="Y68" s="120"/>
      <c r="Z68" s="53"/>
      <c r="AA68" s="121" t="str">
        <f t="shared" si="0"/>
        <v/>
      </c>
      <c r="AB68" s="53"/>
      <c r="AC68" s="121" t="str">
        <f t="shared" si="1"/>
        <v/>
      </c>
      <c r="AD68" s="53"/>
      <c r="AE68" s="122" t="str">
        <f t="array" ref="AE68">IF(OR($C68="",$E68="",$G68="",$I68="",$M68="",$O68="",$Q68="",$S68="",$G68="Unrated"),"",IF($Q68="Y",0,MIN(1,SUM((IF($O68="Y",Cov_Range,Range)=$K68)*(IF($O68="Y",Cov_CQS,CQS)=$G68)*(IF($S68="Y",Gilt_Base,IF($O68="Y",Cov_Bond_Base,Bond_Base))))+IF($I68&lt;1,1,$I68-$K68)*SUM((IF($O68="Y",Cov_Range,Range)=$K68)*(IF($O68="Y",Cov_CQS,CQS)=$G68)*(IF($S68="Y",Gilt_Mult,IF($O68="Y",Cov_Bond_Mult,Bond_Mult)))))))</f>
        <v/>
      </c>
      <c r="AF68" s="53"/>
      <c r="AG68" s="122" t="str">
        <f t="array" ref="AG68">IF(OR($C68="",$E68="",$G68="",$I68="",$M68="",$O68="",$Q68="",$S68="",$G68&lt;&gt;"Unrated",$M68="Y"),"",MIN(1,IF(AND(U68&lt;E68,U68&gt;=E68*(1-(SUM((Range=$K68)*(Bond_Base_UR))+IF($I68&lt;1,1,$I68-$K68)*SUM((Range=$K68)*(Bond_Mult_UR))))),0.5*((SUM((Range=$K68)*(Bond_Base_UR))+IF($I68&lt;1,1,$I68-$K68)*SUM((Range=$K68)*(Bond_Mult_UR)))+((E68-U68)/E68)),IF(U68&gt;=E68,0.5,1)*(SUM((Range=$K68)*(Bond_Base_UR))+IF($I68&lt;1,1,$I68-$K68)*SUM((Range=$K68)*(Bond_Mult_UR))))))</f>
        <v/>
      </c>
      <c r="AH68" s="53"/>
      <c r="AI68" s="122" t="str">
        <f t="array" ref="AI68">IF(OR($C68="",$E68="",$G68="",$I68="",$M68="",$O68="",$Q68="",$S68="",$G68&lt;&gt;"Unrated",$M68&lt;&gt;"Y"),"",MIN(1,IF(OR($W68&lt;&gt;"Y",$AA68=$AC68),SUM((Range=$K68)*(CQS=IF($W68&lt;&gt;"Y",0,IF($AC68=196%,1,6)))*(IF($W68&lt;&gt;"Y",Bond_Base_MCR,Bond_Base)))+IF($I68&lt;1,1,$I68-$K68)*SUM((Range=$K68)*(CQS=IF($W68&lt;&gt;"Y",0,IF($AC68=196%,1,6)))*(IF($W68&lt;&gt;"Y",Bond_Mult_MCR,Bond_Mult))),((SUM((Range=$K68)*(CQS=HLOOKUP($AA68,Solv_Ratio_CQS_Map,2,0))*(Bond_Base))+IF($I68&lt;1,1,$I68-$K68)*SUM((Range=$K68)*(CQS=HLOOKUP($AA68,Solv_Ratio_CQS_Map,2,0))*(Bond_Mult)))*($AC68-$Y68)+(SUM((Range=$K68)*(CQS=HLOOKUP($AC68,Solv_Ratio_CQS_Map,2,0))*(Bond_Base))+IF($I68&lt;1,1,$I68-$K68)*SUM((Range=$K68)*(CQS=HLOOKUP($AC68,Solv_Ratio_CQS_Map,2,0))*(Bond_Mult)))*($Y68-$AA68))/($AC68-$AA68))))</f>
        <v/>
      </c>
      <c r="AJ68" s="53"/>
      <c r="AK68" s="121" t="str">
        <f t="shared" si="3"/>
        <v/>
      </c>
      <c r="AL68" s="53"/>
      <c r="AM68" s="123" t="str">
        <f t="shared" si="4"/>
        <v/>
      </c>
      <c r="AN68" s="115"/>
    </row>
    <row r="69" spans="2:40" x14ac:dyDescent="0.2">
      <c r="B69" s="116"/>
      <c r="C69" s="207"/>
      <c r="D69" s="53"/>
      <c r="E69" s="208"/>
      <c r="F69" s="53"/>
      <c r="G69" s="209"/>
      <c r="H69" s="53"/>
      <c r="I69" s="210"/>
      <c r="J69" s="53"/>
      <c r="K69" s="118" t="str">
        <f t="shared" si="2"/>
        <v/>
      </c>
      <c r="L69" s="53"/>
      <c r="M69" s="211"/>
      <c r="N69" s="53"/>
      <c r="O69" s="211"/>
      <c r="P69" s="53"/>
      <c r="Q69" s="211"/>
      <c r="R69" s="53"/>
      <c r="S69" s="211"/>
      <c r="T69" s="53"/>
      <c r="U69" s="117"/>
      <c r="V69" s="53"/>
      <c r="W69" s="119"/>
      <c r="X69" s="53"/>
      <c r="Y69" s="120"/>
      <c r="Z69" s="53"/>
      <c r="AA69" s="121" t="str">
        <f t="shared" si="0"/>
        <v/>
      </c>
      <c r="AB69" s="53"/>
      <c r="AC69" s="121" t="str">
        <f t="shared" si="1"/>
        <v/>
      </c>
      <c r="AD69" s="53"/>
      <c r="AE69" s="122" t="str">
        <f t="array" ref="AE69">IF(OR($C69="",$E69="",$G69="",$I69="",$M69="",$O69="",$Q69="",$S69="",$G69="Unrated"),"",IF($Q69="Y",0,MIN(1,SUM((IF($O69="Y",Cov_Range,Range)=$K69)*(IF($O69="Y",Cov_CQS,CQS)=$G69)*(IF($S69="Y",Gilt_Base,IF($O69="Y",Cov_Bond_Base,Bond_Base))))+IF($I69&lt;1,1,$I69-$K69)*SUM((IF($O69="Y",Cov_Range,Range)=$K69)*(IF($O69="Y",Cov_CQS,CQS)=$G69)*(IF($S69="Y",Gilt_Mult,IF($O69="Y",Cov_Bond_Mult,Bond_Mult)))))))</f>
        <v/>
      </c>
      <c r="AF69" s="53"/>
      <c r="AG69" s="122" t="str">
        <f t="array" ref="AG69">IF(OR($C69="",$E69="",$G69="",$I69="",$M69="",$O69="",$Q69="",$S69="",$G69&lt;&gt;"Unrated",$M69="Y"),"",MIN(1,IF(AND(U69&lt;E69,U69&gt;=E69*(1-(SUM((Range=$K69)*(Bond_Base_UR))+IF($I69&lt;1,1,$I69-$K69)*SUM((Range=$K69)*(Bond_Mult_UR))))),0.5*((SUM((Range=$K69)*(Bond_Base_UR))+IF($I69&lt;1,1,$I69-$K69)*SUM((Range=$K69)*(Bond_Mult_UR)))+((E69-U69)/E69)),IF(U69&gt;=E69,0.5,1)*(SUM((Range=$K69)*(Bond_Base_UR))+IF($I69&lt;1,1,$I69-$K69)*SUM((Range=$K69)*(Bond_Mult_UR))))))</f>
        <v/>
      </c>
      <c r="AH69" s="53"/>
      <c r="AI69" s="122" t="str">
        <f t="array" ref="AI69">IF(OR($C69="",$E69="",$G69="",$I69="",$M69="",$O69="",$Q69="",$S69="",$G69&lt;&gt;"Unrated",$M69&lt;&gt;"Y"),"",MIN(1,IF(OR($W69&lt;&gt;"Y",$AA69=$AC69),SUM((Range=$K69)*(CQS=IF($W69&lt;&gt;"Y",0,IF($AC69=196%,1,6)))*(IF($W69&lt;&gt;"Y",Bond_Base_MCR,Bond_Base)))+IF($I69&lt;1,1,$I69-$K69)*SUM((Range=$K69)*(CQS=IF($W69&lt;&gt;"Y",0,IF($AC69=196%,1,6)))*(IF($W69&lt;&gt;"Y",Bond_Mult_MCR,Bond_Mult))),((SUM((Range=$K69)*(CQS=HLOOKUP($AA69,Solv_Ratio_CQS_Map,2,0))*(Bond_Base))+IF($I69&lt;1,1,$I69-$K69)*SUM((Range=$K69)*(CQS=HLOOKUP($AA69,Solv_Ratio_CQS_Map,2,0))*(Bond_Mult)))*($AC69-$Y69)+(SUM((Range=$K69)*(CQS=HLOOKUP($AC69,Solv_Ratio_CQS_Map,2,0))*(Bond_Base))+IF($I69&lt;1,1,$I69-$K69)*SUM((Range=$K69)*(CQS=HLOOKUP($AC69,Solv_Ratio_CQS_Map,2,0))*(Bond_Mult)))*($Y69-$AA69))/($AC69-$AA69))))</f>
        <v/>
      </c>
      <c r="AJ69" s="53"/>
      <c r="AK69" s="121" t="str">
        <f t="shared" si="3"/>
        <v/>
      </c>
      <c r="AL69" s="53"/>
      <c r="AM69" s="123" t="str">
        <f t="shared" si="4"/>
        <v/>
      </c>
      <c r="AN69" s="115"/>
    </row>
    <row r="70" spans="2:40" x14ac:dyDescent="0.2">
      <c r="B70" s="116"/>
      <c r="C70" s="207"/>
      <c r="D70" s="53"/>
      <c r="E70" s="208"/>
      <c r="F70" s="53"/>
      <c r="G70" s="209"/>
      <c r="H70" s="53"/>
      <c r="I70" s="210"/>
      <c r="J70" s="53"/>
      <c r="K70" s="118" t="str">
        <f t="shared" si="2"/>
        <v/>
      </c>
      <c r="L70" s="53"/>
      <c r="M70" s="211"/>
      <c r="N70" s="53"/>
      <c r="O70" s="211"/>
      <c r="P70" s="53"/>
      <c r="Q70" s="211"/>
      <c r="R70" s="53"/>
      <c r="S70" s="211"/>
      <c r="T70" s="53"/>
      <c r="U70" s="117"/>
      <c r="V70" s="53"/>
      <c r="W70" s="119"/>
      <c r="X70" s="53"/>
      <c r="Y70" s="120"/>
      <c r="Z70" s="53"/>
      <c r="AA70" s="121" t="str">
        <f t="shared" si="0"/>
        <v/>
      </c>
      <c r="AB70" s="53"/>
      <c r="AC70" s="121" t="str">
        <f t="shared" si="1"/>
        <v/>
      </c>
      <c r="AD70" s="53"/>
      <c r="AE70" s="122" t="str">
        <f t="array" ref="AE70">IF(OR($C70="",$E70="",$G70="",$I70="",$M70="",$O70="",$Q70="",$S70="",$G70="Unrated"),"",IF($Q70="Y",0,MIN(1,SUM((IF($O70="Y",Cov_Range,Range)=$K70)*(IF($O70="Y",Cov_CQS,CQS)=$G70)*(IF($S70="Y",Gilt_Base,IF($O70="Y",Cov_Bond_Base,Bond_Base))))+IF($I70&lt;1,1,$I70-$K70)*SUM((IF($O70="Y",Cov_Range,Range)=$K70)*(IF($O70="Y",Cov_CQS,CQS)=$G70)*(IF($S70="Y",Gilt_Mult,IF($O70="Y",Cov_Bond_Mult,Bond_Mult)))))))</f>
        <v/>
      </c>
      <c r="AF70" s="53"/>
      <c r="AG70" s="122" t="str">
        <f t="array" ref="AG70">IF(OR($C70="",$E70="",$G70="",$I70="",$M70="",$O70="",$Q70="",$S70="",$G70&lt;&gt;"Unrated",$M70="Y"),"",MIN(1,IF(AND(U70&lt;E70,U70&gt;=E70*(1-(SUM((Range=$K70)*(Bond_Base_UR))+IF($I70&lt;1,1,$I70-$K70)*SUM((Range=$K70)*(Bond_Mult_UR))))),0.5*((SUM((Range=$K70)*(Bond_Base_UR))+IF($I70&lt;1,1,$I70-$K70)*SUM((Range=$K70)*(Bond_Mult_UR)))+((E70-U70)/E70)),IF(U70&gt;=E70,0.5,1)*(SUM((Range=$K70)*(Bond_Base_UR))+IF($I70&lt;1,1,$I70-$K70)*SUM((Range=$K70)*(Bond_Mult_UR))))))</f>
        <v/>
      </c>
      <c r="AH70" s="53"/>
      <c r="AI70" s="122" t="str">
        <f t="array" ref="AI70">IF(OR($C70="",$E70="",$G70="",$I70="",$M70="",$O70="",$Q70="",$S70="",$G70&lt;&gt;"Unrated",$M70&lt;&gt;"Y"),"",MIN(1,IF(OR($W70&lt;&gt;"Y",$AA70=$AC70),SUM((Range=$K70)*(CQS=IF($W70&lt;&gt;"Y",0,IF($AC70=196%,1,6)))*(IF($W70&lt;&gt;"Y",Bond_Base_MCR,Bond_Base)))+IF($I70&lt;1,1,$I70-$K70)*SUM((Range=$K70)*(CQS=IF($W70&lt;&gt;"Y",0,IF($AC70=196%,1,6)))*(IF($W70&lt;&gt;"Y",Bond_Mult_MCR,Bond_Mult))),((SUM((Range=$K70)*(CQS=HLOOKUP($AA70,Solv_Ratio_CQS_Map,2,0))*(Bond_Base))+IF($I70&lt;1,1,$I70-$K70)*SUM((Range=$K70)*(CQS=HLOOKUP($AA70,Solv_Ratio_CQS_Map,2,0))*(Bond_Mult)))*($AC70-$Y70)+(SUM((Range=$K70)*(CQS=HLOOKUP($AC70,Solv_Ratio_CQS_Map,2,0))*(Bond_Base))+IF($I70&lt;1,1,$I70-$K70)*SUM((Range=$K70)*(CQS=HLOOKUP($AC70,Solv_Ratio_CQS_Map,2,0))*(Bond_Mult)))*($Y70-$AA70))/($AC70-$AA70))))</f>
        <v/>
      </c>
      <c r="AJ70" s="53"/>
      <c r="AK70" s="121" t="str">
        <f t="shared" si="3"/>
        <v/>
      </c>
      <c r="AL70" s="53"/>
      <c r="AM70" s="123" t="str">
        <f t="shared" si="4"/>
        <v/>
      </c>
      <c r="AN70" s="115"/>
    </row>
    <row r="71" spans="2:40" x14ac:dyDescent="0.2">
      <c r="B71" s="116"/>
      <c r="C71" s="207"/>
      <c r="D71" s="53"/>
      <c r="E71" s="208"/>
      <c r="F71" s="53"/>
      <c r="G71" s="209"/>
      <c r="H71" s="53"/>
      <c r="I71" s="210"/>
      <c r="J71" s="53"/>
      <c r="K71" s="118" t="str">
        <f t="shared" si="2"/>
        <v/>
      </c>
      <c r="L71" s="53"/>
      <c r="M71" s="211"/>
      <c r="N71" s="53"/>
      <c r="O71" s="211"/>
      <c r="P71" s="53"/>
      <c r="Q71" s="211"/>
      <c r="R71" s="53"/>
      <c r="S71" s="211"/>
      <c r="T71" s="53"/>
      <c r="U71" s="117"/>
      <c r="V71" s="53"/>
      <c r="W71" s="119"/>
      <c r="X71" s="53"/>
      <c r="Y71" s="120"/>
      <c r="Z71" s="53"/>
      <c r="AA71" s="121" t="str">
        <f t="shared" si="0"/>
        <v/>
      </c>
      <c r="AB71" s="53"/>
      <c r="AC71" s="121" t="str">
        <f t="shared" si="1"/>
        <v/>
      </c>
      <c r="AD71" s="53"/>
      <c r="AE71" s="122" t="str">
        <f t="array" ref="AE71">IF(OR($C71="",$E71="",$G71="",$I71="",$M71="",$O71="",$Q71="",$S71="",$G71="Unrated"),"",IF($Q71="Y",0,MIN(1,SUM((IF($O71="Y",Cov_Range,Range)=$K71)*(IF($O71="Y",Cov_CQS,CQS)=$G71)*(IF($S71="Y",Gilt_Base,IF($O71="Y",Cov_Bond_Base,Bond_Base))))+IF($I71&lt;1,1,$I71-$K71)*SUM((IF($O71="Y",Cov_Range,Range)=$K71)*(IF($O71="Y",Cov_CQS,CQS)=$G71)*(IF($S71="Y",Gilt_Mult,IF($O71="Y",Cov_Bond_Mult,Bond_Mult)))))))</f>
        <v/>
      </c>
      <c r="AF71" s="53"/>
      <c r="AG71" s="122" t="str">
        <f t="array" ref="AG71">IF(OR($C71="",$E71="",$G71="",$I71="",$M71="",$O71="",$Q71="",$S71="",$G71&lt;&gt;"Unrated",$M71="Y"),"",MIN(1,IF(AND(U71&lt;E71,U71&gt;=E71*(1-(SUM((Range=$K71)*(Bond_Base_UR))+IF($I71&lt;1,1,$I71-$K71)*SUM((Range=$K71)*(Bond_Mult_UR))))),0.5*((SUM((Range=$K71)*(Bond_Base_UR))+IF($I71&lt;1,1,$I71-$K71)*SUM((Range=$K71)*(Bond_Mult_UR)))+((E71-U71)/E71)),IF(U71&gt;=E71,0.5,1)*(SUM((Range=$K71)*(Bond_Base_UR))+IF($I71&lt;1,1,$I71-$K71)*SUM((Range=$K71)*(Bond_Mult_UR))))))</f>
        <v/>
      </c>
      <c r="AH71" s="53"/>
      <c r="AI71" s="122" t="str">
        <f t="array" ref="AI71">IF(OR($C71="",$E71="",$G71="",$I71="",$M71="",$O71="",$Q71="",$S71="",$G71&lt;&gt;"Unrated",$M71&lt;&gt;"Y"),"",MIN(1,IF(OR($W71&lt;&gt;"Y",$AA71=$AC71),SUM((Range=$K71)*(CQS=IF($W71&lt;&gt;"Y",0,IF($AC71=196%,1,6)))*(IF($W71&lt;&gt;"Y",Bond_Base_MCR,Bond_Base)))+IF($I71&lt;1,1,$I71-$K71)*SUM((Range=$K71)*(CQS=IF($W71&lt;&gt;"Y",0,IF($AC71=196%,1,6)))*(IF($W71&lt;&gt;"Y",Bond_Mult_MCR,Bond_Mult))),((SUM((Range=$K71)*(CQS=HLOOKUP($AA71,Solv_Ratio_CQS_Map,2,0))*(Bond_Base))+IF($I71&lt;1,1,$I71-$K71)*SUM((Range=$K71)*(CQS=HLOOKUP($AA71,Solv_Ratio_CQS_Map,2,0))*(Bond_Mult)))*($AC71-$Y71)+(SUM((Range=$K71)*(CQS=HLOOKUP($AC71,Solv_Ratio_CQS_Map,2,0))*(Bond_Base))+IF($I71&lt;1,1,$I71-$K71)*SUM((Range=$K71)*(CQS=HLOOKUP($AC71,Solv_Ratio_CQS_Map,2,0))*(Bond_Mult)))*($Y71-$AA71))/($AC71-$AA71))))</f>
        <v/>
      </c>
      <c r="AJ71" s="53"/>
      <c r="AK71" s="121" t="str">
        <f t="shared" si="3"/>
        <v/>
      </c>
      <c r="AL71" s="53"/>
      <c r="AM71" s="123" t="str">
        <f t="shared" si="4"/>
        <v/>
      </c>
      <c r="AN71" s="115"/>
    </row>
    <row r="72" spans="2:40" x14ac:dyDescent="0.2">
      <c r="B72" s="116"/>
      <c r="C72" s="207"/>
      <c r="D72" s="53"/>
      <c r="E72" s="208"/>
      <c r="F72" s="53"/>
      <c r="G72" s="209"/>
      <c r="H72" s="53"/>
      <c r="I72" s="210"/>
      <c r="J72" s="53"/>
      <c r="K72" s="118" t="str">
        <f t="shared" si="2"/>
        <v/>
      </c>
      <c r="L72" s="53"/>
      <c r="M72" s="211"/>
      <c r="N72" s="53"/>
      <c r="O72" s="211"/>
      <c r="P72" s="53"/>
      <c r="Q72" s="211"/>
      <c r="R72" s="53"/>
      <c r="S72" s="211"/>
      <c r="T72" s="53"/>
      <c r="U72" s="117"/>
      <c r="V72" s="53"/>
      <c r="W72" s="119"/>
      <c r="X72" s="53"/>
      <c r="Y72" s="120"/>
      <c r="Z72" s="53"/>
      <c r="AA72" s="121" t="str">
        <f t="shared" si="0"/>
        <v/>
      </c>
      <c r="AB72" s="53"/>
      <c r="AC72" s="121" t="str">
        <f t="shared" si="1"/>
        <v/>
      </c>
      <c r="AD72" s="53"/>
      <c r="AE72" s="122" t="str">
        <f t="array" ref="AE72">IF(OR($C72="",$E72="",$G72="",$I72="",$M72="",$O72="",$Q72="",$S72="",$G72="Unrated"),"",IF($Q72="Y",0,MIN(1,SUM((IF($O72="Y",Cov_Range,Range)=$K72)*(IF($O72="Y",Cov_CQS,CQS)=$G72)*(IF($S72="Y",Gilt_Base,IF($O72="Y",Cov_Bond_Base,Bond_Base))))+IF($I72&lt;1,1,$I72-$K72)*SUM((IF($O72="Y",Cov_Range,Range)=$K72)*(IF($O72="Y",Cov_CQS,CQS)=$G72)*(IF($S72="Y",Gilt_Mult,IF($O72="Y",Cov_Bond_Mult,Bond_Mult)))))))</f>
        <v/>
      </c>
      <c r="AF72" s="53"/>
      <c r="AG72" s="122" t="str">
        <f t="array" ref="AG72">IF(OR($C72="",$E72="",$G72="",$I72="",$M72="",$O72="",$Q72="",$S72="",$G72&lt;&gt;"Unrated",$M72="Y"),"",MIN(1,IF(AND(U72&lt;E72,U72&gt;=E72*(1-(SUM((Range=$K72)*(Bond_Base_UR))+IF($I72&lt;1,1,$I72-$K72)*SUM((Range=$K72)*(Bond_Mult_UR))))),0.5*((SUM((Range=$K72)*(Bond_Base_UR))+IF($I72&lt;1,1,$I72-$K72)*SUM((Range=$K72)*(Bond_Mult_UR)))+((E72-U72)/E72)),IF(U72&gt;=E72,0.5,1)*(SUM((Range=$K72)*(Bond_Base_UR))+IF($I72&lt;1,1,$I72-$K72)*SUM((Range=$K72)*(Bond_Mult_UR))))))</f>
        <v/>
      </c>
      <c r="AH72" s="53"/>
      <c r="AI72" s="122" t="str">
        <f t="array" ref="AI72">IF(OR($C72="",$E72="",$G72="",$I72="",$M72="",$O72="",$Q72="",$S72="",$G72&lt;&gt;"Unrated",$M72&lt;&gt;"Y"),"",MIN(1,IF(OR($W72&lt;&gt;"Y",$AA72=$AC72),SUM((Range=$K72)*(CQS=IF($W72&lt;&gt;"Y",0,IF($AC72=196%,1,6)))*(IF($W72&lt;&gt;"Y",Bond_Base_MCR,Bond_Base)))+IF($I72&lt;1,1,$I72-$K72)*SUM((Range=$K72)*(CQS=IF($W72&lt;&gt;"Y",0,IF($AC72=196%,1,6)))*(IF($W72&lt;&gt;"Y",Bond_Mult_MCR,Bond_Mult))),((SUM((Range=$K72)*(CQS=HLOOKUP($AA72,Solv_Ratio_CQS_Map,2,0))*(Bond_Base))+IF($I72&lt;1,1,$I72-$K72)*SUM((Range=$K72)*(CQS=HLOOKUP($AA72,Solv_Ratio_CQS_Map,2,0))*(Bond_Mult)))*($AC72-$Y72)+(SUM((Range=$K72)*(CQS=HLOOKUP($AC72,Solv_Ratio_CQS_Map,2,0))*(Bond_Base))+IF($I72&lt;1,1,$I72-$K72)*SUM((Range=$K72)*(CQS=HLOOKUP($AC72,Solv_Ratio_CQS_Map,2,0))*(Bond_Mult)))*($Y72-$AA72))/($AC72-$AA72))))</f>
        <v/>
      </c>
      <c r="AJ72" s="53"/>
      <c r="AK72" s="121" t="str">
        <f t="shared" si="3"/>
        <v/>
      </c>
      <c r="AL72" s="53"/>
      <c r="AM72" s="123" t="str">
        <f t="shared" si="4"/>
        <v/>
      </c>
      <c r="AN72" s="115"/>
    </row>
    <row r="73" spans="2:40" x14ac:dyDescent="0.2">
      <c r="B73" s="116"/>
      <c r="C73" s="207"/>
      <c r="D73" s="53"/>
      <c r="E73" s="208"/>
      <c r="F73" s="53"/>
      <c r="G73" s="209"/>
      <c r="H73" s="53"/>
      <c r="I73" s="210"/>
      <c r="J73" s="53"/>
      <c r="K73" s="118" t="str">
        <f t="shared" si="2"/>
        <v/>
      </c>
      <c r="L73" s="53"/>
      <c r="M73" s="211"/>
      <c r="N73" s="53"/>
      <c r="O73" s="211"/>
      <c r="P73" s="53"/>
      <c r="Q73" s="211"/>
      <c r="R73" s="53"/>
      <c r="S73" s="211"/>
      <c r="T73" s="53"/>
      <c r="U73" s="117"/>
      <c r="V73" s="53"/>
      <c r="W73" s="119"/>
      <c r="X73" s="53"/>
      <c r="Y73" s="120"/>
      <c r="Z73" s="53"/>
      <c r="AA73" s="121" t="str">
        <f t="shared" si="0"/>
        <v/>
      </c>
      <c r="AB73" s="53"/>
      <c r="AC73" s="121" t="str">
        <f t="shared" si="1"/>
        <v/>
      </c>
      <c r="AD73" s="53"/>
      <c r="AE73" s="122" t="str">
        <f t="array" ref="AE73">IF(OR($C73="",$E73="",$G73="",$I73="",$M73="",$O73="",$Q73="",$S73="",$G73="Unrated"),"",IF($Q73="Y",0,MIN(1,SUM((IF($O73="Y",Cov_Range,Range)=$K73)*(IF($O73="Y",Cov_CQS,CQS)=$G73)*(IF($S73="Y",Gilt_Base,IF($O73="Y",Cov_Bond_Base,Bond_Base))))+IF($I73&lt;1,1,$I73-$K73)*SUM((IF($O73="Y",Cov_Range,Range)=$K73)*(IF($O73="Y",Cov_CQS,CQS)=$G73)*(IF($S73="Y",Gilt_Mult,IF($O73="Y",Cov_Bond_Mult,Bond_Mult)))))))</f>
        <v/>
      </c>
      <c r="AF73" s="53"/>
      <c r="AG73" s="122" t="str">
        <f t="array" ref="AG73">IF(OR($C73="",$E73="",$G73="",$I73="",$M73="",$O73="",$Q73="",$S73="",$G73&lt;&gt;"Unrated",$M73="Y"),"",MIN(1,IF(AND(U73&lt;E73,U73&gt;=E73*(1-(SUM((Range=$K73)*(Bond_Base_UR))+IF($I73&lt;1,1,$I73-$K73)*SUM((Range=$K73)*(Bond_Mult_UR))))),0.5*((SUM((Range=$K73)*(Bond_Base_UR))+IF($I73&lt;1,1,$I73-$K73)*SUM((Range=$K73)*(Bond_Mult_UR)))+((E73-U73)/E73)),IF(U73&gt;=E73,0.5,1)*(SUM((Range=$K73)*(Bond_Base_UR))+IF($I73&lt;1,1,$I73-$K73)*SUM((Range=$K73)*(Bond_Mult_UR))))))</f>
        <v/>
      </c>
      <c r="AH73" s="53"/>
      <c r="AI73" s="122" t="str">
        <f t="array" ref="AI73">IF(OR($C73="",$E73="",$G73="",$I73="",$M73="",$O73="",$Q73="",$S73="",$G73&lt;&gt;"Unrated",$M73&lt;&gt;"Y"),"",MIN(1,IF(OR($W73&lt;&gt;"Y",$AA73=$AC73),SUM((Range=$K73)*(CQS=IF($W73&lt;&gt;"Y",0,IF($AC73=196%,1,6)))*(IF($W73&lt;&gt;"Y",Bond_Base_MCR,Bond_Base)))+IF($I73&lt;1,1,$I73-$K73)*SUM((Range=$K73)*(CQS=IF($W73&lt;&gt;"Y",0,IF($AC73=196%,1,6)))*(IF($W73&lt;&gt;"Y",Bond_Mult_MCR,Bond_Mult))),((SUM((Range=$K73)*(CQS=HLOOKUP($AA73,Solv_Ratio_CQS_Map,2,0))*(Bond_Base))+IF($I73&lt;1,1,$I73-$K73)*SUM((Range=$K73)*(CQS=HLOOKUP($AA73,Solv_Ratio_CQS_Map,2,0))*(Bond_Mult)))*($AC73-$Y73)+(SUM((Range=$K73)*(CQS=HLOOKUP($AC73,Solv_Ratio_CQS_Map,2,0))*(Bond_Base))+IF($I73&lt;1,1,$I73-$K73)*SUM((Range=$K73)*(CQS=HLOOKUP($AC73,Solv_Ratio_CQS_Map,2,0))*(Bond_Mult)))*($Y73-$AA73))/($AC73-$AA73))))</f>
        <v/>
      </c>
      <c r="AJ73" s="53"/>
      <c r="AK73" s="121" t="str">
        <f t="shared" si="3"/>
        <v/>
      </c>
      <c r="AL73" s="53"/>
      <c r="AM73" s="123" t="str">
        <f t="shared" si="4"/>
        <v/>
      </c>
      <c r="AN73" s="115"/>
    </row>
    <row r="74" spans="2:40" x14ac:dyDescent="0.2">
      <c r="B74" s="116"/>
      <c r="C74" s="207"/>
      <c r="D74" s="53"/>
      <c r="E74" s="208"/>
      <c r="F74" s="53"/>
      <c r="G74" s="209"/>
      <c r="H74" s="53"/>
      <c r="I74" s="210"/>
      <c r="J74" s="53"/>
      <c r="K74" s="118" t="str">
        <f t="shared" si="2"/>
        <v/>
      </c>
      <c r="L74" s="53"/>
      <c r="M74" s="211"/>
      <c r="N74" s="53"/>
      <c r="O74" s="211"/>
      <c r="P74" s="53"/>
      <c r="Q74" s="211"/>
      <c r="R74" s="53"/>
      <c r="S74" s="211"/>
      <c r="T74" s="53"/>
      <c r="U74" s="117"/>
      <c r="V74" s="53"/>
      <c r="W74" s="119"/>
      <c r="X74" s="53"/>
      <c r="Y74" s="120"/>
      <c r="Z74" s="53"/>
      <c r="AA74" s="121" t="str">
        <f t="shared" si="0"/>
        <v/>
      </c>
      <c r="AB74" s="53"/>
      <c r="AC74" s="121" t="str">
        <f t="shared" si="1"/>
        <v/>
      </c>
      <c r="AD74" s="53"/>
      <c r="AE74" s="122" t="str">
        <f t="array" ref="AE74">IF(OR($C74="",$E74="",$G74="",$I74="",$M74="",$O74="",$Q74="",$S74="",$G74="Unrated"),"",IF($Q74="Y",0,MIN(1,SUM((IF($O74="Y",Cov_Range,Range)=$K74)*(IF($O74="Y",Cov_CQS,CQS)=$G74)*(IF($S74="Y",Gilt_Base,IF($O74="Y",Cov_Bond_Base,Bond_Base))))+IF($I74&lt;1,1,$I74-$K74)*SUM((IF($O74="Y",Cov_Range,Range)=$K74)*(IF($O74="Y",Cov_CQS,CQS)=$G74)*(IF($S74="Y",Gilt_Mult,IF($O74="Y",Cov_Bond_Mult,Bond_Mult)))))))</f>
        <v/>
      </c>
      <c r="AF74" s="53"/>
      <c r="AG74" s="122" t="str">
        <f t="array" ref="AG74">IF(OR($C74="",$E74="",$G74="",$I74="",$M74="",$O74="",$Q74="",$S74="",$G74&lt;&gt;"Unrated",$M74="Y"),"",MIN(1,IF(AND(U74&lt;E74,U74&gt;=E74*(1-(SUM((Range=$K74)*(Bond_Base_UR))+IF($I74&lt;1,1,$I74-$K74)*SUM((Range=$K74)*(Bond_Mult_UR))))),0.5*((SUM((Range=$K74)*(Bond_Base_UR))+IF($I74&lt;1,1,$I74-$K74)*SUM((Range=$K74)*(Bond_Mult_UR)))+((E74-U74)/E74)),IF(U74&gt;=E74,0.5,1)*(SUM((Range=$K74)*(Bond_Base_UR))+IF($I74&lt;1,1,$I74-$K74)*SUM((Range=$K74)*(Bond_Mult_UR))))))</f>
        <v/>
      </c>
      <c r="AH74" s="53"/>
      <c r="AI74" s="122" t="str">
        <f t="array" ref="AI74">IF(OR($C74="",$E74="",$G74="",$I74="",$M74="",$O74="",$Q74="",$S74="",$G74&lt;&gt;"Unrated",$M74&lt;&gt;"Y"),"",MIN(1,IF(OR($W74&lt;&gt;"Y",$AA74=$AC74),SUM((Range=$K74)*(CQS=IF($W74&lt;&gt;"Y",0,IF($AC74=196%,1,6)))*(IF($W74&lt;&gt;"Y",Bond_Base_MCR,Bond_Base)))+IF($I74&lt;1,1,$I74-$K74)*SUM((Range=$K74)*(CQS=IF($W74&lt;&gt;"Y",0,IF($AC74=196%,1,6)))*(IF($W74&lt;&gt;"Y",Bond_Mult_MCR,Bond_Mult))),((SUM((Range=$K74)*(CQS=HLOOKUP($AA74,Solv_Ratio_CQS_Map,2,0))*(Bond_Base))+IF($I74&lt;1,1,$I74-$K74)*SUM((Range=$K74)*(CQS=HLOOKUP($AA74,Solv_Ratio_CQS_Map,2,0))*(Bond_Mult)))*($AC74-$Y74)+(SUM((Range=$K74)*(CQS=HLOOKUP($AC74,Solv_Ratio_CQS_Map,2,0))*(Bond_Base))+IF($I74&lt;1,1,$I74-$K74)*SUM((Range=$K74)*(CQS=HLOOKUP($AC74,Solv_Ratio_CQS_Map,2,0))*(Bond_Mult)))*($Y74-$AA74))/($AC74-$AA74))))</f>
        <v/>
      </c>
      <c r="AJ74" s="53"/>
      <c r="AK74" s="121" t="str">
        <f t="shared" si="3"/>
        <v/>
      </c>
      <c r="AL74" s="53"/>
      <c r="AM74" s="123" t="str">
        <f t="shared" si="4"/>
        <v/>
      </c>
      <c r="AN74" s="115"/>
    </row>
    <row r="75" spans="2:40" x14ac:dyDescent="0.2">
      <c r="B75" s="116"/>
      <c r="C75" s="207"/>
      <c r="D75" s="53"/>
      <c r="E75" s="208"/>
      <c r="F75" s="53"/>
      <c r="G75" s="209"/>
      <c r="H75" s="53"/>
      <c r="I75" s="210"/>
      <c r="J75" s="53"/>
      <c r="K75" s="118" t="str">
        <f t="shared" si="2"/>
        <v/>
      </c>
      <c r="L75" s="53"/>
      <c r="M75" s="211"/>
      <c r="N75" s="53"/>
      <c r="O75" s="211"/>
      <c r="P75" s="53"/>
      <c r="Q75" s="211"/>
      <c r="R75" s="53"/>
      <c r="S75" s="211"/>
      <c r="T75" s="53"/>
      <c r="U75" s="117"/>
      <c r="V75" s="53"/>
      <c r="W75" s="119"/>
      <c r="X75" s="53"/>
      <c r="Y75" s="120"/>
      <c r="Z75" s="53"/>
      <c r="AA75" s="121" t="str">
        <f t="shared" si="0"/>
        <v/>
      </c>
      <c r="AB75" s="53"/>
      <c r="AC75" s="121" t="str">
        <f t="shared" si="1"/>
        <v/>
      </c>
      <c r="AD75" s="53"/>
      <c r="AE75" s="122" t="str">
        <f t="array" ref="AE75">IF(OR($C75="",$E75="",$G75="",$I75="",$M75="",$O75="",$Q75="",$S75="",$G75="Unrated"),"",IF($Q75="Y",0,MIN(1,SUM((IF($O75="Y",Cov_Range,Range)=$K75)*(IF($O75="Y",Cov_CQS,CQS)=$G75)*(IF($S75="Y",Gilt_Base,IF($O75="Y",Cov_Bond_Base,Bond_Base))))+IF($I75&lt;1,1,$I75-$K75)*SUM((IF($O75="Y",Cov_Range,Range)=$K75)*(IF($O75="Y",Cov_CQS,CQS)=$G75)*(IF($S75="Y",Gilt_Mult,IF($O75="Y",Cov_Bond_Mult,Bond_Mult)))))))</f>
        <v/>
      </c>
      <c r="AF75" s="53"/>
      <c r="AG75" s="122" t="str">
        <f t="array" ref="AG75">IF(OR($C75="",$E75="",$G75="",$I75="",$M75="",$O75="",$Q75="",$S75="",$G75&lt;&gt;"Unrated",$M75="Y"),"",MIN(1,IF(AND(U75&lt;E75,U75&gt;=E75*(1-(SUM((Range=$K75)*(Bond_Base_UR))+IF($I75&lt;1,1,$I75-$K75)*SUM((Range=$K75)*(Bond_Mult_UR))))),0.5*((SUM((Range=$K75)*(Bond_Base_UR))+IF($I75&lt;1,1,$I75-$K75)*SUM((Range=$K75)*(Bond_Mult_UR)))+((E75-U75)/E75)),IF(U75&gt;=E75,0.5,1)*(SUM((Range=$K75)*(Bond_Base_UR))+IF($I75&lt;1,1,$I75-$K75)*SUM((Range=$K75)*(Bond_Mult_UR))))))</f>
        <v/>
      </c>
      <c r="AH75" s="53"/>
      <c r="AI75" s="122" t="str">
        <f t="array" ref="AI75">IF(OR($C75="",$E75="",$G75="",$I75="",$M75="",$O75="",$Q75="",$S75="",$G75&lt;&gt;"Unrated",$M75&lt;&gt;"Y"),"",MIN(1,IF(OR($W75&lt;&gt;"Y",$AA75=$AC75),SUM((Range=$K75)*(CQS=IF($W75&lt;&gt;"Y",0,IF($AC75=196%,1,6)))*(IF($W75&lt;&gt;"Y",Bond_Base_MCR,Bond_Base)))+IF($I75&lt;1,1,$I75-$K75)*SUM((Range=$K75)*(CQS=IF($W75&lt;&gt;"Y",0,IF($AC75=196%,1,6)))*(IF($W75&lt;&gt;"Y",Bond_Mult_MCR,Bond_Mult))),((SUM((Range=$K75)*(CQS=HLOOKUP($AA75,Solv_Ratio_CQS_Map,2,0))*(Bond_Base))+IF($I75&lt;1,1,$I75-$K75)*SUM((Range=$K75)*(CQS=HLOOKUP($AA75,Solv_Ratio_CQS_Map,2,0))*(Bond_Mult)))*($AC75-$Y75)+(SUM((Range=$K75)*(CQS=HLOOKUP($AC75,Solv_Ratio_CQS_Map,2,0))*(Bond_Base))+IF($I75&lt;1,1,$I75-$K75)*SUM((Range=$K75)*(CQS=HLOOKUP($AC75,Solv_Ratio_CQS_Map,2,0))*(Bond_Mult)))*($Y75-$AA75))/($AC75-$AA75))))</f>
        <v/>
      </c>
      <c r="AJ75" s="53"/>
      <c r="AK75" s="121" t="str">
        <f t="shared" si="3"/>
        <v/>
      </c>
      <c r="AL75" s="53"/>
      <c r="AM75" s="123" t="str">
        <f t="shared" si="4"/>
        <v/>
      </c>
      <c r="AN75" s="115"/>
    </row>
    <row r="76" spans="2:40" x14ac:dyDescent="0.2">
      <c r="B76" s="116"/>
      <c r="C76" s="207"/>
      <c r="D76" s="53"/>
      <c r="E76" s="208"/>
      <c r="F76" s="53"/>
      <c r="G76" s="209"/>
      <c r="H76" s="53"/>
      <c r="I76" s="210"/>
      <c r="J76" s="53"/>
      <c r="K76" s="118" t="str">
        <f t="shared" si="2"/>
        <v/>
      </c>
      <c r="L76" s="53"/>
      <c r="M76" s="211"/>
      <c r="N76" s="53"/>
      <c r="O76" s="211"/>
      <c r="P76" s="53"/>
      <c r="Q76" s="211"/>
      <c r="R76" s="53"/>
      <c r="S76" s="211"/>
      <c r="T76" s="53"/>
      <c r="U76" s="117"/>
      <c r="V76" s="53"/>
      <c r="W76" s="119"/>
      <c r="X76" s="53"/>
      <c r="Y76" s="120"/>
      <c r="Z76" s="53"/>
      <c r="AA76" s="121" t="str">
        <f t="shared" ref="AA76:AA107" si="5">IF(AND($G76="Unrated",$M76="Y",$W76="Y"),IF($Y76&gt;=196%,196%,IF($Y76&lt;=75%,75%,IF($Y76&gt;175%,175%,IF($Y76&gt;122%,122%,IF($Y76&gt;95%,95%,75%))))),"")</f>
        <v/>
      </c>
      <c r="AB76" s="53"/>
      <c r="AC76" s="121" t="str">
        <f t="shared" ref="AC76:AC107" si="6">IF(AND($G76="Unrated",$M76="Y",$W76="Y"),IF($Y76&gt;=196%,196%,IF($Y76&lt;=75%,75%,IF($Y76&gt;175%,196%,IF($Y76&gt;122%,175%,IF($Y76&gt;95%,122%,95%))))),"")</f>
        <v/>
      </c>
      <c r="AD76" s="53"/>
      <c r="AE76" s="122" t="str">
        <f t="array" ref="AE76">IF(OR($C76="",$E76="",$G76="",$I76="",$M76="",$O76="",$Q76="",$S76="",$G76="Unrated"),"",IF($Q76="Y",0,MIN(1,SUM((IF($O76="Y",Cov_Range,Range)=$K76)*(IF($O76="Y",Cov_CQS,CQS)=$G76)*(IF($S76="Y",Gilt_Base,IF($O76="Y",Cov_Bond_Base,Bond_Base))))+IF($I76&lt;1,1,$I76-$K76)*SUM((IF($O76="Y",Cov_Range,Range)=$K76)*(IF($O76="Y",Cov_CQS,CQS)=$G76)*(IF($S76="Y",Gilt_Mult,IF($O76="Y",Cov_Bond_Mult,Bond_Mult)))))))</f>
        <v/>
      </c>
      <c r="AF76" s="53"/>
      <c r="AG76" s="122" t="str">
        <f t="array" ref="AG76">IF(OR($C76="",$E76="",$G76="",$I76="",$M76="",$O76="",$Q76="",$S76="",$G76&lt;&gt;"Unrated",$M76="Y"),"",MIN(1,IF(AND(U76&lt;E76,U76&gt;=E76*(1-(SUM((Range=$K76)*(Bond_Base_UR))+IF($I76&lt;1,1,$I76-$K76)*SUM((Range=$K76)*(Bond_Mult_UR))))),0.5*((SUM((Range=$K76)*(Bond_Base_UR))+IF($I76&lt;1,1,$I76-$K76)*SUM((Range=$K76)*(Bond_Mult_UR)))+((E76-U76)/E76)),IF(U76&gt;=E76,0.5,1)*(SUM((Range=$K76)*(Bond_Base_UR))+IF($I76&lt;1,1,$I76-$K76)*SUM((Range=$K76)*(Bond_Mult_UR))))))</f>
        <v/>
      </c>
      <c r="AH76" s="53"/>
      <c r="AI76" s="122" t="str">
        <f t="array" ref="AI76">IF(OR($C76="",$E76="",$G76="",$I76="",$M76="",$O76="",$Q76="",$S76="",$G76&lt;&gt;"Unrated",$M76&lt;&gt;"Y"),"",MIN(1,IF(OR($W76&lt;&gt;"Y",$AA76=$AC76),SUM((Range=$K76)*(CQS=IF($W76&lt;&gt;"Y",0,IF($AC76=196%,1,6)))*(IF($W76&lt;&gt;"Y",Bond_Base_MCR,Bond_Base)))+IF($I76&lt;1,1,$I76-$K76)*SUM((Range=$K76)*(CQS=IF($W76&lt;&gt;"Y",0,IF($AC76=196%,1,6)))*(IF($W76&lt;&gt;"Y",Bond_Mult_MCR,Bond_Mult))),((SUM((Range=$K76)*(CQS=HLOOKUP($AA76,Solv_Ratio_CQS_Map,2,0))*(Bond_Base))+IF($I76&lt;1,1,$I76-$K76)*SUM((Range=$K76)*(CQS=HLOOKUP($AA76,Solv_Ratio_CQS_Map,2,0))*(Bond_Mult)))*($AC76-$Y76)+(SUM((Range=$K76)*(CQS=HLOOKUP($AC76,Solv_Ratio_CQS_Map,2,0))*(Bond_Base))+IF($I76&lt;1,1,$I76-$K76)*SUM((Range=$K76)*(CQS=HLOOKUP($AC76,Solv_Ratio_CQS_Map,2,0))*(Bond_Mult)))*($Y76-$AA76))/($AC76-$AA76))))</f>
        <v/>
      </c>
      <c r="AJ76" s="53"/>
      <c r="AK76" s="121" t="str">
        <f t="shared" si="3"/>
        <v/>
      </c>
      <c r="AL76" s="53"/>
      <c r="AM76" s="123" t="str">
        <f t="shared" si="4"/>
        <v/>
      </c>
      <c r="AN76" s="115"/>
    </row>
    <row r="77" spans="2:40" x14ac:dyDescent="0.2">
      <c r="B77" s="116"/>
      <c r="C77" s="207"/>
      <c r="D77" s="53"/>
      <c r="E77" s="208"/>
      <c r="F77" s="53"/>
      <c r="G77" s="209"/>
      <c r="H77" s="53"/>
      <c r="I77" s="210"/>
      <c r="J77" s="53"/>
      <c r="K77" s="118" t="str">
        <f t="shared" si="2"/>
        <v/>
      </c>
      <c r="L77" s="53"/>
      <c r="M77" s="211"/>
      <c r="N77" s="53"/>
      <c r="O77" s="211"/>
      <c r="P77" s="53"/>
      <c r="Q77" s="211"/>
      <c r="R77" s="53"/>
      <c r="S77" s="211"/>
      <c r="T77" s="53"/>
      <c r="U77" s="117"/>
      <c r="V77" s="53"/>
      <c r="W77" s="119"/>
      <c r="X77" s="53"/>
      <c r="Y77" s="120"/>
      <c r="Z77" s="53"/>
      <c r="AA77" s="121" t="str">
        <f t="shared" si="5"/>
        <v/>
      </c>
      <c r="AB77" s="53"/>
      <c r="AC77" s="121" t="str">
        <f t="shared" si="6"/>
        <v/>
      </c>
      <c r="AD77" s="53"/>
      <c r="AE77" s="122" t="str">
        <f t="array" ref="AE77">IF(OR($C77="",$E77="",$G77="",$I77="",$M77="",$O77="",$Q77="",$S77="",$G77="Unrated"),"",IF($Q77="Y",0,MIN(1,SUM((IF($O77="Y",Cov_Range,Range)=$K77)*(IF($O77="Y",Cov_CQS,CQS)=$G77)*(IF($S77="Y",Gilt_Base,IF($O77="Y",Cov_Bond_Base,Bond_Base))))+IF($I77&lt;1,1,$I77-$K77)*SUM((IF($O77="Y",Cov_Range,Range)=$K77)*(IF($O77="Y",Cov_CQS,CQS)=$G77)*(IF($S77="Y",Gilt_Mult,IF($O77="Y",Cov_Bond_Mult,Bond_Mult)))))))</f>
        <v/>
      </c>
      <c r="AF77" s="53"/>
      <c r="AG77" s="122" t="str">
        <f t="array" ref="AG77">IF(OR($C77="",$E77="",$G77="",$I77="",$M77="",$O77="",$Q77="",$S77="",$G77&lt;&gt;"Unrated",$M77="Y"),"",MIN(1,IF(AND(U77&lt;E77,U77&gt;=E77*(1-(SUM((Range=$K77)*(Bond_Base_UR))+IF($I77&lt;1,1,$I77-$K77)*SUM((Range=$K77)*(Bond_Mult_UR))))),0.5*((SUM((Range=$K77)*(Bond_Base_UR))+IF($I77&lt;1,1,$I77-$K77)*SUM((Range=$K77)*(Bond_Mult_UR)))+((E77-U77)/E77)),IF(U77&gt;=E77,0.5,1)*(SUM((Range=$K77)*(Bond_Base_UR))+IF($I77&lt;1,1,$I77-$K77)*SUM((Range=$K77)*(Bond_Mult_UR))))))</f>
        <v/>
      </c>
      <c r="AH77" s="53"/>
      <c r="AI77" s="122" t="str">
        <f t="array" ref="AI77">IF(OR($C77="",$E77="",$G77="",$I77="",$M77="",$O77="",$Q77="",$S77="",$G77&lt;&gt;"Unrated",$M77&lt;&gt;"Y"),"",MIN(1,IF(OR($W77&lt;&gt;"Y",$AA77=$AC77),SUM((Range=$K77)*(CQS=IF($W77&lt;&gt;"Y",0,IF($AC77=196%,1,6)))*(IF($W77&lt;&gt;"Y",Bond_Base_MCR,Bond_Base)))+IF($I77&lt;1,1,$I77-$K77)*SUM((Range=$K77)*(CQS=IF($W77&lt;&gt;"Y",0,IF($AC77=196%,1,6)))*(IF($W77&lt;&gt;"Y",Bond_Mult_MCR,Bond_Mult))),((SUM((Range=$K77)*(CQS=HLOOKUP($AA77,Solv_Ratio_CQS_Map,2,0))*(Bond_Base))+IF($I77&lt;1,1,$I77-$K77)*SUM((Range=$K77)*(CQS=HLOOKUP($AA77,Solv_Ratio_CQS_Map,2,0))*(Bond_Mult)))*($AC77-$Y77)+(SUM((Range=$K77)*(CQS=HLOOKUP($AC77,Solv_Ratio_CQS_Map,2,0))*(Bond_Base))+IF($I77&lt;1,1,$I77-$K77)*SUM((Range=$K77)*(CQS=HLOOKUP($AC77,Solv_Ratio_CQS_Map,2,0))*(Bond_Mult)))*($Y77-$AA77))/($AC77-$AA77))))</f>
        <v/>
      </c>
      <c r="AJ77" s="53"/>
      <c r="AK77" s="121" t="str">
        <f t="shared" si="3"/>
        <v/>
      </c>
      <c r="AL77" s="53"/>
      <c r="AM77" s="123" t="str">
        <f t="shared" si="4"/>
        <v/>
      </c>
      <c r="AN77" s="115"/>
    </row>
    <row r="78" spans="2:40" x14ac:dyDescent="0.2">
      <c r="B78" s="116"/>
      <c r="C78" s="207"/>
      <c r="D78" s="53"/>
      <c r="E78" s="208"/>
      <c r="F78" s="53"/>
      <c r="G78" s="209"/>
      <c r="H78" s="53"/>
      <c r="I78" s="210"/>
      <c r="J78" s="53"/>
      <c r="K78" s="118" t="str">
        <f t="shared" si="2"/>
        <v/>
      </c>
      <c r="L78" s="53"/>
      <c r="M78" s="211"/>
      <c r="N78" s="53"/>
      <c r="O78" s="211"/>
      <c r="P78" s="53"/>
      <c r="Q78" s="211"/>
      <c r="R78" s="53"/>
      <c r="S78" s="211"/>
      <c r="T78" s="53"/>
      <c r="U78" s="117"/>
      <c r="V78" s="53"/>
      <c r="W78" s="119"/>
      <c r="X78" s="53"/>
      <c r="Y78" s="120"/>
      <c r="Z78" s="53"/>
      <c r="AA78" s="121" t="str">
        <f t="shared" si="5"/>
        <v/>
      </c>
      <c r="AB78" s="53"/>
      <c r="AC78" s="121" t="str">
        <f t="shared" si="6"/>
        <v/>
      </c>
      <c r="AD78" s="53"/>
      <c r="AE78" s="122" t="str">
        <f t="array" ref="AE78">IF(OR($C78="",$E78="",$G78="",$I78="",$M78="",$O78="",$Q78="",$S78="",$G78="Unrated"),"",IF($Q78="Y",0,MIN(1,SUM((IF($O78="Y",Cov_Range,Range)=$K78)*(IF($O78="Y",Cov_CQS,CQS)=$G78)*(IF($S78="Y",Gilt_Base,IF($O78="Y",Cov_Bond_Base,Bond_Base))))+IF($I78&lt;1,1,$I78-$K78)*SUM((IF($O78="Y",Cov_Range,Range)=$K78)*(IF($O78="Y",Cov_CQS,CQS)=$G78)*(IF($S78="Y",Gilt_Mult,IF($O78="Y",Cov_Bond_Mult,Bond_Mult)))))))</f>
        <v/>
      </c>
      <c r="AF78" s="53"/>
      <c r="AG78" s="122" t="str">
        <f t="array" ref="AG78">IF(OR($C78="",$E78="",$G78="",$I78="",$M78="",$O78="",$Q78="",$S78="",$G78&lt;&gt;"Unrated",$M78="Y"),"",MIN(1,IF(AND(U78&lt;E78,U78&gt;=E78*(1-(SUM((Range=$K78)*(Bond_Base_UR))+IF($I78&lt;1,1,$I78-$K78)*SUM((Range=$K78)*(Bond_Mult_UR))))),0.5*((SUM((Range=$K78)*(Bond_Base_UR))+IF($I78&lt;1,1,$I78-$K78)*SUM((Range=$K78)*(Bond_Mult_UR)))+((E78-U78)/E78)),IF(U78&gt;=E78,0.5,1)*(SUM((Range=$K78)*(Bond_Base_UR))+IF($I78&lt;1,1,$I78-$K78)*SUM((Range=$K78)*(Bond_Mult_UR))))))</f>
        <v/>
      </c>
      <c r="AH78" s="53"/>
      <c r="AI78" s="122" t="str">
        <f t="array" ref="AI78">IF(OR($C78="",$E78="",$G78="",$I78="",$M78="",$O78="",$Q78="",$S78="",$G78&lt;&gt;"Unrated",$M78&lt;&gt;"Y"),"",MIN(1,IF(OR($W78&lt;&gt;"Y",$AA78=$AC78),SUM((Range=$K78)*(CQS=IF($W78&lt;&gt;"Y",0,IF($AC78=196%,1,6)))*(IF($W78&lt;&gt;"Y",Bond_Base_MCR,Bond_Base)))+IF($I78&lt;1,1,$I78-$K78)*SUM((Range=$K78)*(CQS=IF($W78&lt;&gt;"Y",0,IF($AC78=196%,1,6)))*(IF($W78&lt;&gt;"Y",Bond_Mult_MCR,Bond_Mult))),((SUM((Range=$K78)*(CQS=HLOOKUP($AA78,Solv_Ratio_CQS_Map,2,0))*(Bond_Base))+IF($I78&lt;1,1,$I78-$K78)*SUM((Range=$K78)*(CQS=HLOOKUP($AA78,Solv_Ratio_CQS_Map,2,0))*(Bond_Mult)))*($AC78-$Y78)+(SUM((Range=$K78)*(CQS=HLOOKUP($AC78,Solv_Ratio_CQS_Map,2,0))*(Bond_Base))+IF($I78&lt;1,1,$I78-$K78)*SUM((Range=$K78)*(CQS=HLOOKUP($AC78,Solv_Ratio_CQS_Map,2,0))*(Bond_Mult)))*($Y78-$AA78))/($AC78-$AA78))))</f>
        <v/>
      </c>
      <c r="AJ78" s="53"/>
      <c r="AK78" s="121" t="str">
        <f t="shared" si="3"/>
        <v/>
      </c>
      <c r="AL78" s="53"/>
      <c r="AM78" s="123" t="str">
        <f t="shared" si="4"/>
        <v/>
      </c>
      <c r="AN78" s="115"/>
    </row>
    <row r="79" spans="2:40" x14ac:dyDescent="0.2">
      <c r="B79" s="116"/>
      <c r="C79" s="207"/>
      <c r="D79" s="53"/>
      <c r="E79" s="208"/>
      <c r="F79" s="53"/>
      <c r="G79" s="209"/>
      <c r="H79" s="53"/>
      <c r="I79" s="210"/>
      <c r="J79" s="53"/>
      <c r="K79" s="118" t="str">
        <f t="shared" si="2"/>
        <v/>
      </c>
      <c r="L79" s="53"/>
      <c r="M79" s="211"/>
      <c r="N79" s="53"/>
      <c r="O79" s="211"/>
      <c r="P79" s="53"/>
      <c r="Q79" s="211"/>
      <c r="R79" s="53"/>
      <c r="S79" s="211"/>
      <c r="T79" s="53"/>
      <c r="U79" s="117"/>
      <c r="V79" s="53"/>
      <c r="W79" s="119"/>
      <c r="X79" s="53"/>
      <c r="Y79" s="120"/>
      <c r="Z79" s="53"/>
      <c r="AA79" s="121" t="str">
        <f t="shared" si="5"/>
        <v/>
      </c>
      <c r="AB79" s="53"/>
      <c r="AC79" s="121" t="str">
        <f t="shared" si="6"/>
        <v/>
      </c>
      <c r="AD79" s="53"/>
      <c r="AE79" s="122" t="str">
        <f t="array" ref="AE79">IF(OR($C79="",$E79="",$G79="",$I79="",$M79="",$O79="",$Q79="",$S79="",$G79="Unrated"),"",IF($Q79="Y",0,MIN(1,SUM((IF($O79="Y",Cov_Range,Range)=$K79)*(IF($O79="Y",Cov_CQS,CQS)=$G79)*(IF($S79="Y",Gilt_Base,IF($O79="Y",Cov_Bond_Base,Bond_Base))))+IF($I79&lt;1,1,$I79-$K79)*SUM((IF($O79="Y",Cov_Range,Range)=$K79)*(IF($O79="Y",Cov_CQS,CQS)=$G79)*(IF($S79="Y",Gilt_Mult,IF($O79="Y",Cov_Bond_Mult,Bond_Mult)))))))</f>
        <v/>
      </c>
      <c r="AF79" s="53"/>
      <c r="AG79" s="122" t="str">
        <f t="array" ref="AG79">IF(OR($C79="",$E79="",$G79="",$I79="",$M79="",$O79="",$Q79="",$S79="",$G79&lt;&gt;"Unrated",$M79="Y"),"",MIN(1,IF(AND(U79&lt;E79,U79&gt;=E79*(1-(SUM((Range=$K79)*(Bond_Base_UR))+IF($I79&lt;1,1,$I79-$K79)*SUM((Range=$K79)*(Bond_Mult_UR))))),0.5*((SUM((Range=$K79)*(Bond_Base_UR))+IF($I79&lt;1,1,$I79-$K79)*SUM((Range=$K79)*(Bond_Mult_UR)))+((E79-U79)/E79)),IF(U79&gt;=E79,0.5,1)*(SUM((Range=$K79)*(Bond_Base_UR))+IF($I79&lt;1,1,$I79-$K79)*SUM((Range=$K79)*(Bond_Mult_UR))))))</f>
        <v/>
      </c>
      <c r="AH79" s="53"/>
      <c r="AI79" s="122" t="str">
        <f t="array" ref="AI79">IF(OR($C79="",$E79="",$G79="",$I79="",$M79="",$O79="",$Q79="",$S79="",$G79&lt;&gt;"Unrated",$M79&lt;&gt;"Y"),"",MIN(1,IF(OR($W79&lt;&gt;"Y",$AA79=$AC79),SUM((Range=$K79)*(CQS=IF($W79&lt;&gt;"Y",0,IF($AC79=196%,1,6)))*(IF($W79&lt;&gt;"Y",Bond_Base_MCR,Bond_Base)))+IF($I79&lt;1,1,$I79-$K79)*SUM((Range=$K79)*(CQS=IF($W79&lt;&gt;"Y",0,IF($AC79=196%,1,6)))*(IF($W79&lt;&gt;"Y",Bond_Mult_MCR,Bond_Mult))),((SUM((Range=$K79)*(CQS=HLOOKUP($AA79,Solv_Ratio_CQS_Map,2,0))*(Bond_Base))+IF($I79&lt;1,1,$I79-$K79)*SUM((Range=$K79)*(CQS=HLOOKUP($AA79,Solv_Ratio_CQS_Map,2,0))*(Bond_Mult)))*($AC79-$Y79)+(SUM((Range=$K79)*(CQS=HLOOKUP($AC79,Solv_Ratio_CQS_Map,2,0))*(Bond_Base))+IF($I79&lt;1,1,$I79-$K79)*SUM((Range=$K79)*(CQS=HLOOKUP($AC79,Solv_Ratio_CQS_Map,2,0))*(Bond_Mult)))*($Y79-$AA79))/($AC79-$AA79))))</f>
        <v/>
      </c>
      <c r="AJ79" s="53"/>
      <c r="AK79" s="121" t="str">
        <f t="shared" si="3"/>
        <v/>
      </c>
      <c r="AL79" s="53"/>
      <c r="AM79" s="123" t="str">
        <f t="shared" si="4"/>
        <v/>
      </c>
      <c r="AN79" s="115"/>
    </row>
    <row r="80" spans="2:40" x14ac:dyDescent="0.2">
      <c r="B80" s="116"/>
      <c r="C80" s="207"/>
      <c r="D80" s="53"/>
      <c r="E80" s="208"/>
      <c r="F80" s="53"/>
      <c r="G80" s="209"/>
      <c r="H80" s="53"/>
      <c r="I80" s="210"/>
      <c r="J80" s="53"/>
      <c r="K80" s="118" t="str">
        <f t="shared" si="2"/>
        <v/>
      </c>
      <c r="L80" s="53"/>
      <c r="M80" s="211"/>
      <c r="N80" s="53"/>
      <c r="O80" s="211"/>
      <c r="P80" s="53"/>
      <c r="Q80" s="211"/>
      <c r="R80" s="53"/>
      <c r="S80" s="211"/>
      <c r="T80" s="53"/>
      <c r="U80" s="117"/>
      <c r="V80" s="53"/>
      <c r="W80" s="119"/>
      <c r="X80" s="53"/>
      <c r="Y80" s="120"/>
      <c r="Z80" s="53"/>
      <c r="AA80" s="121" t="str">
        <f t="shared" si="5"/>
        <v/>
      </c>
      <c r="AB80" s="53"/>
      <c r="AC80" s="121" t="str">
        <f t="shared" si="6"/>
        <v/>
      </c>
      <c r="AD80" s="53"/>
      <c r="AE80" s="122" t="str">
        <f t="array" ref="AE80">IF(OR($C80="",$E80="",$G80="",$I80="",$M80="",$O80="",$Q80="",$S80="",$G80="Unrated"),"",IF($Q80="Y",0,MIN(1,SUM((IF($O80="Y",Cov_Range,Range)=$K80)*(IF($O80="Y",Cov_CQS,CQS)=$G80)*(IF($S80="Y",Gilt_Base,IF($O80="Y",Cov_Bond_Base,Bond_Base))))+IF($I80&lt;1,1,$I80-$K80)*SUM((IF($O80="Y",Cov_Range,Range)=$K80)*(IF($O80="Y",Cov_CQS,CQS)=$G80)*(IF($S80="Y",Gilt_Mult,IF($O80="Y",Cov_Bond_Mult,Bond_Mult)))))))</f>
        <v/>
      </c>
      <c r="AF80" s="53"/>
      <c r="AG80" s="122" t="str">
        <f t="array" ref="AG80">IF(OR($C80="",$E80="",$G80="",$I80="",$M80="",$O80="",$Q80="",$S80="",$G80&lt;&gt;"Unrated",$M80="Y"),"",MIN(1,IF(AND(U80&lt;E80,U80&gt;=E80*(1-(SUM((Range=$K80)*(Bond_Base_UR))+IF($I80&lt;1,1,$I80-$K80)*SUM((Range=$K80)*(Bond_Mult_UR))))),0.5*((SUM((Range=$K80)*(Bond_Base_UR))+IF($I80&lt;1,1,$I80-$K80)*SUM((Range=$K80)*(Bond_Mult_UR)))+((E80-U80)/E80)),IF(U80&gt;=E80,0.5,1)*(SUM((Range=$K80)*(Bond_Base_UR))+IF($I80&lt;1,1,$I80-$K80)*SUM((Range=$K80)*(Bond_Mult_UR))))))</f>
        <v/>
      </c>
      <c r="AH80" s="53"/>
      <c r="AI80" s="122" t="str">
        <f t="array" ref="AI80">IF(OR($C80="",$E80="",$G80="",$I80="",$M80="",$O80="",$Q80="",$S80="",$G80&lt;&gt;"Unrated",$M80&lt;&gt;"Y"),"",MIN(1,IF(OR($W80&lt;&gt;"Y",$AA80=$AC80),SUM((Range=$K80)*(CQS=IF($W80&lt;&gt;"Y",0,IF($AC80=196%,1,6)))*(IF($W80&lt;&gt;"Y",Bond_Base_MCR,Bond_Base)))+IF($I80&lt;1,1,$I80-$K80)*SUM((Range=$K80)*(CQS=IF($W80&lt;&gt;"Y",0,IF($AC80=196%,1,6)))*(IF($W80&lt;&gt;"Y",Bond_Mult_MCR,Bond_Mult))),((SUM((Range=$K80)*(CQS=HLOOKUP($AA80,Solv_Ratio_CQS_Map,2,0))*(Bond_Base))+IF($I80&lt;1,1,$I80-$K80)*SUM((Range=$K80)*(CQS=HLOOKUP($AA80,Solv_Ratio_CQS_Map,2,0))*(Bond_Mult)))*($AC80-$Y80)+(SUM((Range=$K80)*(CQS=HLOOKUP($AC80,Solv_Ratio_CQS_Map,2,0))*(Bond_Base))+IF($I80&lt;1,1,$I80-$K80)*SUM((Range=$K80)*(CQS=HLOOKUP($AC80,Solv_Ratio_CQS_Map,2,0))*(Bond_Mult)))*($Y80-$AA80))/($AC80-$AA80))))</f>
        <v/>
      </c>
      <c r="AJ80" s="53"/>
      <c r="AK80" s="121" t="str">
        <f t="shared" si="3"/>
        <v/>
      </c>
      <c r="AL80" s="53"/>
      <c r="AM80" s="123" t="str">
        <f t="shared" si="4"/>
        <v/>
      </c>
      <c r="AN80" s="115"/>
    </row>
    <row r="81" spans="2:40" x14ac:dyDescent="0.2">
      <c r="B81" s="116"/>
      <c r="C81" s="207"/>
      <c r="D81" s="53"/>
      <c r="E81" s="208"/>
      <c r="F81" s="53"/>
      <c r="G81" s="209"/>
      <c r="H81" s="53"/>
      <c r="I81" s="210"/>
      <c r="J81" s="53"/>
      <c r="K81" s="118" t="str">
        <f t="shared" si="2"/>
        <v/>
      </c>
      <c r="L81" s="53"/>
      <c r="M81" s="211"/>
      <c r="N81" s="53"/>
      <c r="O81" s="211"/>
      <c r="P81" s="53"/>
      <c r="Q81" s="211"/>
      <c r="R81" s="53"/>
      <c r="S81" s="211"/>
      <c r="T81" s="53"/>
      <c r="U81" s="117"/>
      <c r="V81" s="53"/>
      <c r="W81" s="119"/>
      <c r="X81" s="53"/>
      <c r="Y81" s="120"/>
      <c r="Z81" s="53"/>
      <c r="AA81" s="121" t="str">
        <f t="shared" si="5"/>
        <v/>
      </c>
      <c r="AB81" s="53"/>
      <c r="AC81" s="121" t="str">
        <f t="shared" si="6"/>
        <v/>
      </c>
      <c r="AD81" s="53"/>
      <c r="AE81" s="122" t="str">
        <f t="array" ref="AE81">IF(OR($C81="",$E81="",$G81="",$I81="",$M81="",$O81="",$Q81="",$S81="",$G81="Unrated"),"",IF($Q81="Y",0,MIN(1,SUM((IF($O81="Y",Cov_Range,Range)=$K81)*(IF($O81="Y",Cov_CQS,CQS)=$G81)*(IF($S81="Y",Gilt_Base,IF($O81="Y",Cov_Bond_Base,Bond_Base))))+IF($I81&lt;1,1,$I81-$K81)*SUM((IF($O81="Y",Cov_Range,Range)=$K81)*(IF($O81="Y",Cov_CQS,CQS)=$G81)*(IF($S81="Y",Gilt_Mult,IF($O81="Y",Cov_Bond_Mult,Bond_Mult)))))))</f>
        <v/>
      </c>
      <c r="AF81" s="53"/>
      <c r="AG81" s="122" t="str">
        <f t="array" ref="AG81">IF(OR($C81="",$E81="",$G81="",$I81="",$M81="",$O81="",$Q81="",$S81="",$G81&lt;&gt;"Unrated",$M81="Y"),"",MIN(1,IF(AND(U81&lt;E81,U81&gt;=E81*(1-(SUM((Range=$K81)*(Bond_Base_UR))+IF($I81&lt;1,1,$I81-$K81)*SUM((Range=$K81)*(Bond_Mult_UR))))),0.5*((SUM((Range=$K81)*(Bond_Base_UR))+IF($I81&lt;1,1,$I81-$K81)*SUM((Range=$K81)*(Bond_Mult_UR)))+((E81-U81)/E81)),IF(U81&gt;=E81,0.5,1)*(SUM((Range=$K81)*(Bond_Base_UR))+IF($I81&lt;1,1,$I81-$K81)*SUM((Range=$K81)*(Bond_Mult_UR))))))</f>
        <v/>
      </c>
      <c r="AH81" s="53"/>
      <c r="AI81" s="122" t="str">
        <f t="array" ref="AI81">IF(OR($C81="",$E81="",$G81="",$I81="",$M81="",$O81="",$Q81="",$S81="",$G81&lt;&gt;"Unrated",$M81&lt;&gt;"Y"),"",MIN(1,IF(OR($W81&lt;&gt;"Y",$AA81=$AC81),SUM((Range=$K81)*(CQS=IF($W81&lt;&gt;"Y",0,IF($AC81=196%,1,6)))*(IF($W81&lt;&gt;"Y",Bond_Base_MCR,Bond_Base)))+IF($I81&lt;1,1,$I81-$K81)*SUM((Range=$K81)*(CQS=IF($W81&lt;&gt;"Y",0,IF($AC81=196%,1,6)))*(IF($W81&lt;&gt;"Y",Bond_Mult_MCR,Bond_Mult))),((SUM((Range=$K81)*(CQS=HLOOKUP($AA81,Solv_Ratio_CQS_Map,2,0))*(Bond_Base))+IF($I81&lt;1,1,$I81-$K81)*SUM((Range=$K81)*(CQS=HLOOKUP($AA81,Solv_Ratio_CQS_Map,2,0))*(Bond_Mult)))*($AC81-$Y81)+(SUM((Range=$K81)*(CQS=HLOOKUP($AC81,Solv_Ratio_CQS_Map,2,0))*(Bond_Base))+IF($I81&lt;1,1,$I81-$K81)*SUM((Range=$K81)*(CQS=HLOOKUP($AC81,Solv_Ratio_CQS_Map,2,0))*(Bond_Mult)))*($Y81-$AA81))/($AC81-$AA81))))</f>
        <v/>
      </c>
      <c r="AJ81" s="53"/>
      <c r="AK81" s="121" t="str">
        <f t="shared" si="3"/>
        <v/>
      </c>
      <c r="AL81" s="53"/>
      <c r="AM81" s="123" t="str">
        <f t="shared" si="4"/>
        <v/>
      </c>
      <c r="AN81" s="115"/>
    </row>
    <row r="82" spans="2:40" x14ac:dyDescent="0.2">
      <c r="B82" s="116"/>
      <c r="C82" s="207"/>
      <c r="D82" s="53"/>
      <c r="E82" s="208"/>
      <c r="F82" s="53"/>
      <c r="G82" s="209"/>
      <c r="H82" s="53"/>
      <c r="I82" s="210"/>
      <c r="J82" s="53"/>
      <c r="K82" s="118" t="str">
        <f t="shared" si="2"/>
        <v/>
      </c>
      <c r="L82" s="53"/>
      <c r="M82" s="211"/>
      <c r="N82" s="53"/>
      <c r="O82" s="211"/>
      <c r="P82" s="53"/>
      <c r="Q82" s="211"/>
      <c r="R82" s="53"/>
      <c r="S82" s="211"/>
      <c r="T82" s="53"/>
      <c r="U82" s="117"/>
      <c r="V82" s="53"/>
      <c r="W82" s="119"/>
      <c r="X82" s="53"/>
      <c r="Y82" s="120"/>
      <c r="Z82" s="53"/>
      <c r="AA82" s="121" t="str">
        <f t="shared" si="5"/>
        <v/>
      </c>
      <c r="AB82" s="53"/>
      <c r="AC82" s="121" t="str">
        <f t="shared" si="6"/>
        <v/>
      </c>
      <c r="AD82" s="53"/>
      <c r="AE82" s="122" t="str">
        <f t="array" ref="AE82">IF(OR($C82="",$E82="",$G82="",$I82="",$M82="",$O82="",$Q82="",$S82="",$G82="Unrated"),"",IF($Q82="Y",0,MIN(1,SUM((IF($O82="Y",Cov_Range,Range)=$K82)*(IF($O82="Y",Cov_CQS,CQS)=$G82)*(IF($S82="Y",Gilt_Base,IF($O82="Y",Cov_Bond_Base,Bond_Base))))+IF($I82&lt;1,1,$I82-$K82)*SUM((IF($O82="Y",Cov_Range,Range)=$K82)*(IF($O82="Y",Cov_CQS,CQS)=$G82)*(IF($S82="Y",Gilt_Mult,IF($O82="Y",Cov_Bond_Mult,Bond_Mult)))))))</f>
        <v/>
      </c>
      <c r="AF82" s="53"/>
      <c r="AG82" s="122" t="str">
        <f t="array" ref="AG82">IF(OR($C82="",$E82="",$G82="",$I82="",$M82="",$O82="",$Q82="",$S82="",$G82&lt;&gt;"Unrated",$M82="Y"),"",MIN(1,IF(AND(U82&lt;E82,U82&gt;=E82*(1-(SUM((Range=$K82)*(Bond_Base_UR))+IF($I82&lt;1,1,$I82-$K82)*SUM((Range=$K82)*(Bond_Mult_UR))))),0.5*((SUM((Range=$K82)*(Bond_Base_UR))+IF($I82&lt;1,1,$I82-$K82)*SUM((Range=$K82)*(Bond_Mult_UR)))+((E82-U82)/E82)),IF(U82&gt;=E82,0.5,1)*(SUM((Range=$K82)*(Bond_Base_UR))+IF($I82&lt;1,1,$I82-$K82)*SUM((Range=$K82)*(Bond_Mult_UR))))))</f>
        <v/>
      </c>
      <c r="AH82" s="53"/>
      <c r="AI82" s="122" t="str">
        <f t="array" ref="AI82">IF(OR($C82="",$E82="",$G82="",$I82="",$M82="",$O82="",$Q82="",$S82="",$G82&lt;&gt;"Unrated",$M82&lt;&gt;"Y"),"",MIN(1,IF(OR($W82&lt;&gt;"Y",$AA82=$AC82),SUM((Range=$K82)*(CQS=IF($W82&lt;&gt;"Y",0,IF($AC82=196%,1,6)))*(IF($W82&lt;&gt;"Y",Bond_Base_MCR,Bond_Base)))+IF($I82&lt;1,1,$I82-$K82)*SUM((Range=$K82)*(CQS=IF($W82&lt;&gt;"Y",0,IF($AC82=196%,1,6)))*(IF($W82&lt;&gt;"Y",Bond_Mult_MCR,Bond_Mult))),((SUM((Range=$K82)*(CQS=HLOOKUP($AA82,Solv_Ratio_CQS_Map,2,0))*(Bond_Base))+IF($I82&lt;1,1,$I82-$K82)*SUM((Range=$K82)*(CQS=HLOOKUP($AA82,Solv_Ratio_CQS_Map,2,0))*(Bond_Mult)))*($AC82-$Y82)+(SUM((Range=$K82)*(CQS=HLOOKUP($AC82,Solv_Ratio_CQS_Map,2,0))*(Bond_Base))+IF($I82&lt;1,1,$I82-$K82)*SUM((Range=$K82)*(CQS=HLOOKUP($AC82,Solv_Ratio_CQS_Map,2,0))*(Bond_Mult)))*($Y82-$AA82))/($AC82-$AA82))))</f>
        <v/>
      </c>
      <c r="AJ82" s="53"/>
      <c r="AK82" s="121" t="str">
        <f t="shared" si="3"/>
        <v/>
      </c>
      <c r="AL82" s="53"/>
      <c r="AM82" s="123" t="str">
        <f t="shared" si="4"/>
        <v/>
      </c>
      <c r="AN82" s="115"/>
    </row>
    <row r="83" spans="2:40" x14ac:dyDescent="0.2">
      <c r="B83" s="116"/>
      <c r="C83" s="207"/>
      <c r="D83" s="53"/>
      <c r="E83" s="208"/>
      <c r="F83" s="53"/>
      <c r="G83" s="209"/>
      <c r="H83" s="53"/>
      <c r="I83" s="210"/>
      <c r="J83" s="53"/>
      <c r="K83" s="118" t="str">
        <f t="shared" si="2"/>
        <v/>
      </c>
      <c r="L83" s="53"/>
      <c r="M83" s="211"/>
      <c r="N83" s="53"/>
      <c r="O83" s="211"/>
      <c r="P83" s="53"/>
      <c r="Q83" s="211"/>
      <c r="R83" s="53"/>
      <c r="S83" s="211"/>
      <c r="T83" s="53"/>
      <c r="U83" s="117"/>
      <c r="V83" s="53"/>
      <c r="W83" s="119"/>
      <c r="X83" s="53"/>
      <c r="Y83" s="120"/>
      <c r="Z83" s="53"/>
      <c r="AA83" s="121" t="str">
        <f t="shared" si="5"/>
        <v/>
      </c>
      <c r="AB83" s="53"/>
      <c r="AC83" s="121" t="str">
        <f t="shared" si="6"/>
        <v/>
      </c>
      <c r="AD83" s="53"/>
      <c r="AE83" s="122" t="str">
        <f t="array" ref="AE83">IF(OR($C83="",$E83="",$G83="",$I83="",$M83="",$O83="",$Q83="",$S83="",$G83="Unrated"),"",IF($Q83="Y",0,MIN(1,SUM((IF($O83="Y",Cov_Range,Range)=$K83)*(IF($O83="Y",Cov_CQS,CQS)=$G83)*(IF($S83="Y",Gilt_Base,IF($O83="Y",Cov_Bond_Base,Bond_Base))))+IF($I83&lt;1,1,$I83-$K83)*SUM((IF($O83="Y",Cov_Range,Range)=$K83)*(IF($O83="Y",Cov_CQS,CQS)=$G83)*(IF($S83="Y",Gilt_Mult,IF($O83="Y",Cov_Bond_Mult,Bond_Mult)))))))</f>
        <v/>
      </c>
      <c r="AF83" s="53"/>
      <c r="AG83" s="122" t="str">
        <f t="array" ref="AG83">IF(OR($C83="",$E83="",$G83="",$I83="",$M83="",$O83="",$Q83="",$S83="",$G83&lt;&gt;"Unrated",$M83="Y"),"",MIN(1,IF(AND(U83&lt;E83,U83&gt;=E83*(1-(SUM((Range=$K83)*(Bond_Base_UR))+IF($I83&lt;1,1,$I83-$K83)*SUM((Range=$K83)*(Bond_Mult_UR))))),0.5*((SUM((Range=$K83)*(Bond_Base_UR))+IF($I83&lt;1,1,$I83-$K83)*SUM((Range=$K83)*(Bond_Mult_UR)))+((E83-U83)/E83)),IF(U83&gt;=E83,0.5,1)*(SUM((Range=$K83)*(Bond_Base_UR))+IF($I83&lt;1,1,$I83-$K83)*SUM((Range=$K83)*(Bond_Mult_UR))))))</f>
        <v/>
      </c>
      <c r="AH83" s="53"/>
      <c r="AI83" s="122" t="str">
        <f t="array" ref="AI83">IF(OR($C83="",$E83="",$G83="",$I83="",$M83="",$O83="",$Q83="",$S83="",$G83&lt;&gt;"Unrated",$M83&lt;&gt;"Y"),"",MIN(1,IF(OR($W83&lt;&gt;"Y",$AA83=$AC83),SUM((Range=$K83)*(CQS=IF($W83&lt;&gt;"Y",0,IF($AC83=196%,1,6)))*(IF($W83&lt;&gt;"Y",Bond_Base_MCR,Bond_Base)))+IF($I83&lt;1,1,$I83-$K83)*SUM((Range=$K83)*(CQS=IF($W83&lt;&gt;"Y",0,IF($AC83=196%,1,6)))*(IF($W83&lt;&gt;"Y",Bond_Mult_MCR,Bond_Mult))),((SUM((Range=$K83)*(CQS=HLOOKUP($AA83,Solv_Ratio_CQS_Map,2,0))*(Bond_Base))+IF($I83&lt;1,1,$I83-$K83)*SUM((Range=$K83)*(CQS=HLOOKUP($AA83,Solv_Ratio_CQS_Map,2,0))*(Bond_Mult)))*($AC83-$Y83)+(SUM((Range=$K83)*(CQS=HLOOKUP($AC83,Solv_Ratio_CQS_Map,2,0))*(Bond_Base))+IF($I83&lt;1,1,$I83-$K83)*SUM((Range=$K83)*(CQS=HLOOKUP($AC83,Solv_Ratio_CQS_Map,2,0))*(Bond_Mult)))*($Y83-$AA83))/($AC83-$AA83))))</f>
        <v/>
      </c>
      <c r="AJ83" s="53"/>
      <c r="AK83" s="121" t="str">
        <f t="shared" si="3"/>
        <v/>
      </c>
      <c r="AL83" s="53"/>
      <c r="AM83" s="123" t="str">
        <f t="shared" si="4"/>
        <v/>
      </c>
      <c r="AN83" s="115"/>
    </row>
    <row r="84" spans="2:40" x14ac:dyDescent="0.2">
      <c r="B84" s="116"/>
      <c r="C84" s="207"/>
      <c r="D84" s="53"/>
      <c r="E84" s="208"/>
      <c r="F84" s="53"/>
      <c r="G84" s="209"/>
      <c r="H84" s="53"/>
      <c r="I84" s="210"/>
      <c r="J84" s="53"/>
      <c r="K84" s="118" t="str">
        <f t="shared" si="2"/>
        <v/>
      </c>
      <c r="L84" s="53"/>
      <c r="M84" s="211"/>
      <c r="N84" s="53"/>
      <c r="O84" s="211"/>
      <c r="P84" s="53"/>
      <c r="Q84" s="211"/>
      <c r="R84" s="53"/>
      <c r="S84" s="211"/>
      <c r="T84" s="53"/>
      <c r="U84" s="117"/>
      <c r="V84" s="53"/>
      <c r="W84" s="119"/>
      <c r="X84" s="53"/>
      <c r="Y84" s="120"/>
      <c r="Z84" s="53"/>
      <c r="AA84" s="121" t="str">
        <f t="shared" si="5"/>
        <v/>
      </c>
      <c r="AB84" s="53"/>
      <c r="AC84" s="121" t="str">
        <f t="shared" si="6"/>
        <v/>
      </c>
      <c r="AD84" s="53"/>
      <c r="AE84" s="122" t="str">
        <f t="array" ref="AE84">IF(OR($C84="",$E84="",$G84="",$I84="",$M84="",$O84="",$Q84="",$S84="",$G84="Unrated"),"",IF($Q84="Y",0,MIN(1,SUM((IF($O84="Y",Cov_Range,Range)=$K84)*(IF($O84="Y",Cov_CQS,CQS)=$G84)*(IF($S84="Y",Gilt_Base,IF($O84="Y",Cov_Bond_Base,Bond_Base))))+IF($I84&lt;1,1,$I84-$K84)*SUM((IF($O84="Y",Cov_Range,Range)=$K84)*(IF($O84="Y",Cov_CQS,CQS)=$G84)*(IF($S84="Y",Gilt_Mult,IF($O84="Y",Cov_Bond_Mult,Bond_Mult)))))))</f>
        <v/>
      </c>
      <c r="AF84" s="53"/>
      <c r="AG84" s="122" t="str">
        <f t="array" ref="AG84">IF(OR($C84="",$E84="",$G84="",$I84="",$M84="",$O84="",$Q84="",$S84="",$G84&lt;&gt;"Unrated",$M84="Y"),"",MIN(1,IF(AND(U84&lt;E84,U84&gt;=E84*(1-(SUM((Range=$K84)*(Bond_Base_UR))+IF($I84&lt;1,1,$I84-$K84)*SUM((Range=$K84)*(Bond_Mult_UR))))),0.5*((SUM((Range=$K84)*(Bond_Base_UR))+IF($I84&lt;1,1,$I84-$K84)*SUM((Range=$K84)*(Bond_Mult_UR)))+((E84-U84)/E84)),IF(U84&gt;=E84,0.5,1)*(SUM((Range=$K84)*(Bond_Base_UR))+IF($I84&lt;1,1,$I84-$K84)*SUM((Range=$K84)*(Bond_Mult_UR))))))</f>
        <v/>
      </c>
      <c r="AH84" s="53"/>
      <c r="AI84" s="122" t="str">
        <f t="array" ref="AI84">IF(OR($C84="",$E84="",$G84="",$I84="",$M84="",$O84="",$Q84="",$S84="",$G84&lt;&gt;"Unrated",$M84&lt;&gt;"Y"),"",MIN(1,IF(OR($W84&lt;&gt;"Y",$AA84=$AC84),SUM((Range=$K84)*(CQS=IF($W84&lt;&gt;"Y",0,IF($AC84=196%,1,6)))*(IF($W84&lt;&gt;"Y",Bond_Base_MCR,Bond_Base)))+IF($I84&lt;1,1,$I84-$K84)*SUM((Range=$K84)*(CQS=IF($W84&lt;&gt;"Y",0,IF($AC84=196%,1,6)))*(IF($W84&lt;&gt;"Y",Bond_Mult_MCR,Bond_Mult))),((SUM((Range=$K84)*(CQS=HLOOKUP($AA84,Solv_Ratio_CQS_Map,2,0))*(Bond_Base))+IF($I84&lt;1,1,$I84-$K84)*SUM((Range=$K84)*(CQS=HLOOKUP($AA84,Solv_Ratio_CQS_Map,2,0))*(Bond_Mult)))*($AC84-$Y84)+(SUM((Range=$K84)*(CQS=HLOOKUP($AC84,Solv_Ratio_CQS_Map,2,0))*(Bond_Base))+IF($I84&lt;1,1,$I84-$K84)*SUM((Range=$K84)*(CQS=HLOOKUP($AC84,Solv_Ratio_CQS_Map,2,0))*(Bond_Mult)))*($Y84-$AA84))/($AC84-$AA84))))</f>
        <v/>
      </c>
      <c r="AJ84" s="53"/>
      <c r="AK84" s="121" t="str">
        <f t="shared" si="3"/>
        <v/>
      </c>
      <c r="AL84" s="53"/>
      <c r="AM84" s="123" t="str">
        <f t="shared" si="4"/>
        <v/>
      </c>
      <c r="AN84" s="115"/>
    </row>
    <row r="85" spans="2:40" x14ac:dyDescent="0.2">
      <c r="B85" s="116"/>
      <c r="C85" s="207"/>
      <c r="D85" s="53"/>
      <c r="E85" s="208"/>
      <c r="F85" s="53"/>
      <c r="G85" s="209"/>
      <c r="H85" s="53"/>
      <c r="I85" s="210"/>
      <c r="J85" s="53"/>
      <c r="K85" s="118" t="str">
        <f t="shared" si="2"/>
        <v/>
      </c>
      <c r="L85" s="53"/>
      <c r="M85" s="211"/>
      <c r="N85" s="53"/>
      <c r="O85" s="211"/>
      <c r="P85" s="53"/>
      <c r="Q85" s="211"/>
      <c r="R85" s="53"/>
      <c r="S85" s="211"/>
      <c r="T85" s="53"/>
      <c r="U85" s="117"/>
      <c r="V85" s="53"/>
      <c r="W85" s="119"/>
      <c r="X85" s="53"/>
      <c r="Y85" s="120"/>
      <c r="Z85" s="53"/>
      <c r="AA85" s="121" t="str">
        <f t="shared" si="5"/>
        <v/>
      </c>
      <c r="AB85" s="53"/>
      <c r="AC85" s="121" t="str">
        <f t="shared" si="6"/>
        <v/>
      </c>
      <c r="AD85" s="53"/>
      <c r="AE85" s="122" t="str">
        <f t="array" ref="AE85">IF(OR($C85="",$E85="",$G85="",$I85="",$M85="",$O85="",$Q85="",$S85="",$G85="Unrated"),"",IF($Q85="Y",0,MIN(1,SUM((IF($O85="Y",Cov_Range,Range)=$K85)*(IF($O85="Y",Cov_CQS,CQS)=$G85)*(IF($S85="Y",Gilt_Base,IF($O85="Y",Cov_Bond_Base,Bond_Base))))+IF($I85&lt;1,1,$I85-$K85)*SUM((IF($O85="Y",Cov_Range,Range)=$K85)*(IF($O85="Y",Cov_CQS,CQS)=$G85)*(IF($S85="Y",Gilt_Mult,IF($O85="Y",Cov_Bond_Mult,Bond_Mult)))))))</f>
        <v/>
      </c>
      <c r="AF85" s="53"/>
      <c r="AG85" s="122" t="str">
        <f t="array" ref="AG85">IF(OR($C85="",$E85="",$G85="",$I85="",$M85="",$O85="",$Q85="",$S85="",$G85&lt;&gt;"Unrated",$M85="Y"),"",MIN(1,IF(AND(U85&lt;E85,U85&gt;=E85*(1-(SUM((Range=$K85)*(Bond_Base_UR))+IF($I85&lt;1,1,$I85-$K85)*SUM((Range=$K85)*(Bond_Mult_UR))))),0.5*((SUM((Range=$K85)*(Bond_Base_UR))+IF($I85&lt;1,1,$I85-$K85)*SUM((Range=$K85)*(Bond_Mult_UR)))+((E85-U85)/E85)),IF(U85&gt;=E85,0.5,1)*(SUM((Range=$K85)*(Bond_Base_UR))+IF($I85&lt;1,1,$I85-$K85)*SUM((Range=$K85)*(Bond_Mult_UR))))))</f>
        <v/>
      </c>
      <c r="AH85" s="53"/>
      <c r="AI85" s="122" t="str">
        <f t="array" ref="AI85">IF(OR($C85="",$E85="",$G85="",$I85="",$M85="",$O85="",$Q85="",$S85="",$G85&lt;&gt;"Unrated",$M85&lt;&gt;"Y"),"",MIN(1,IF(OR($W85&lt;&gt;"Y",$AA85=$AC85),SUM((Range=$K85)*(CQS=IF($W85&lt;&gt;"Y",0,IF($AC85=196%,1,6)))*(IF($W85&lt;&gt;"Y",Bond_Base_MCR,Bond_Base)))+IF($I85&lt;1,1,$I85-$K85)*SUM((Range=$K85)*(CQS=IF($W85&lt;&gt;"Y",0,IF($AC85=196%,1,6)))*(IF($W85&lt;&gt;"Y",Bond_Mult_MCR,Bond_Mult))),((SUM((Range=$K85)*(CQS=HLOOKUP($AA85,Solv_Ratio_CQS_Map,2,0))*(Bond_Base))+IF($I85&lt;1,1,$I85-$K85)*SUM((Range=$K85)*(CQS=HLOOKUP($AA85,Solv_Ratio_CQS_Map,2,0))*(Bond_Mult)))*($AC85-$Y85)+(SUM((Range=$K85)*(CQS=HLOOKUP($AC85,Solv_Ratio_CQS_Map,2,0))*(Bond_Base))+IF($I85&lt;1,1,$I85-$K85)*SUM((Range=$K85)*(CQS=HLOOKUP($AC85,Solv_Ratio_CQS_Map,2,0))*(Bond_Mult)))*($Y85-$AA85))/($AC85-$AA85))))</f>
        <v/>
      </c>
      <c r="AJ85" s="53"/>
      <c r="AK85" s="121" t="str">
        <f t="shared" si="3"/>
        <v/>
      </c>
      <c r="AL85" s="53"/>
      <c r="AM85" s="123" t="str">
        <f t="shared" si="4"/>
        <v/>
      </c>
      <c r="AN85" s="115"/>
    </row>
    <row r="86" spans="2:40" x14ac:dyDescent="0.2">
      <c r="B86" s="116"/>
      <c r="C86" s="207"/>
      <c r="D86" s="53"/>
      <c r="E86" s="208"/>
      <c r="F86" s="53"/>
      <c r="G86" s="209"/>
      <c r="H86" s="53"/>
      <c r="I86" s="210"/>
      <c r="J86" s="53"/>
      <c r="K86" s="118" t="str">
        <f t="shared" si="2"/>
        <v/>
      </c>
      <c r="L86" s="53"/>
      <c r="M86" s="211"/>
      <c r="N86" s="53"/>
      <c r="O86" s="211"/>
      <c r="P86" s="53"/>
      <c r="Q86" s="211"/>
      <c r="R86" s="53"/>
      <c r="S86" s="211"/>
      <c r="T86" s="53"/>
      <c r="U86" s="117"/>
      <c r="V86" s="53"/>
      <c r="W86" s="119"/>
      <c r="X86" s="53"/>
      <c r="Y86" s="120"/>
      <c r="Z86" s="53"/>
      <c r="AA86" s="121" t="str">
        <f t="shared" si="5"/>
        <v/>
      </c>
      <c r="AB86" s="53"/>
      <c r="AC86" s="121" t="str">
        <f t="shared" si="6"/>
        <v/>
      </c>
      <c r="AD86" s="53"/>
      <c r="AE86" s="122" t="str">
        <f t="array" ref="AE86">IF(OR($C86="",$E86="",$G86="",$I86="",$M86="",$O86="",$Q86="",$S86="",$G86="Unrated"),"",IF($Q86="Y",0,MIN(1,SUM((IF($O86="Y",Cov_Range,Range)=$K86)*(IF($O86="Y",Cov_CQS,CQS)=$G86)*(IF($S86="Y",Gilt_Base,IF($O86="Y",Cov_Bond_Base,Bond_Base))))+IF($I86&lt;1,1,$I86-$K86)*SUM((IF($O86="Y",Cov_Range,Range)=$K86)*(IF($O86="Y",Cov_CQS,CQS)=$G86)*(IF($S86="Y",Gilt_Mult,IF($O86="Y",Cov_Bond_Mult,Bond_Mult)))))))</f>
        <v/>
      </c>
      <c r="AF86" s="53"/>
      <c r="AG86" s="122" t="str">
        <f t="array" ref="AG86">IF(OR($C86="",$E86="",$G86="",$I86="",$M86="",$O86="",$Q86="",$S86="",$G86&lt;&gt;"Unrated",$M86="Y"),"",MIN(1,IF(AND(U86&lt;E86,U86&gt;=E86*(1-(SUM((Range=$K86)*(Bond_Base_UR))+IF($I86&lt;1,1,$I86-$K86)*SUM((Range=$K86)*(Bond_Mult_UR))))),0.5*((SUM((Range=$K86)*(Bond_Base_UR))+IF($I86&lt;1,1,$I86-$K86)*SUM((Range=$K86)*(Bond_Mult_UR)))+((E86-U86)/E86)),IF(U86&gt;=E86,0.5,1)*(SUM((Range=$K86)*(Bond_Base_UR))+IF($I86&lt;1,1,$I86-$K86)*SUM((Range=$K86)*(Bond_Mult_UR))))))</f>
        <v/>
      </c>
      <c r="AH86" s="53"/>
      <c r="AI86" s="122" t="str">
        <f t="array" ref="AI86">IF(OR($C86="",$E86="",$G86="",$I86="",$M86="",$O86="",$Q86="",$S86="",$G86&lt;&gt;"Unrated",$M86&lt;&gt;"Y"),"",MIN(1,IF(OR($W86&lt;&gt;"Y",$AA86=$AC86),SUM((Range=$K86)*(CQS=IF($W86&lt;&gt;"Y",0,IF($AC86=196%,1,6)))*(IF($W86&lt;&gt;"Y",Bond_Base_MCR,Bond_Base)))+IF($I86&lt;1,1,$I86-$K86)*SUM((Range=$K86)*(CQS=IF($W86&lt;&gt;"Y",0,IF($AC86=196%,1,6)))*(IF($W86&lt;&gt;"Y",Bond_Mult_MCR,Bond_Mult))),((SUM((Range=$K86)*(CQS=HLOOKUP($AA86,Solv_Ratio_CQS_Map,2,0))*(Bond_Base))+IF($I86&lt;1,1,$I86-$K86)*SUM((Range=$K86)*(CQS=HLOOKUP($AA86,Solv_Ratio_CQS_Map,2,0))*(Bond_Mult)))*($AC86-$Y86)+(SUM((Range=$K86)*(CQS=HLOOKUP($AC86,Solv_Ratio_CQS_Map,2,0))*(Bond_Base))+IF($I86&lt;1,1,$I86-$K86)*SUM((Range=$K86)*(CQS=HLOOKUP($AC86,Solv_Ratio_CQS_Map,2,0))*(Bond_Mult)))*($Y86-$AA86))/($AC86-$AA86))))</f>
        <v/>
      </c>
      <c r="AJ86" s="53"/>
      <c r="AK86" s="121" t="str">
        <f t="shared" si="3"/>
        <v/>
      </c>
      <c r="AL86" s="53"/>
      <c r="AM86" s="123" t="str">
        <f t="shared" si="4"/>
        <v/>
      </c>
      <c r="AN86" s="115"/>
    </row>
    <row r="87" spans="2:40" x14ac:dyDescent="0.2">
      <c r="B87" s="116"/>
      <c r="C87" s="207"/>
      <c r="D87" s="53"/>
      <c r="E87" s="208"/>
      <c r="F87" s="53"/>
      <c r="G87" s="209"/>
      <c r="H87" s="53"/>
      <c r="I87" s="210"/>
      <c r="J87" s="53"/>
      <c r="K87" s="118" t="str">
        <f t="shared" si="2"/>
        <v/>
      </c>
      <c r="L87" s="53"/>
      <c r="M87" s="211"/>
      <c r="N87" s="53"/>
      <c r="O87" s="211"/>
      <c r="P87" s="53"/>
      <c r="Q87" s="211"/>
      <c r="R87" s="53"/>
      <c r="S87" s="211"/>
      <c r="T87" s="53"/>
      <c r="U87" s="117"/>
      <c r="V87" s="53"/>
      <c r="W87" s="119"/>
      <c r="X87" s="53"/>
      <c r="Y87" s="120"/>
      <c r="Z87" s="53"/>
      <c r="AA87" s="121" t="str">
        <f t="shared" si="5"/>
        <v/>
      </c>
      <c r="AB87" s="53"/>
      <c r="AC87" s="121" t="str">
        <f t="shared" si="6"/>
        <v/>
      </c>
      <c r="AD87" s="53"/>
      <c r="AE87" s="122" t="str">
        <f t="array" ref="AE87">IF(OR($C87="",$E87="",$G87="",$I87="",$M87="",$O87="",$Q87="",$S87="",$G87="Unrated"),"",IF($Q87="Y",0,MIN(1,SUM((IF($O87="Y",Cov_Range,Range)=$K87)*(IF($O87="Y",Cov_CQS,CQS)=$G87)*(IF($S87="Y",Gilt_Base,IF($O87="Y",Cov_Bond_Base,Bond_Base))))+IF($I87&lt;1,1,$I87-$K87)*SUM((IF($O87="Y",Cov_Range,Range)=$K87)*(IF($O87="Y",Cov_CQS,CQS)=$G87)*(IF($S87="Y",Gilt_Mult,IF($O87="Y",Cov_Bond_Mult,Bond_Mult)))))))</f>
        <v/>
      </c>
      <c r="AF87" s="53"/>
      <c r="AG87" s="122" t="str">
        <f t="array" ref="AG87">IF(OR($C87="",$E87="",$G87="",$I87="",$M87="",$O87="",$Q87="",$S87="",$G87&lt;&gt;"Unrated",$M87="Y"),"",MIN(1,IF(AND(U87&lt;E87,U87&gt;=E87*(1-(SUM((Range=$K87)*(Bond_Base_UR))+IF($I87&lt;1,1,$I87-$K87)*SUM((Range=$K87)*(Bond_Mult_UR))))),0.5*((SUM((Range=$K87)*(Bond_Base_UR))+IF($I87&lt;1,1,$I87-$K87)*SUM((Range=$K87)*(Bond_Mult_UR)))+((E87-U87)/E87)),IF(U87&gt;=E87,0.5,1)*(SUM((Range=$K87)*(Bond_Base_UR))+IF($I87&lt;1,1,$I87-$K87)*SUM((Range=$K87)*(Bond_Mult_UR))))))</f>
        <v/>
      </c>
      <c r="AH87" s="53"/>
      <c r="AI87" s="122" t="str">
        <f t="array" ref="AI87">IF(OR($C87="",$E87="",$G87="",$I87="",$M87="",$O87="",$Q87="",$S87="",$G87&lt;&gt;"Unrated",$M87&lt;&gt;"Y"),"",MIN(1,IF(OR($W87&lt;&gt;"Y",$AA87=$AC87),SUM((Range=$K87)*(CQS=IF($W87&lt;&gt;"Y",0,IF($AC87=196%,1,6)))*(IF($W87&lt;&gt;"Y",Bond_Base_MCR,Bond_Base)))+IF($I87&lt;1,1,$I87-$K87)*SUM((Range=$K87)*(CQS=IF($W87&lt;&gt;"Y",0,IF($AC87=196%,1,6)))*(IF($W87&lt;&gt;"Y",Bond_Mult_MCR,Bond_Mult))),((SUM((Range=$K87)*(CQS=HLOOKUP($AA87,Solv_Ratio_CQS_Map,2,0))*(Bond_Base))+IF($I87&lt;1,1,$I87-$K87)*SUM((Range=$K87)*(CQS=HLOOKUP($AA87,Solv_Ratio_CQS_Map,2,0))*(Bond_Mult)))*($AC87-$Y87)+(SUM((Range=$K87)*(CQS=HLOOKUP($AC87,Solv_Ratio_CQS_Map,2,0))*(Bond_Base))+IF($I87&lt;1,1,$I87-$K87)*SUM((Range=$K87)*(CQS=HLOOKUP($AC87,Solv_Ratio_CQS_Map,2,0))*(Bond_Mult)))*($Y87-$AA87))/($AC87-$AA87))))</f>
        <v/>
      </c>
      <c r="AJ87" s="53"/>
      <c r="AK87" s="121" t="str">
        <f t="shared" si="3"/>
        <v/>
      </c>
      <c r="AL87" s="53"/>
      <c r="AM87" s="123" t="str">
        <f t="shared" si="4"/>
        <v/>
      </c>
      <c r="AN87" s="115"/>
    </row>
    <row r="88" spans="2:40" x14ac:dyDescent="0.2">
      <c r="B88" s="116"/>
      <c r="C88" s="207"/>
      <c r="D88" s="53"/>
      <c r="E88" s="208"/>
      <c r="F88" s="53"/>
      <c r="G88" s="209"/>
      <c r="H88" s="53"/>
      <c r="I88" s="210"/>
      <c r="J88" s="53"/>
      <c r="K88" s="118" t="str">
        <f t="shared" si="2"/>
        <v/>
      </c>
      <c r="L88" s="53"/>
      <c r="M88" s="211"/>
      <c r="N88" s="53"/>
      <c r="O88" s="211"/>
      <c r="P88" s="53"/>
      <c r="Q88" s="211"/>
      <c r="R88" s="53"/>
      <c r="S88" s="211"/>
      <c r="T88" s="53"/>
      <c r="U88" s="117"/>
      <c r="V88" s="53"/>
      <c r="W88" s="119"/>
      <c r="X88" s="53"/>
      <c r="Y88" s="120"/>
      <c r="Z88" s="53"/>
      <c r="AA88" s="121" t="str">
        <f t="shared" si="5"/>
        <v/>
      </c>
      <c r="AB88" s="53"/>
      <c r="AC88" s="121" t="str">
        <f t="shared" si="6"/>
        <v/>
      </c>
      <c r="AD88" s="53"/>
      <c r="AE88" s="122" t="str">
        <f t="array" ref="AE88">IF(OR($C88="",$E88="",$G88="",$I88="",$M88="",$O88="",$Q88="",$S88="",$G88="Unrated"),"",IF($Q88="Y",0,MIN(1,SUM((IF($O88="Y",Cov_Range,Range)=$K88)*(IF($O88="Y",Cov_CQS,CQS)=$G88)*(IF($S88="Y",Gilt_Base,IF($O88="Y",Cov_Bond_Base,Bond_Base))))+IF($I88&lt;1,1,$I88-$K88)*SUM((IF($O88="Y",Cov_Range,Range)=$K88)*(IF($O88="Y",Cov_CQS,CQS)=$G88)*(IF($S88="Y",Gilt_Mult,IF($O88="Y",Cov_Bond_Mult,Bond_Mult)))))))</f>
        <v/>
      </c>
      <c r="AF88" s="53"/>
      <c r="AG88" s="122" t="str">
        <f t="array" ref="AG88">IF(OR($C88="",$E88="",$G88="",$I88="",$M88="",$O88="",$Q88="",$S88="",$G88&lt;&gt;"Unrated",$M88="Y"),"",MIN(1,IF(AND(U88&lt;E88,U88&gt;=E88*(1-(SUM((Range=$K88)*(Bond_Base_UR))+IF($I88&lt;1,1,$I88-$K88)*SUM((Range=$K88)*(Bond_Mult_UR))))),0.5*((SUM((Range=$K88)*(Bond_Base_UR))+IF($I88&lt;1,1,$I88-$K88)*SUM((Range=$K88)*(Bond_Mult_UR)))+((E88-U88)/E88)),IF(U88&gt;=E88,0.5,1)*(SUM((Range=$K88)*(Bond_Base_UR))+IF($I88&lt;1,1,$I88-$K88)*SUM((Range=$K88)*(Bond_Mult_UR))))))</f>
        <v/>
      </c>
      <c r="AH88" s="53"/>
      <c r="AI88" s="122" t="str">
        <f t="array" ref="AI88">IF(OR($C88="",$E88="",$G88="",$I88="",$M88="",$O88="",$Q88="",$S88="",$G88&lt;&gt;"Unrated",$M88&lt;&gt;"Y"),"",MIN(1,IF(OR($W88&lt;&gt;"Y",$AA88=$AC88),SUM((Range=$K88)*(CQS=IF($W88&lt;&gt;"Y",0,IF($AC88=196%,1,6)))*(IF($W88&lt;&gt;"Y",Bond_Base_MCR,Bond_Base)))+IF($I88&lt;1,1,$I88-$K88)*SUM((Range=$K88)*(CQS=IF($W88&lt;&gt;"Y",0,IF($AC88=196%,1,6)))*(IF($W88&lt;&gt;"Y",Bond_Mult_MCR,Bond_Mult))),((SUM((Range=$K88)*(CQS=HLOOKUP($AA88,Solv_Ratio_CQS_Map,2,0))*(Bond_Base))+IF($I88&lt;1,1,$I88-$K88)*SUM((Range=$K88)*(CQS=HLOOKUP($AA88,Solv_Ratio_CQS_Map,2,0))*(Bond_Mult)))*($AC88-$Y88)+(SUM((Range=$K88)*(CQS=HLOOKUP($AC88,Solv_Ratio_CQS_Map,2,0))*(Bond_Base))+IF($I88&lt;1,1,$I88-$K88)*SUM((Range=$K88)*(CQS=HLOOKUP($AC88,Solv_Ratio_CQS_Map,2,0))*(Bond_Mult)))*($Y88-$AA88))/($AC88-$AA88))))</f>
        <v/>
      </c>
      <c r="AJ88" s="53"/>
      <c r="AK88" s="121" t="str">
        <f t="shared" si="3"/>
        <v/>
      </c>
      <c r="AL88" s="53"/>
      <c r="AM88" s="123" t="str">
        <f t="shared" si="4"/>
        <v/>
      </c>
      <c r="AN88" s="115"/>
    </row>
    <row r="89" spans="2:40" x14ac:dyDescent="0.2">
      <c r="B89" s="116"/>
      <c r="C89" s="207"/>
      <c r="D89" s="53"/>
      <c r="E89" s="208"/>
      <c r="F89" s="53"/>
      <c r="G89" s="209"/>
      <c r="H89" s="53"/>
      <c r="I89" s="210"/>
      <c r="J89" s="53"/>
      <c r="K89" s="118" t="str">
        <f t="shared" si="2"/>
        <v/>
      </c>
      <c r="L89" s="53"/>
      <c r="M89" s="211"/>
      <c r="N89" s="53"/>
      <c r="O89" s="211"/>
      <c r="P89" s="53"/>
      <c r="Q89" s="211"/>
      <c r="R89" s="53"/>
      <c r="S89" s="211"/>
      <c r="T89" s="53"/>
      <c r="U89" s="117"/>
      <c r="V89" s="53"/>
      <c r="W89" s="119"/>
      <c r="X89" s="53"/>
      <c r="Y89" s="120"/>
      <c r="Z89" s="53"/>
      <c r="AA89" s="121" t="str">
        <f t="shared" si="5"/>
        <v/>
      </c>
      <c r="AB89" s="53"/>
      <c r="AC89" s="121" t="str">
        <f t="shared" si="6"/>
        <v/>
      </c>
      <c r="AD89" s="53"/>
      <c r="AE89" s="122" t="str">
        <f t="array" ref="AE89">IF(OR($C89="",$E89="",$G89="",$I89="",$M89="",$O89="",$Q89="",$S89="",$G89="Unrated"),"",IF($Q89="Y",0,MIN(1,SUM((IF($O89="Y",Cov_Range,Range)=$K89)*(IF($O89="Y",Cov_CQS,CQS)=$G89)*(IF($S89="Y",Gilt_Base,IF($O89="Y",Cov_Bond_Base,Bond_Base))))+IF($I89&lt;1,1,$I89-$K89)*SUM((IF($O89="Y",Cov_Range,Range)=$K89)*(IF($O89="Y",Cov_CQS,CQS)=$G89)*(IF($S89="Y",Gilt_Mult,IF($O89="Y",Cov_Bond_Mult,Bond_Mult)))))))</f>
        <v/>
      </c>
      <c r="AF89" s="53"/>
      <c r="AG89" s="122" t="str">
        <f t="array" ref="AG89">IF(OR($C89="",$E89="",$G89="",$I89="",$M89="",$O89="",$Q89="",$S89="",$G89&lt;&gt;"Unrated",$M89="Y"),"",MIN(1,IF(AND(U89&lt;E89,U89&gt;=E89*(1-(SUM((Range=$K89)*(Bond_Base_UR))+IF($I89&lt;1,1,$I89-$K89)*SUM((Range=$K89)*(Bond_Mult_UR))))),0.5*((SUM((Range=$K89)*(Bond_Base_UR))+IF($I89&lt;1,1,$I89-$K89)*SUM((Range=$K89)*(Bond_Mult_UR)))+((E89-U89)/E89)),IF(U89&gt;=E89,0.5,1)*(SUM((Range=$K89)*(Bond_Base_UR))+IF($I89&lt;1,1,$I89-$K89)*SUM((Range=$K89)*(Bond_Mult_UR))))))</f>
        <v/>
      </c>
      <c r="AH89" s="53"/>
      <c r="AI89" s="122" t="str">
        <f t="array" ref="AI89">IF(OR($C89="",$E89="",$G89="",$I89="",$M89="",$O89="",$Q89="",$S89="",$G89&lt;&gt;"Unrated",$M89&lt;&gt;"Y"),"",MIN(1,IF(OR($W89&lt;&gt;"Y",$AA89=$AC89),SUM((Range=$K89)*(CQS=IF($W89&lt;&gt;"Y",0,IF($AC89=196%,1,6)))*(IF($W89&lt;&gt;"Y",Bond_Base_MCR,Bond_Base)))+IF($I89&lt;1,1,$I89-$K89)*SUM((Range=$K89)*(CQS=IF($W89&lt;&gt;"Y",0,IF($AC89=196%,1,6)))*(IF($W89&lt;&gt;"Y",Bond_Mult_MCR,Bond_Mult))),((SUM((Range=$K89)*(CQS=HLOOKUP($AA89,Solv_Ratio_CQS_Map,2,0))*(Bond_Base))+IF($I89&lt;1,1,$I89-$K89)*SUM((Range=$K89)*(CQS=HLOOKUP($AA89,Solv_Ratio_CQS_Map,2,0))*(Bond_Mult)))*($AC89-$Y89)+(SUM((Range=$K89)*(CQS=HLOOKUP($AC89,Solv_Ratio_CQS_Map,2,0))*(Bond_Base))+IF($I89&lt;1,1,$I89-$K89)*SUM((Range=$K89)*(CQS=HLOOKUP($AC89,Solv_Ratio_CQS_Map,2,0))*(Bond_Mult)))*($Y89-$AA89))/($AC89-$AA89))))</f>
        <v/>
      </c>
      <c r="AJ89" s="53"/>
      <c r="AK89" s="121" t="str">
        <f t="shared" si="3"/>
        <v/>
      </c>
      <c r="AL89" s="53"/>
      <c r="AM89" s="123" t="str">
        <f t="shared" si="4"/>
        <v/>
      </c>
      <c r="AN89" s="115"/>
    </row>
    <row r="90" spans="2:40" x14ac:dyDescent="0.2">
      <c r="B90" s="116"/>
      <c r="C90" s="207"/>
      <c r="D90" s="53"/>
      <c r="E90" s="208"/>
      <c r="F90" s="53"/>
      <c r="G90" s="209"/>
      <c r="H90" s="53"/>
      <c r="I90" s="210"/>
      <c r="J90" s="53"/>
      <c r="K90" s="118" t="str">
        <f t="shared" si="2"/>
        <v/>
      </c>
      <c r="L90" s="53"/>
      <c r="M90" s="211"/>
      <c r="N90" s="53"/>
      <c r="O90" s="211"/>
      <c r="P90" s="53"/>
      <c r="Q90" s="211"/>
      <c r="R90" s="53"/>
      <c r="S90" s="211"/>
      <c r="T90" s="53"/>
      <c r="U90" s="117"/>
      <c r="V90" s="53"/>
      <c r="W90" s="119"/>
      <c r="X90" s="53"/>
      <c r="Y90" s="120"/>
      <c r="Z90" s="53"/>
      <c r="AA90" s="121" t="str">
        <f t="shared" si="5"/>
        <v/>
      </c>
      <c r="AB90" s="53"/>
      <c r="AC90" s="121" t="str">
        <f t="shared" si="6"/>
        <v/>
      </c>
      <c r="AD90" s="53"/>
      <c r="AE90" s="122" t="str">
        <f t="array" ref="AE90">IF(OR($C90="",$E90="",$G90="",$I90="",$M90="",$O90="",$Q90="",$S90="",$G90="Unrated"),"",IF($Q90="Y",0,MIN(1,SUM((IF($O90="Y",Cov_Range,Range)=$K90)*(IF($O90="Y",Cov_CQS,CQS)=$G90)*(IF($S90="Y",Gilt_Base,IF($O90="Y",Cov_Bond_Base,Bond_Base))))+IF($I90&lt;1,1,$I90-$K90)*SUM((IF($O90="Y",Cov_Range,Range)=$K90)*(IF($O90="Y",Cov_CQS,CQS)=$G90)*(IF($S90="Y",Gilt_Mult,IF($O90="Y",Cov_Bond_Mult,Bond_Mult)))))))</f>
        <v/>
      </c>
      <c r="AF90" s="53"/>
      <c r="AG90" s="122" t="str">
        <f t="array" ref="AG90">IF(OR($C90="",$E90="",$G90="",$I90="",$M90="",$O90="",$Q90="",$S90="",$G90&lt;&gt;"Unrated",$M90="Y"),"",MIN(1,IF(AND(U90&lt;E90,U90&gt;=E90*(1-(SUM((Range=$K90)*(Bond_Base_UR))+IF($I90&lt;1,1,$I90-$K90)*SUM((Range=$K90)*(Bond_Mult_UR))))),0.5*((SUM((Range=$K90)*(Bond_Base_UR))+IF($I90&lt;1,1,$I90-$K90)*SUM((Range=$K90)*(Bond_Mult_UR)))+((E90-U90)/E90)),IF(U90&gt;=E90,0.5,1)*(SUM((Range=$K90)*(Bond_Base_UR))+IF($I90&lt;1,1,$I90-$K90)*SUM((Range=$K90)*(Bond_Mult_UR))))))</f>
        <v/>
      </c>
      <c r="AH90" s="53"/>
      <c r="AI90" s="122" t="str">
        <f t="array" ref="AI90">IF(OR($C90="",$E90="",$G90="",$I90="",$M90="",$O90="",$Q90="",$S90="",$G90&lt;&gt;"Unrated",$M90&lt;&gt;"Y"),"",MIN(1,IF(OR($W90&lt;&gt;"Y",$AA90=$AC90),SUM((Range=$K90)*(CQS=IF($W90&lt;&gt;"Y",0,IF($AC90=196%,1,6)))*(IF($W90&lt;&gt;"Y",Bond_Base_MCR,Bond_Base)))+IF($I90&lt;1,1,$I90-$K90)*SUM((Range=$K90)*(CQS=IF($W90&lt;&gt;"Y",0,IF($AC90=196%,1,6)))*(IF($W90&lt;&gt;"Y",Bond_Mult_MCR,Bond_Mult))),((SUM((Range=$K90)*(CQS=HLOOKUP($AA90,Solv_Ratio_CQS_Map,2,0))*(Bond_Base))+IF($I90&lt;1,1,$I90-$K90)*SUM((Range=$K90)*(CQS=HLOOKUP($AA90,Solv_Ratio_CQS_Map,2,0))*(Bond_Mult)))*($AC90-$Y90)+(SUM((Range=$K90)*(CQS=HLOOKUP($AC90,Solv_Ratio_CQS_Map,2,0))*(Bond_Base))+IF($I90&lt;1,1,$I90-$K90)*SUM((Range=$K90)*(CQS=HLOOKUP($AC90,Solv_Ratio_CQS_Map,2,0))*(Bond_Mult)))*($Y90-$AA90))/($AC90-$AA90))))</f>
        <v/>
      </c>
      <c r="AJ90" s="53"/>
      <c r="AK90" s="121" t="str">
        <f t="shared" si="3"/>
        <v/>
      </c>
      <c r="AL90" s="53"/>
      <c r="AM90" s="123" t="str">
        <f t="shared" si="4"/>
        <v/>
      </c>
      <c r="AN90" s="115"/>
    </row>
    <row r="91" spans="2:40" x14ac:dyDescent="0.2">
      <c r="B91" s="116"/>
      <c r="C91" s="207"/>
      <c r="D91" s="53"/>
      <c r="E91" s="208"/>
      <c r="F91" s="53"/>
      <c r="G91" s="209"/>
      <c r="H91" s="53"/>
      <c r="I91" s="210"/>
      <c r="J91" s="53"/>
      <c r="K91" s="118" t="str">
        <f t="shared" si="2"/>
        <v/>
      </c>
      <c r="L91" s="53"/>
      <c r="M91" s="211"/>
      <c r="N91" s="53"/>
      <c r="O91" s="211"/>
      <c r="P91" s="53"/>
      <c r="Q91" s="211"/>
      <c r="R91" s="53"/>
      <c r="S91" s="211"/>
      <c r="T91" s="53"/>
      <c r="U91" s="117"/>
      <c r="V91" s="53"/>
      <c r="W91" s="119"/>
      <c r="X91" s="53"/>
      <c r="Y91" s="120"/>
      <c r="Z91" s="53"/>
      <c r="AA91" s="121" t="str">
        <f t="shared" si="5"/>
        <v/>
      </c>
      <c r="AB91" s="53"/>
      <c r="AC91" s="121" t="str">
        <f t="shared" si="6"/>
        <v/>
      </c>
      <c r="AD91" s="53"/>
      <c r="AE91" s="122" t="str">
        <f t="array" ref="AE91">IF(OR($C91="",$E91="",$G91="",$I91="",$M91="",$O91="",$Q91="",$S91="",$G91="Unrated"),"",IF($Q91="Y",0,MIN(1,SUM((IF($O91="Y",Cov_Range,Range)=$K91)*(IF($O91="Y",Cov_CQS,CQS)=$G91)*(IF($S91="Y",Gilt_Base,IF($O91="Y",Cov_Bond_Base,Bond_Base))))+IF($I91&lt;1,1,$I91-$K91)*SUM((IF($O91="Y",Cov_Range,Range)=$K91)*(IF($O91="Y",Cov_CQS,CQS)=$G91)*(IF($S91="Y",Gilt_Mult,IF($O91="Y",Cov_Bond_Mult,Bond_Mult)))))))</f>
        <v/>
      </c>
      <c r="AF91" s="53"/>
      <c r="AG91" s="122" t="str">
        <f t="array" ref="AG91">IF(OR($C91="",$E91="",$G91="",$I91="",$M91="",$O91="",$Q91="",$S91="",$G91&lt;&gt;"Unrated",$M91="Y"),"",MIN(1,IF(AND(U91&lt;E91,U91&gt;=E91*(1-(SUM((Range=$K91)*(Bond_Base_UR))+IF($I91&lt;1,1,$I91-$K91)*SUM((Range=$K91)*(Bond_Mult_UR))))),0.5*((SUM((Range=$K91)*(Bond_Base_UR))+IF($I91&lt;1,1,$I91-$K91)*SUM((Range=$K91)*(Bond_Mult_UR)))+((E91-U91)/E91)),IF(U91&gt;=E91,0.5,1)*(SUM((Range=$K91)*(Bond_Base_UR))+IF($I91&lt;1,1,$I91-$K91)*SUM((Range=$K91)*(Bond_Mult_UR))))))</f>
        <v/>
      </c>
      <c r="AH91" s="53"/>
      <c r="AI91" s="122" t="str">
        <f t="array" ref="AI91">IF(OR($C91="",$E91="",$G91="",$I91="",$M91="",$O91="",$Q91="",$S91="",$G91&lt;&gt;"Unrated",$M91&lt;&gt;"Y"),"",MIN(1,IF(OR($W91&lt;&gt;"Y",$AA91=$AC91),SUM((Range=$K91)*(CQS=IF($W91&lt;&gt;"Y",0,IF($AC91=196%,1,6)))*(IF($W91&lt;&gt;"Y",Bond_Base_MCR,Bond_Base)))+IF($I91&lt;1,1,$I91-$K91)*SUM((Range=$K91)*(CQS=IF($W91&lt;&gt;"Y",0,IF($AC91=196%,1,6)))*(IF($W91&lt;&gt;"Y",Bond_Mult_MCR,Bond_Mult))),((SUM((Range=$K91)*(CQS=HLOOKUP($AA91,Solv_Ratio_CQS_Map,2,0))*(Bond_Base))+IF($I91&lt;1,1,$I91-$K91)*SUM((Range=$K91)*(CQS=HLOOKUP($AA91,Solv_Ratio_CQS_Map,2,0))*(Bond_Mult)))*($AC91-$Y91)+(SUM((Range=$K91)*(CQS=HLOOKUP($AC91,Solv_Ratio_CQS_Map,2,0))*(Bond_Base))+IF($I91&lt;1,1,$I91-$K91)*SUM((Range=$K91)*(CQS=HLOOKUP($AC91,Solv_Ratio_CQS_Map,2,0))*(Bond_Mult)))*($Y91-$AA91))/($AC91-$AA91))))</f>
        <v/>
      </c>
      <c r="AJ91" s="53"/>
      <c r="AK91" s="121" t="str">
        <f t="shared" si="3"/>
        <v/>
      </c>
      <c r="AL91" s="53"/>
      <c r="AM91" s="123" t="str">
        <f t="shared" si="4"/>
        <v/>
      </c>
      <c r="AN91" s="115"/>
    </row>
    <row r="92" spans="2:40" x14ac:dyDescent="0.2">
      <c r="B92" s="116"/>
      <c r="C92" s="207"/>
      <c r="D92" s="53"/>
      <c r="E92" s="208"/>
      <c r="F92" s="53"/>
      <c r="G92" s="209"/>
      <c r="H92" s="53"/>
      <c r="I92" s="210"/>
      <c r="J92" s="53"/>
      <c r="K92" s="118" t="str">
        <f t="shared" si="2"/>
        <v/>
      </c>
      <c r="L92" s="53"/>
      <c r="M92" s="211"/>
      <c r="N92" s="53"/>
      <c r="O92" s="211"/>
      <c r="P92" s="53"/>
      <c r="Q92" s="211"/>
      <c r="R92" s="53"/>
      <c r="S92" s="211"/>
      <c r="T92" s="53"/>
      <c r="U92" s="117"/>
      <c r="V92" s="53"/>
      <c r="W92" s="119"/>
      <c r="X92" s="53"/>
      <c r="Y92" s="120"/>
      <c r="Z92" s="53"/>
      <c r="AA92" s="121" t="str">
        <f t="shared" si="5"/>
        <v/>
      </c>
      <c r="AB92" s="53"/>
      <c r="AC92" s="121" t="str">
        <f t="shared" si="6"/>
        <v/>
      </c>
      <c r="AD92" s="53"/>
      <c r="AE92" s="122" t="str">
        <f t="array" ref="AE92">IF(OR($C92="",$E92="",$G92="",$I92="",$M92="",$O92="",$Q92="",$S92="",$G92="Unrated"),"",IF($Q92="Y",0,MIN(1,SUM((IF($O92="Y",Cov_Range,Range)=$K92)*(IF($O92="Y",Cov_CQS,CQS)=$G92)*(IF($S92="Y",Gilt_Base,IF($O92="Y",Cov_Bond_Base,Bond_Base))))+IF($I92&lt;1,1,$I92-$K92)*SUM((IF($O92="Y",Cov_Range,Range)=$K92)*(IF($O92="Y",Cov_CQS,CQS)=$G92)*(IF($S92="Y",Gilt_Mult,IF($O92="Y",Cov_Bond_Mult,Bond_Mult)))))))</f>
        <v/>
      </c>
      <c r="AF92" s="53"/>
      <c r="AG92" s="122" t="str">
        <f t="array" ref="AG92">IF(OR($C92="",$E92="",$G92="",$I92="",$M92="",$O92="",$Q92="",$S92="",$G92&lt;&gt;"Unrated",$M92="Y"),"",MIN(1,IF(AND(U92&lt;E92,U92&gt;=E92*(1-(SUM((Range=$K92)*(Bond_Base_UR))+IF($I92&lt;1,1,$I92-$K92)*SUM((Range=$K92)*(Bond_Mult_UR))))),0.5*((SUM((Range=$K92)*(Bond_Base_UR))+IF($I92&lt;1,1,$I92-$K92)*SUM((Range=$K92)*(Bond_Mult_UR)))+((E92-U92)/E92)),IF(U92&gt;=E92,0.5,1)*(SUM((Range=$K92)*(Bond_Base_UR))+IF($I92&lt;1,1,$I92-$K92)*SUM((Range=$K92)*(Bond_Mult_UR))))))</f>
        <v/>
      </c>
      <c r="AH92" s="53"/>
      <c r="AI92" s="122" t="str">
        <f t="array" ref="AI92">IF(OR($C92="",$E92="",$G92="",$I92="",$M92="",$O92="",$Q92="",$S92="",$G92&lt;&gt;"Unrated",$M92&lt;&gt;"Y"),"",MIN(1,IF(OR($W92&lt;&gt;"Y",$AA92=$AC92),SUM((Range=$K92)*(CQS=IF($W92&lt;&gt;"Y",0,IF($AC92=196%,1,6)))*(IF($W92&lt;&gt;"Y",Bond_Base_MCR,Bond_Base)))+IF($I92&lt;1,1,$I92-$K92)*SUM((Range=$K92)*(CQS=IF($W92&lt;&gt;"Y",0,IF($AC92=196%,1,6)))*(IF($W92&lt;&gt;"Y",Bond_Mult_MCR,Bond_Mult))),((SUM((Range=$K92)*(CQS=HLOOKUP($AA92,Solv_Ratio_CQS_Map,2,0))*(Bond_Base))+IF($I92&lt;1,1,$I92-$K92)*SUM((Range=$K92)*(CQS=HLOOKUP($AA92,Solv_Ratio_CQS_Map,2,0))*(Bond_Mult)))*($AC92-$Y92)+(SUM((Range=$K92)*(CQS=HLOOKUP($AC92,Solv_Ratio_CQS_Map,2,0))*(Bond_Base))+IF($I92&lt;1,1,$I92-$K92)*SUM((Range=$K92)*(CQS=HLOOKUP($AC92,Solv_Ratio_CQS_Map,2,0))*(Bond_Mult)))*($Y92-$AA92))/($AC92-$AA92))))</f>
        <v/>
      </c>
      <c r="AJ92" s="53"/>
      <c r="AK92" s="121" t="str">
        <f t="shared" si="3"/>
        <v/>
      </c>
      <c r="AL92" s="53"/>
      <c r="AM92" s="123" t="str">
        <f t="shared" si="4"/>
        <v/>
      </c>
      <c r="AN92" s="115"/>
    </row>
    <row r="93" spans="2:40" x14ac:dyDescent="0.2">
      <c r="B93" s="116"/>
      <c r="C93" s="207"/>
      <c r="D93" s="53"/>
      <c r="E93" s="208"/>
      <c r="F93" s="53"/>
      <c r="G93" s="209"/>
      <c r="H93" s="53"/>
      <c r="I93" s="210"/>
      <c r="J93" s="53"/>
      <c r="K93" s="118" t="str">
        <f t="shared" si="2"/>
        <v/>
      </c>
      <c r="L93" s="53"/>
      <c r="M93" s="211"/>
      <c r="N93" s="53"/>
      <c r="O93" s="211"/>
      <c r="P93" s="53"/>
      <c r="Q93" s="211"/>
      <c r="R93" s="53"/>
      <c r="S93" s="211"/>
      <c r="T93" s="53"/>
      <c r="U93" s="117"/>
      <c r="V93" s="53"/>
      <c r="W93" s="119"/>
      <c r="X93" s="53"/>
      <c r="Y93" s="120"/>
      <c r="Z93" s="53"/>
      <c r="AA93" s="121" t="str">
        <f t="shared" si="5"/>
        <v/>
      </c>
      <c r="AB93" s="53"/>
      <c r="AC93" s="121" t="str">
        <f t="shared" si="6"/>
        <v/>
      </c>
      <c r="AD93" s="53"/>
      <c r="AE93" s="122" t="str">
        <f t="array" ref="AE93">IF(OR($C93="",$E93="",$G93="",$I93="",$M93="",$O93="",$Q93="",$S93="",$G93="Unrated"),"",IF($Q93="Y",0,MIN(1,SUM((IF($O93="Y",Cov_Range,Range)=$K93)*(IF($O93="Y",Cov_CQS,CQS)=$G93)*(IF($S93="Y",Gilt_Base,IF($O93="Y",Cov_Bond_Base,Bond_Base))))+IF($I93&lt;1,1,$I93-$K93)*SUM((IF($O93="Y",Cov_Range,Range)=$K93)*(IF($O93="Y",Cov_CQS,CQS)=$G93)*(IF($S93="Y",Gilt_Mult,IF($O93="Y",Cov_Bond_Mult,Bond_Mult)))))))</f>
        <v/>
      </c>
      <c r="AF93" s="53"/>
      <c r="AG93" s="122" t="str">
        <f t="array" ref="AG93">IF(OR($C93="",$E93="",$G93="",$I93="",$M93="",$O93="",$Q93="",$S93="",$G93&lt;&gt;"Unrated",$M93="Y"),"",MIN(1,IF(AND(U93&lt;E93,U93&gt;=E93*(1-(SUM((Range=$K93)*(Bond_Base_UR))+IF($I93&lt;1,1,$I93-$K93)*SUM((Range=$K93)*(Bond_Mult_UR))))),0.5*((SUM((Range=$K93)*(Bond_Base_UR))+IF($I93&lt;1,1,$I93-$K93)*SUM((Range=$K93)*(Bond_Mult_UR)))+((E93-U93)/E93)),IF(U93&gt;=E93,0.5,1)*(SUM((Range=$K93)*(Bond_Base_UR))+IF($I93&lt;1,1,$I93-$K93)*SUM((Range=$K93)*(Bond_Mult_UR))))))</f>
        <v/>
      </c>
      <c r="AH93" s="53"/>
      <c r="AI93" s="122" t="str">
        <f t="array" ref="AI93">IF(OR($C93="",$E93="",$G93="",$I93="",$M93="",$O93="",$Q93="",$S93="",$G93&lt;&gt;"Unrated",$M93&lt;&gt;"Y"),"",MIN(1,IF(OR($W93&lt;&gt;"Y",$AA93=$AC93),SUM((Range=$K93)*(CQS=IF($W93&lt;&gt;"Y",0,IF($AC93=196%,1,6)))*(IF($W93&lt;&gt;"Y",Bond_Base_MCR,Bond_Base)))+IF($I93&lt;1,1,$I93-$K93)*SUM((Range=$K93)*(CQS=IF($W93&lt;&gt;"Y",0,IF($AC93=196%,1,6)))*(IF($W93&lt;&gt;"Y",Bond_Mult_MCR,Bond_Mult))),((SUM((Range=$K93)*(CQS=HLOOKUP($AA93,Solv_Ratio_CQS_Map,2,0))*(Bond_Base))+IF($I93&lt;1,1,$I93-$K93)*SUM((Range=$K93)*(CQS=HLOOKUP($AA93,Solv_Ratio_CQS_Map,2,0))*(Bond_Mult)))*($AC93-$Y93)+(SUM((Range=$K93)*(CQS=HLOOKUP($AC93,Solv_Ratio_CQS_Map,2,0))*(Bond_Base))+IF($I93&lt;1,1,$I93-$K93)*SUM((Range=$K93)*(CQS=HLOOKUP($AC93,Solv_Ratio_CQS_Map,2,0))*(Bond_Mult)))*($Y93-$AA93))/($AC93-$AA93))))</f>
        <v/>
      </c>
      <c r="AJ93" s="53"/>
      <c r="AK93" s="121" t="str">
        <f t="shared" si="3"/>
        <v/>
      </c>
      <c r="AL93" s="53"/>
      <c r="AM93" s="123" t="str">
        <f t="shared" si="4"/>
        <v/>
      </c>
      <c r="AN93" s="115"/>
    </row>
    <row r="94" spans="2:40" x14ac:dyDescent="0.2">
      <c r="B94" s="116"/>
      <c r="C94" s="207"/>
      <c r="D94" s="53"/>
      <c r="E94" s="208"/>
      <c r="F94" s="53"/>
      <c r="G94" s="209"/>
      <c r="H94" s="53"/>
      <c r="I94" s="210"/>
      <c r="J94" s="53"/>
      <c r="K94" s="118" t="str">
        <f t="shared" si="2"/>
        <v/>
      </c>
      <c r="L94" s="53"/>
      <c r="M94" s="211"/>
      <c r="N94" s="53"/>
      <c r="O94" s="211"/>
      <c r="P94" s="53"/>
      <c r="Q94" s="211"/>
      <c r="R94" s="53"/>
      <c r="S94" s="211"/>
      <c r="T94" s="53"/>
      <c r="U94" s="117"/>
      <c r="V94" s="53"/>
      <c r="W94" s="119"/>
      <c r="X94" s="53"/>
      <c r="Y94" s="120"/>
      <c r="Z94" s="53"/>
      <c r="AA94" s="121" t="str">
        <f t="shared" si="5"/>
        <v/>
      </c>
      <c r="AB94" s="53"/>
      <c r="AC94" s="121" t="str">
        <f t="shared" si="6"/>
        <v/>
      </c>
      <c r="AD94" s="53"/>
      <c r="AE94" s="122" t="str">
        <f t="array" ref="AE94">IF(OR($C94="",$E94="",$G94="",$I94="",$M94="",$O94="",$Q94="",$S94="",$G94="Unrated"),"",IF($Q94="Y",0,MIN(1,SUM((IF($O94="Y",Cov_Range,Range)=$K94)*(IF($O94="Y",Cov_CQS,CQS)=$G94)*(IF($S94="Y",Gilt_Base,IF($O94="Y",Cov_Bond_Base,Bond_Base))))+IF($I94&lt;1,1,$I94-$K94)*SUM((IF($O94="Y",Cov_Range,Range)=$K94)*(IF($O94="Y",Cov_CQS,CQS)=$G94)*(IF($S94="Y",Gilt_Mult,IF($O94="Y",Cov_Bond_Mult,Bond_Mult)))))))</f>
        <v/>
      </c>
      <c r="AF94" s="53"/>
      <c r="AG94" s="122" t="str">
        <f t="array" ref="AG94">IF(OR($C94="",$E94="",$G94="",$I94="",$M94="",$O94="",$Q94="",$S94="",$G94&lt;&gt;"Unrated",$M94="Y"),"",MIN(1,IF(AND(U94&lt;E94,U94&gt;=E94*(1-(SUM((Range=$K94)*(Bond_Base_UR))+IF($I94&lt;1,1,$I94-$K94)*SUM((Range=$K94)*(Bond_Mult_UR))))),0.5*((SUM((Range=$K94)*(Bond_Base_UR))+IF($I94&lt;1,1,$I94-$K94)*SUM((Range=$K94)*(Bond_Mult_UR)))+((E94-U94)/E94)),IF(U94&gt;=E94,0.5,1)*(SUM((Range=$K94)*(Bond_Base_UR))+IF($I94&lt;1,1,$I94-$K94)*SUM((Range=$K94)*(Bond_Mult_UR))))))</f>
        <v/>
      </c>
      <c r="AH94" s="53"/>
      <c r="AI94" s="122" t="str">
        <f t="array" ref="AI94">IF(OR($C94="",$E94="",$G94="",$I94="",$M94="",$O94="",$Q94="",$S94="",$G94&lt;&gt;"Unrated",$M94&lt;&gt;"Y"),"",MIN(1,IF(OR($W94&lt;&gt;"Y",$AA94=$AC94),SUM((Range=$K94)*(CQS=IF($W94&lt;&gt;"Y",0,IF($AC94=196%,1,6)))*(IF($W94&lt;&gt;"Y",Bond_Base_MCR,Bond_Base)))+IF($I94&lt;1,1,$I94-$K94)*SUM((Range=$K94)*(CQS=IF($W94&lt;&gt;"Y",0,IF($AC94=196%,1,6)))*(IF($W94&lt;&gt;"Y",Bond_Mult_MCR,Bond_Mult))),((SUM((Range=$K94)*(CQS=HLOOKUP($AA94,Solv_Ratio_CQS_Map,2,0))*(Bond_Base))+IF($I94&lt;1,1,$I94-$K94)*SUM((Range=$K94)*(CQS=HLOOKUP($AA94,Solv_Ratio_CQS_Map,2,0))*(Bond_Mult)))*($AC94-$Y94)+(SUM((Range=$K94)*(CQS=HLOOKUP($AC94,Solv_Ratio_CQS_Map,2,0))*(Bond_Base))+IF($I94&lt;1,1,$I94-$K94)*SUM((Range=$K94)*(CQS=HLOOKUP($AC94,Solv_Ratio_CQS_Map,2,0))*(Bond_Mult)))*($Y94-$AA94))/($AC94-$AA94))))</f>
        <v/>
      </c>
      <c r="AJ94" s="53"/>
      <c r="AK94" s="121" t="str">
        <f t="shared" si="3"/>
        <v/>
      </c>
      <c r="AL94" s="53"/>
      <c r="AM94" s="123" t="str">
        <f t="shared" si="4"/>
        <v/>
      </c>
      <c r="AN94" s="115"/>
    </row>
    <row r="95" spans="2:40" x14ac:dyDescent="0.2">
      <c r="B95" s="116"/>
      <c r="C95" s="207"/>
      <c r="D95" s="53"/>
      <c r="E95" s="208"/>
      <c r="F95" s="53"/>
      <c r="G95" s="209"/>
      <c r="H95" s="53"/>
      <c r="I95" s="210"/>
      <c r="J95" s="53"/>
      <c r="K95" s="118" t="str">
        <f t="shared" si="2"/>
        <v/>
      </c>
      <c r="L95" s="53"/>
      <c r="M95" s="211"/>
      <c r="N95" s="53"/>
      <c r="O95" s="211"/>
      <c r="P95" s="53"/>
      <c r="Q95" s="211"/>
      <c r="R95" s="53"/>
      <c r="S95" s="211"/>
      <c r="T95" s="53"/>
      <c r="U95" s="117"/>
      <c r="V95" s="53"/>
      <c r="W95" s="119"/>
      <c r="X95" s="53"/>
      <c r="Y95" s="120"/>
      <c r="Z95" s="53"/>
      <c r="AA95" s="121" t="str">
        <f t="shared" si="5"/>
        <v/>
      </c>
      <c r="AB95" s="53"/>
      <c r="AC95" s="121" t="str">
        <f t="shared" si="6"/>
        <v/>
      </c>
      <c r="AD95" s="53"/>
      <c r="AE95" s="122" t="str">
        <f t="array" ref="AE95">IF(OR($C95="",$E95="",$G95="",$I95="",$M95="",$O95="",$Q95="",$S95="",$G95="Unrated"),"",IF($Q95="Y",0,MIN(1,SUM((IF($O95="Y",Cov_Range,Range)=$K95)*(IF($O95="Y",Cov_CQS,CQS)=$G95)*(IF($S95="Y",Gilt_Base,IF($O95="Y",Cov_Bond_Base,Bond_Base))))+IF($I95&lt;1,1,$I95-$K95)*SUM((IF($O95="Y",Cov_Range,Range)=$K95)*(IF($O95="Y",Cov_CQS,CQS)=$G95)*(IF($S95="Y",Gilt_Mult,IF($O95="Y",Cov_Bond_Mult,Bond_Mult)))))))</f>
        <v/>
      </c>
      <c r="AF95" s="53"/>
      <c r="AG95" s="122" t="str">
        <f t="array" ref="AG95">IF(OR($C95="",$E95="",$G95="",$I95="",$M95="",$O95="",$Q95="",$S95="",$G95&lt;&gt;"Unrated",$M95="Y"),"",MIN(1,IF(AND(U95&lt;E95,U95&gt;=E95*(1-(SUM((Range=$K95)*(Bond_Base_UR))+IF($I95&lt;1,1,$I95-$K95)*SUM((Range=$K95)*(Bond_Mult_UR))))),0.5*((SUM((Range=$K95)*(Bond_Base_UR))+IF($I95&lt;1,1,$I95-$K95)*SUM((Range=$K95)*(Bond_Mult_UR)))+((E95-U95)/E95)),IF(U95&gt;=E95,0.5,1)*(SUM((Range=$K95)*(Bond_Base_UR))+IF($I95&lt;1,1,$I95-$K95)*SUM((Range=$K95)*(Bond_Mult_UR))))))</f>
        <v/>
      </c>
      <c r="AH95" s="53"/>
      <c r="AI95" s="122" t="str">
        <f t="array" ref="AI95">IF(OR($C95="",$E95="",$G95="",$I95="",$M95="",$O95="",$Q95="",$S95="",$G95&lt;&gt;"Unrated",$M95&lt;&gt;"Y"),"",MIN(1,IF(OR($W95&lt;&gt;"Y",$AA95=$AC95),SUM((Range=$K95)*(CQS=IF($W95&lt;&gt;"Y",0,IF($AC95=196%,1,6)))*(IF($W95&lt;&gt;"Y",Bond_Base_MCR,Bond_Base)))+IF($I95&lt;1,1,$I95-$K95)*SUM((Range=$K95)*(CQS=IF($W95&lt;&gt;"Y",0,IF($AC95=196%,1,6)))*(IF($W95&lt;&gt;"Y",Bond_Mult_MCR,Bond_Mult))),((SUM((Range=$K95)*(CQS=HLOOKUP($AA95,Solv_Ratio_CQS_Map,2,0))*(Bond_Base))+IF($I95&lt;1,1,$I95-$K95)*SUM((Range=$K95)*(CQS=HLOOKUP($AA95,Solv_Ratio_CQS_Map,2,0))*(Bond_Mult)))*($AC95-$Y95)+(SUM((Range=$K95)*(CQS=HLOOKUP($AC95,Solv_Ratio_CQS_Map,2,0))*(Bond_Base))+IF($I95&lt;1,1,$I95-$K95)*SUM((Range=$K95)*(CQS=HLOOKUP($AC95,Solv_Ratio_CQS_Map,2,0))*(Bond_Mult)))*($Y95-$AA95))/($AC95-$AA95))))</f>
        <v/>
      </c>
      <c r="AJ95" s="53"/>
      <c r="AK95" s="121" t="str">
        <f t="shared" si="3"/>
        <v/>
      </c>
      <c r="AL95" s="53"/>
      <c r="AM95" s="123" t="str">
        <f t="shared" si="4"/>
        <v/>
      </c>
      <c r="AN95" s="115"/>
    </row>
    <row r="96" spans="2:40" x14ac:dyDescent="0.2">
      <c r="B96" s="116"/>
      <c r="C96" s="207"/>
      <c r="D96" s="53"/>
      <c r="E96" s="208"/>
      <c r="F96" s="53"/>
      <c r="G96" s="209"/>
      <c r="H96" s="53"/>
      <c r="I96" s="210"/>
      <c r="J96" s="53"/>
      <c r="K96" s="118" t="str">
        <f t="shared" si="2"/>
        <v/>
      </c>
      <c r="L96" s="53"/>
      <c r="M96" s="211"/>
      <c r="N96" s="53"/>
      <c r="O96" s="211"/>
      <c r="P96" s="53"/>
      <c r="Q96" s="211"/>
      <c r="R96" s="53"/>
      <c r="S96" s="211"/>
      <c r="T96" s="53"/>
      <c r="U96" s="117"/>
      <c r="V96" s="53"/>
      <c r="W96" s="119"/>
      <c r="X96" s="53"/>
      <c r="Y96" s="120"/>
      <c r="Z96" s="53"/>
      <c r="AA96" s="121" t="str">
        <f t="shared" si="5"/>
        <v/>
      </c>
      <c r="AB96" s="53"/>
      <c r="AC96" s="121" t="str">
        <f t="shared" si="6"/>
        <v/>
      </c>
      <c r="AD96" s="53"/>
      <c r="AE96" s="122" t="str">
        <f t="array" ref="AE96">IF(OR($C96="",$E96="",$G96="",$I96="",$M96="",$O96="",$Q96="",$S96="",$G96="Unrated"),"",IF($Q96="Y",0,MIN(1,SUM((IF($O96="Y",Cov_Range,Range)=$K96)*(IF($O96="Y",Cov_CQS,CQS)=$G96)*(IF($S96="Y",Gilt_Base,IF($O96="Y",Cov_Bond_Base,Bond_Base))))+IF($I96&lt;1,1,$I96-$K96)*SUM((IF($O96="Y",Cov_Range,Range)=$K96)*(IF($O96="Y",Cov_CQS,CQS)=$G96)*(IF($S96="Y",Gilt_Mult,IF($O96="Y",Cov_Bond_Mult,Bond_Mult)))))))</f>
        <v/>
      </c>
      <c r="AF96" s="53"/>
      <c r="AG96" s="122" t="str">
        <f t="array" ref="AG96">IF(OR($C96="",$E96="",$G96="",$I96="",$M96="",$O96="",$Q96="",$S96="",$G96&lt;&gt;"Unrated",$M96="Y"),"",MIN(1,IF(AND(U96&lt;E96,U96&gt;=E96*(1-(SUM((Range=$K96)*(Bond_Base_UR))+IF($I96&lt;1,1,$I96-$K96)*SUM((Range=$K96)*(Bond_Mult_UR))))),0.5*((SUM((Range=$K96)*(Bond_Base_UR))+IF($I96&lt;1,1,$I96-$K96)*SUM((Range=$K96)*(Bond_Mult_UR)))+((E96-U96)/E96)),IF(U96&gt;=E96,0.5,1)*(SUM((Range=$K96)*(Bond_Base_UR))+IF($I96&lt;1,1,$I96-$K96)*SUM((Range=$K96)*(Bond_Mult_UR))))))</f>
        <v/>
      </c>
      <c r="AH96" s="53"/>
      <c r="AI96" s="122" t="str">
        <f t="array" ref="AI96">IF(OR($C96="",$E96="",$G96="",$I96="",$M96="",$O96="",$Q96="",$S96="",$G96&lt;&gt;"Unrated",$M96&lt;&gt;"Y"),"",MIN(1,IF(OR($W96&lt;&gt;"Y",$AA96=$AC96),SUM((Range=$K96)*(CQS=IF($W96&lt;&gt;"Y",0,IF($AC96=196%,1,6)))*(IF($W96&lt;&gt;"Y",Bond_Base_MCR,Bond_Base)))+IF($I96&lt;1,1,$I96-$K96)*SUM((Range=$K96)*(CQS=IF($W96&lt;&gt;"Y",0,IF($AC96=196%,1,6)))*(IF($W96&lt;&gt;"Y",Bond_Mult_MCR,Bond_Mult))),((SUM((Range=$K96)*(CQS=HLOOKUP($AA96,Solv_Ratio_CQS_Map,2,0))*(Bond_Base))+IF($I96&lt;1,1,$I96-$K96)*SUM((Range=$K96)*(CQS=HLOOKUP($AA96,Solv_Ratio_CQS_Map,2,0))*(Bond_Mult)))*($AC96-$Y96)+(SUM((Range=$K96)*(CQS=HLOOKUP($AC96,Solv_Ratio_CQS_Map,2,0))*(Bond_Base))+IF($I96&lt;1,1,$I96-$K96)*SUM((Range=$K96)*(CQS=HLOOKUP($AC96,Solv_Ratio_CQS_Map,2,0))*(Bond_Mult)))*($Y96-$AA96))/($AC96-$AA96))))</f>
        <v/>
      </c>
      <c r="AJ96" s="53"/>
      <c r="AK96" s="121" t="str">
        <f t="shared" si="3"/>
        <v/>
      </c>
      <c r="AL96" s="53"/>
      <c r="AM96" s="123" t="str">
        <f t="shared" si="4"/>
        <v/>
      </c>
      <c r="AN96" s="115"/>
    </row>
    <row r="97" spans="2:40" x14ac:dyDescent="0.2">
      <c r="B97" s="116"/>
      <c r="C97" s="207"/>
      <c r="D97" s="53"/>
      <c r="E97" s="208"/>
      <c r="F97" s="53"/>
      <c r="G97" s="209"/>
      <c r="H97" s="53"/>
      <c r="I97" s="210"/>
      <c r="J97" s="53"/>
      <c r="K97" s="118" t="str">
        <f t="shared" si="2"/>
        <v/>
      </c>
      <c r="L97" s="53"/>
      <c r="M97" s="211"/>
      <c r="N97" s="53"/>
      <c r="O97" s="211"/>
      <c r="P97" s="53"/>
      <c r="Q97" s="211"/>
      <c r="R97" s="53"/>
      <c r="S97" s="211"/>
      <c r="T97" s="53"/>
      <c r="U97" s="117"/>
      <c r="V97" s="53"/>
      <c r="W97" s="119"/>
      <c r="X97" s="53"/>
      <c r="Y97" s="120"/>
      <c r="Z97" s="53"/>
      <c r="AA97" s="121" t="str">
        <f t="shared" si="5"/>
        <v/>
      </c>
      <c r="AB97" s="53"/>
      <c r="AC97" s="121" t="str">
        <f t="shared" si="6"/>
        <v/>
      </c>
      <c r="AD97" s="53"/>
      <c r="AE97" s="122" t="str">
        <f t="array" ref="AE97">IF(OR($C97="",$E97="",$G97="",$I97="",$M97="",$O97="",$Q97="",$S97="",$G97="Unrated"),"",IF($Q97="Y",0,MIN(1,SUM((IF($O97="Y",Cov_Range,Range)=$K97)*(IF($O97="Y",Cov_CQS,CQS)=$G97)*(IF($S97="Y",Gilt_Base,IF($O97="Y",Cov_Bond_Base,Bond_Base))))+IF($I97&lt;1,1,$I97-$K97)*SUM((IF($O97="Y",Cov_Range,Range)=$K97)*(IF($O97="Y",Cov_CQS,CQS)=$G97)*(IF($S97="Y",Gilt_Mult,IF($O97="Y",Cov_Bond_Mult,Bond_Mult)))))))</f>
        <v/>
      </c>
      <c r="AF97" s="53"/>
      <c r="AG97" s="122" t="str">
        <f t="array" ref="AG97">IF(OR($C97="",$E97="",$G97="",$I97="",$M97="",$O97="",$Q97="",$S97="",$G97&lt;&gt;"Unrated",$M97="Y"),"",MIN(1,IF(AND(U97&lt;E97,U97&gt;=E97*(1-(SUM((Range=$K97)*(Bond_Base_UR))+IF($I97&lt;1,1,$I97-$K97)*SUM((Range=$K97)*(Bond_Mult_UR))))),0.5*((SUM((Range=$K97)*(Bond_Base_UR))+IF($I97&lt;1,1,$I97-$K97)*SUM((Range=$K97)*(Bond_Mult_UR)))+((E97-U97)/E97)),IF(U97&gt;=E97,0.5,1)*(SUM((Range=$K97)*(Bond_Base_UR))+IF($I97&lt;1,1,$I97-$K97)*SUM((Range=$K97)*(Bond_Mult_UR))))))</f>
        <v/>
      </c>
      <c r="AH97" s="53"/>
      <c r="AI97" s="122" t="str">
        <f t="array" ref="AI97">IF(OR($C97="",$E97="",$G97="",$I97="",$M97="",$O97="",$Q97="",$S97="",$G97&lt;&gt;"Unrated",$M97&lt;&gt;"Y"),"",MIN(1,IF(OR($W97&lt;&gt;"Y",$AA97=$AC97),SUM((Range=$K97)*(CQS=IF($W97&lt;&gt;"Y",0,IF($AC97=196%,1,6)))*(IF($W97&lt;&gt;"Y",Bond_Base_MCR,Bond_Base)))+IF($I97&lt;1,1,$I97-$K97)*SUM((Range=$K97)*(CQS=IF($W97&lt;&gt;"Y",0,IF($AC97=196%,1,6)))*(IF($W97&lt;&gt;"Y",Bond_Mult_MCR,Bond_Mult))),((SUM((Range=$K97)*(CQS=HLOOKUP($AA97,Solv_Ratio_CQS_Map,2,0))*(Bond_Base))+IF($I97&lt;1,1,$I97-$K97)*SUM((Range=$K97)*(CQS=HLOOKUP($AA97,Solv_Ratio_CQS_Map,2,0))*(Bond_Mult)))*($AC97-$Y97)+(SUM((Range=$K97)*(CQS=HLOOKUP($AC97,Solv_Ratio_CQS_Map,2,0))*(Bond_Base))+IF($I97&lt;1,1,$I97-$K97)*SUM((Range=$K97)*(CQS=HLOOKUP($AC97,Solv_Ratio_CQS_Map,2,0))*(Bond_Mult)))*($Y97-$AA97))/($AC97-$AA97))))</f>
        <v/>
      </c>
      <c r="AJ97" s="53"/>
      <c r="AK97" s="121" t="str">
        <f t="shared" si="3"/>
        <v/>
      </c>
      <c r="AL97" s="53"/>
      <c r="AM97" s="123" t="str">
        <f t="shared" si="4"/>
        <v/>
      </c>
      <c r="AN97" s="115"/>
    </row>
    <row r="98" spans="2:40" x14ac:dyDescent="0.2">
      <c r="B98" s="116"/>
      <c r="C98" s="207"/>
      <c r="D98" s="53"/>
      <c r="E98" s="208"/>
      <c r="F98" s="53"/>
      <c r="G98" s="209"/>
      <c r="H98" s="53"/>
      <c r="I98" s="210"/>
      <c r="J98" s="53"/>
      <c r="K98" s="118" t="str">
        <f t="shared" si="2"/>
        <v/>
      </c>
      <c r="L98" s="53"/>
      <c r="M98" s="211"/>
      <c r="N98" s="53"/>
      <c r="O98" s="211"/>
      <c r="P98" s="53"/>
      <c r="Q98" s="211"/>
      <c r="R98" s="53"/>
      <c r="S98" s="211"/>
      <c r="T98" s="53"/>
      <c r="U98" s="117"/>
      <c r="V98" s="53"/>
      <c r="W98" s="119"/>
      <c r="X98" s="53"/>
      <c r="Y98" s="120"/>
      <c r="Z98" s="53"/>
      <c r="AA98" s="121" t="str">
        <f t="shared" si="5"/>
        <v/>
      </c>
      <c r="AB98" s="53"/>
      <c r="AC98" s="121" t="str">
        <f t="shared" si="6"/>
        <v/>
      </c>
      <c r="AD98" s="53"/>
      <c r="AE98" s="122" t="str">
        <f t="array" ref="AE98">IF(OR($C98="",$E98="",$G98="",$I98="",$M98="",$O98="",$Q98="",$S98="",$G98="Unrated"),"",IF($Q98="Y",0,MIN(1,SUM((IF($O98="Y",Cov_Range,Range)=$K98)*(IF($O98="Y",Cov_CQS,CQS)=$G98)*(IF($S98="Y",Gilt_Base,IF($O98="Y",Cov_Bond_Base,Bond_Base))))+IF($I98&lt;1,1,$I98-$K98)*SUM((IF($O98="Y",Cov_Range,Range)=$K98)*(IF($O98="Y",Cov_CQS,CQS)=$G98)*(IF($S98="Y",Gilt_Mult,IF($O98="Y",Cov_Bond_Mult,Bond_Mult)))))))</f>
        <v/>
      </c>
      <c r="AF98" s="53"/>
      <c r="AG98" s="122" t="str">
        <f t="array" ref="AG98">IF(OR($C98="",$E98="",$G98="",$I98="",$M98="",$O98="",$Q98="",$S98="",$G98&lt;&gt;"Unrated",$M98="Y"),"",MIN(1,IF(AND(U98&lt;E98,U98&gt;=E98*(1-(SUM((Range=$K98)*(Bond_Base_UR))+IF($I98&lt;1,1,$I98-$K98)*SUM((Range=$K98)*(Bond_Mult_UR))))),0.5*((SUM((Range=$K98)*(Bond_Base_UR))+IF($I98&lt;1,1,$I98-$K98)*SUM((Range=$K98)*(Bond_Mult_UR)))+((E98-U98)/E98)),IF(U98&gt;=E98,0.5,1)*(SUM((Range=$K98)*(Bond_Base_UR))+IF($I98&lt;1,1,$I98-$K98)*SUM((Range=$K98)*(Bond_Mult_UR))))))</f>
        <v/>
      </c>
      <c r="AH98" s="53"/>
      <c r="AI98" s="122" t="str">
        <f t="array" ref="AI98">IF(OR($C98="",$E98="",$G98="",$I98="",$M98="",$O98="",$Q98="",$S98="",$G98&lt;&gt;"Unrated",$M98&lt;&gt;"Y"),"",MIN(1,IF(OR($W98&lt;&gt;"Y",$AA98=$AC98),SUM((Range=$K98)*(CQS=IF($W98&lt;&gt;"Y",0,IF($AC98=196%,1,6)))*(IF($W98&lt;&gt;"Y",Bond_Base_MCR,Bond_Base)))+IF($I98&lt;1,1,$I98-$K98)*SUM((Range=$K98)*(CQS=IF($W98&lt;&gt;"Y",0,IF($AC98=196%,1,6)))*(IF($W98&lt;&gt;"Y",Bond_Mult_MCR,Bond_Mult))),((SUM((Range=$K98)*(CQS=HLOOKUP($AA98,Solv_Ratio_CQS_Map,2,0))*(Bond_Base))+IF($I98&lt;1,1,$I98-$K98)*SUM((Range=$K98)*(CQS=HLOOKUP($AA98,Solv_Ratio_CQS_Map,2,0))*(Bond_Mult)))*($AC98-$Y98)+(SUM((Range=$K98)*(CQS=HLOOKUP($AC98,Solv_Ratio_CQS_Map,2,0))*(Bond_Base))+IF($I98&lt;1,1,$I98-$K98)*SUM((Range=$K98)*(CQS=HLOOKUP($AC98,Solv_Ratio_CQS_Map,2,0))*(Bond_Mult)))*($Y98-$AA98))/($AC98-$AA98))))</f>
        <v/>
      </c>
      <c r="AJ98" s="53"/>
      <c r="AK98" s="121" t="str">
        <f t="shared" si="3"/>
        <v/>
      </c>
      <c r="AL98" s="53"/>
      <c r="AM98" s="123" t="str">
        <f t="shared" si="4"/>
        <v/>
      </c>
      <c r="AN98" s="115"/>
    </row>
    <row r="99" spans="2:40" x14ac:dyDescent="0.2">
      <c r="B99" s="116"/>
      <c r="C99" s="207"/>
      <c r="D99" s="53"/>
      <c r="E99" s="208"/>
      <c r="F99" s="53"/>
      <c r="G99" s="209"/>
      <c r="H99" s="53"/>
      <c r="I99" s="210"/>
      <c r="J99" s="53"/>
      <c r="K99" s="118" t="str">
        <f t="shared" si="2"/>
        <v/>
      </c>
      <c r="L99" s="53"/>
      <c r="M99" s="211"/>
      <c r="N99" s="53"/>
      <c r="O99" s="211"/>
      <c r="P99" s="53"/>
      <c r="Q99" s="211"/>
      <c r="R99" s="53"/>
      <c r="S99" s="211"/>
      <c r="T99" s="53"/>
      <c r="U99" s="117"/>
      <c r="V99" s="53"/>
      <c r="W99" s="119"/>
      <c r="X99" s="53"/>
      <c r="Y99" s="120"/>
      <c r="Z99" s="53"/>
      <c r="AA99" s="121" t="str">
        <f t="shared" si="5"/>
        <v/>
      </c>
      <c r="AB99" s="53"/>
      <c r="AC99" s="121" t="str">
        <f t="shared" si="6"/>
        <v/>
      </c>
      <c r="AD99" s="53"/>
      <c r="AE99" s="122" t="str">
        <f t="array" ref="AE99">IF(OR($C99="",$E99="",$G99="",$I99="",$M99="",$O99="",$Q99="",$S99="",$G99="Unrated"),"",IF($Q99="Y",0,MIN(1,SUM((IF($O99="Y",Cov_Range,Range)=$K99)*(IF($O99="Y",Cov_CQS,CQS)=$G99)*(IF($S99="Y",Gilt_Base,IF($O99="Y",Cov_Bond_Base,Bond_Base))))+IF($I99&lt;1,1,$I99-$K99)*SUM((IF($O99="Y",Cov_Range,Range)=$K99)*(IF($O99="Y",Cov_CQS,CQS)=$G99)*(IF($S99="Y",Gilt_Mult,IF($O99="Y",Cov_Bond_Mult,Bond_Mult)))))))</f>
        <v/>
      </c>
      <c r="AF99" s="53"/>
      <c r="AG99" s="122" t="str">
        <f t="array" ref="AG99">IF(OR($C99="",$E99="",$G99="",$I99="",$M99="",$O99="",$Q99="",$S99="",$G99&lt;&gt;"Unrated",$M99="Y"),"",MIN(1,IF(AND(U99&lt;E99,U99&gt;=E99*(1-(SUM((Range=$K99)*(Bond_Base_UR))+IF($I99&lt;1,1,$I99-$K99)*SUM((Range=$K99)*(Bond_Mult_UR))))),0.5*((SUM((Range=$K99)*(Bond_Base_UR))+IF($I99&lt;1,1,$I99-$K99)*SUM((Range=$K99)*(Bond_Mult_UR)))+((E99-U99)/E99)),IF(U99&gt;=E99,0.5,1)*(SUM((Range=$K99)*(Bond_Base_UR))+IF($I99&lt;1,1,$I99-$K99)*SUM((Range=$K99)*(Bond_Mult_UR))))))</f>
        <v/>
      </c>
      <c r="AH99" s="53"/>
      <c r="AI99" s="122" t="str">
        <f t="array" ref="AI99">IF(OR($C99="",$E99="",$G99="",$I99="",$M99="",$O99="",$Q99="",$S99="",$G99&lt;&gt;"Unrated",$M99&lt;&gt;"Y"),"",MIN(1,IF(OR($W99&lt;&gt;"Y",$AA99=$AC99),SUM((Range=$K99)*(CQS=IF($W99&lt;&gt;"Y",0,IF($AC99=196%,1,6)))*(IF($W99&lt;&gt;"Y",Bond_Base_MCR,Bond_Base)))+IF($I99&lt;1,1,$I99-$K99)*SUM((Range=$K99)*(CQS=IF($W99&lt;&gt;"Y",0,IF($AC99=196%,1,6)))*(IF($W99&lt;&gt;"Y",Bond_Mult_MCR,Bond_Mult))),((SUM((Range=$K99)*(CQS=HLOOKUP($AA99,Solv_Ratio_CQS_Map,2,0))*(Bond_Base))+IF($I99&lt;1,1,$I99-$K99)*SUM((Range=$K99)*(CQS=HLOOKUP($AA99,Solv_Ratio_CQS_Map,2,0))*(Bond_Mult)))*($AC99-$Y99)+(SUM((Range=$K99)*(CQS=HLOOKUP($AC99,Solv_Ratio_CQS_Map,2,0))*(Bond_Base))+IF($I99&lt;1,1,$I99-$K99)*SUM((Range=$K99)*(CQS=HLOOKUP($AC99,Solv_Ratio_CQS_Map,2,0))*(Bond_Mult)))*($Y99-$AA99))/($AC99-$AA99))))</f>
        <v/>
      </c>
      <c r="AJ99" s="53"/>
      <c r="AK99" s="121" t="str">
        <f t="shared" si="3"/>
        <v/>
      </c>
      <c r="AL99" s="53"/>
      <c r="AM99" s="123" t="str">
        <f t="shared" si="4"/>
        <v/>
      </c>
      <c r="AN99" s="115"/>
    </row>
    <row r="100" spans="2:40" x14ac:dyDescent="0.2">
      <c r="B100" s="116"/>
      <c r="C100" s="207"/>
      <c r="D100" s="53"/>
      <c r="E100" s="208"/>
      <c r="F100" s="53"/>
      <c r="G100" s="209"/>
      <c r="H100" s="53"/>
      <c r="I100" s="210"/>
      <c r="J100" s="53"/>
      <c r="K100" s="118" t="str">
        <f t="shared" si="2"/>
        <v/>
      </c>
      <c r="L100" s="53"/>
      <c r="M100" s="211"/>
      <c r="N100" s="53"/>
      <c r="O100" s="211"/>
      <c r="P100" s="53"/>
      <c r="Q100" s="211"/>
      <c r="R100" s="53"/>
      <c r="S100" s="211"/>
      <c r="T100" s="53"/>
      <c r="U100" s="117"/>
      <c r="V100" s="53"/>
      <c r="W100" s="119"/>
      <c r="X100" s="53"/>
      <c r="Y100" s="120"/>
      <c r="Z100" s="53"/>
      <c r="AA100" s="121" t="str">
        <f t="shared" si="5"/>
        <v/>
      </c>
      <c r="AB100" s="53"/>
      <c r="AC100" s="121" t="str">
        <f t="shared" si="6"/>
        <v/>
      </c>
      <c r="AD100" s="53"/>
      <c r="AE100" s="122" t="str">
        <f t="array" ref="AE100">IF(OR($C100="",$E100="",$G100="",$I100="",$M100="",$O100="",$Q100="",$S100="",$G100="Unrated"),"",IF($Q100="Y",0,MIN(1,SUM((IF($O100="Y",Cov_Range,Range)=$K100)*(IF($O100="Y",Cov_CQS,CQS)=$G100)*(IF($S100="Y",Gilt_Base,IF($O100="Y",Cov_Bond_Base,Bond_Base))))+IF($I100&lt;1,1,$I100-$K100)*SUM((IF($O100="Y",Cov_Range,Range)=$K100)*(IF($O100="Y",Cov_CQS,CQS)=$G100)*(IF($S100="Y",Gilt_Mult,IF($O100="Y",Cov_Bond_Mult,Bond_Mult)))))))</f>
        <v/>
      </c>
      <c r="AF100" s="53"/>
      <c r="AG100" s="122" t="str">
        <f t="array" ref="AG100">IF(OR($C100="",$E100="",$G100="",$I100="",$M100="",$O100="",$Q100="",$S100="",$G100&lt;&gt;"Unrated",$M100="Y"),"",MIN(1,IF(AND(U100&lt;E100,U100&gt;=E100*(1-(SUM((Range=$K100)*(Bond_Base_UR))+IF($I100&lt;1,1,$I100-$K100)*SUM((Range=$K100)*(Bond_Mult_UR))))),0.5*((SUM((Range=$K100)*(Bond_Base_UR))+IF($I100&lt;1,1,$I100-$K100)*SUM((Range=$K100)*(Bond_Mult_UR)))+((E100-U100)/E100)),IF(U100&gt;=E100,0.5,1)*(SUM((Range=$K100)*(Bond_Base_UR))+IF($I100&lt;1,1,$I100-$K100)*SUM((Range=$K100)*(Bond_Mult_UR))))))</f>
        <v/>
      </c>
      <c r="AH100" s="53"/>
      <c r="AI100" s="122" t="str">
        <f t="array" ref="AI100">IF(OR($C100="",$E100="",$G100="",$I100="",$M100="",$O100="",$Q100="",$S100="",$G100&lt;&gt;"Unrated",$M100&lt;&gt;"Y"),"",MIN(1,IF(OR($W100&lt;&gt;"Y",$AA100=$AC100),SUM((Range=$K100)*(CQS=IF($W100&lt;&gt;"Y",0,IF($AC100=196%,1,6)))*(IF($W100&lt;&gt;"Y",Bond_Base_MCR,Bond_Base)))+IF($I100&lt;1,1,$I100-$K100)*SUM((Range=$K100)*(CQS=IF($W100&lt;&gt;"Y",0,IF($AC100=196%,1,6)))*(IF($W100&lt;&gt;"Y",Bond_Mult_MCR,Bond_Mult))),((SUM((Range=$K100)*(CQS=HLOOKUP($AA100,Solv_Ratio_CQS_Map,2,0))*(Bond_Base))+IF($I100&lt;1,1,$I100-$K100)*SUM((Range=$K100)*(CQS=HLOOKUP($AA100,Solv_Ratio_CQS_Map,2,0))*(Bond_Mult)))*($AC100-$Y100)+(SUM((Range=$K100)*(CQS=HLOOKUP($AC100,Solv_Ratio_CQS_Map,2,0))*(Bond_Base))+IF($I100&lt;1,1,$I100-$K100)*SUM((Range=$K100)*(CQS=HLOOKUP($AC100,Solv_Ratio_CQS_Map,2,0))*(Bond_Mult)))*($Y100-$AA100))/($AC100-$AA100))))</f>
        <v/>
      </c>
      <c r="AJ100" s="53"/>
      <c r="AK100" s="121" t="str">
        <f t="shared" si="3"/>
        <v/>
      </c>
      <c r="AL100" s="53"/>
      <c r="AM100" s="123" t="str">
        <f t="shared" si="4"/>
        <v/>
      </c>
      <c r="AN100" s="115"/>
    </row>
    <row r="101" spans="2:40" x14ac:dyDescent="0.2">
      <c r="B101" s="116"/>
      <c r="C101" s="207"/>
      <c r="D101" s="53"/>
      <c r="E101" s="208"/>
      <c r="F101" s="53"/>
      <c r="G101" s="209"/>
      <c r="H101" s="53"/>
      <c r="I101" s="210"/>
      <c r="J101" s="53"/>
      <c r="K101" s="118" t="str">
        <f t="shared" si="2"/>
        <v/>
      </c>
      <c r="L101" s="53"/>
      <c r="M101" s="211"/>
      <c r="N101" s="53"/>
      <c r="O101" s="211"/>
      <c r="P101" s="53"/>
      <c r="Q101" s="211"/>
      <c r="R101" s="53"/>
      <c r="S101" s="211"/>
      <c r="T101" s="53"/>
      <c r="U101" s="117"/>
      <c r="V101" s="53"/>
      <c r="W101" s="119"/>
      <c r="X101" s="53"/>
      <c r="Y101" s="120"/>
      <c r="Z101" s="53"/>
      <c r="AA101" s="121" t="str">
        <f t="shared" si="5"/>
        <v/>
      </c>
      <c r="AB101" s="53"/>
      <c r="AC101" s="121" t="str">
        <f t="shared" si="6"/>
        <v/>
      </c>
      <c r="AD101" s="53"/>
      <c r="AE101" s="122" t="str">
        <f t="array" ref="AE101">IF(OR($C101="",$E101="",$G101="",$I101="",$M101="",$O101="",$Q101="",$S101="",$G101="Unrated"),"",IF($Q101="Y",0,MIN(1,SUM((IF($O101="Y",Cov_Range,Range)=$K101)*(IF($O101="Y",Cov_CQS,CQS)=$G101)*(IF($S101="Y",Gilt_Base,IF($O101="Y",Cov_Bond_Base,Bond_Base))))+IF($I101&lt;1,1,$I101-$K101)*SUM((IF($O101="Y",Cov_Range,Range)=$K101)*(IF($O101="Y",Cov_CQS,CQS)=$G101)*(IF($S101="Y",Gilt_Mult,IF($O101="Y",Cov_Bond_Mult,Bond_Mult)))))))</f>
        <v/>
      </c>
      <c r="AF101" s="53"/>
      <c r="AG101" s="122" t="str">
        <f t="array" ref="AG101">IF(OR($C101="",$E101="",$G101="",$I101="",$M101="",$O101="",$Q101="",$S101="",$G101&lt;&gt;"Unrated",$M101="Y"),"",MIN(1,IF(AND(U101&lt;E101,U101&gt;=E101*(1-(SUM((Range=$K101)*(Bond_Base_UR))+IF($I101&lt;1,1,$I101-$K101)*SUM((Range=$K101)*(Bond_Mult_UR))))),0.5*((SUM((Range=$K101)*(Bond_Base_UR))+IF($I101&lt;1,1,$I101-$K101)*SUM((Range=$K101)*(Bond_Mult_UR)))+((E101-U101)/E101)),IF(U101&gt;=E101,0.5,1)*(SUM((Range=$K101)*(Bond_Base_UR))+IF($I101&lt;1,1,$I101-$K101)*SUM((Range=$K101)*(Bond_Mult_UR))))))</f>
        <v/>
      </c>
      <c r="AH101" s="53"/>
      <c r="AI101" s="122" t="str">
        <f t="array" ref="AI101">IF(OR($C101="",$E101="",$G101="",$I101="",$M101="",$O101="",$Q101="",$S101="",$G101&lt;&gt;"Unrated",$M101&lt;&gt;"Y"),"",MIN(1,IF(OR($W101&lt;&gt;"Y",$AA101=$AC101),SUM((Range=$K101)*(CQS=IF($W101&lt;&gt;"Y",0,IF($AC101=196%,1,6)))*(IF($W101&lt;&gt;"Y",Bond_Base_MCR,Bond_Base)))+IF($I101&lt;1,1,$I101-$K101)*SUM((Range=$K101)*(CQS=IF($W101&lt;&gt;"Y",0,IF($AC101=196%,1,6)))*(IF($W101&lt;&gt;"Y",Bond_Mult_MCR,Bond_Mult))),((SUM((Range=$K101)*(CQS=HLOOKUP($AA101,Solv_Ratio_CQS_Map,2,0))*(Bond_Base))+IF($I101&lt;1,1,$I101-$K101)*SUM((Range=$K101)*(CQS=HLOOKUP($AA101,Solv_Ratio_CQS_Map,2,0))*(Bond_Mult)))*($AC101-$Y101)+(SUM((Range=$K101)*(CQS=HLOOKUP($AC101,Solv_Ratio_CQS_Map,2,0))*(Bond_Base))+IF($I101&lt;1,1,$I101-$K101)*SUM((Range=$K101)*(CQS=HLOOKUP($AC101,Solv_Ratio_CQS_Map,2,0))*(Bond_Mult)))*($Y101-$AA101))/($AC101-$AA101))))</f>
        <v/>
      </c>
      <c r="AJ101" s="53"/>
      <c r="AK101" s="121" t="str">
        <f t="shared" si="3"/>
        <v/>
      </c>
      <c r="AL101" s="53"/>
      <c r="AM101" s="123" t="str">
        <f t="shared" si="4"/>
        <v/>
      </c>
      <c r="AN101" s="115"/>
    </row>
    <row r="102" spans="2:40" x14ac:dyDescent="0.2">
      <c r="B102" s="116"/>
      <c r="C102" s="207"/>
      <c r="D102" s="53"/>
      <c r="E102" s="208"/>
      <c r="F102" s="53"/>
      <c r="G102" s="209"/>
      <c r="H102" s="53"/>
      <c r="I102" s="210"/>
      <c r="J102" s="53"/>
      <c r="K102" s="118" t="str">
        <f t="shared" si="2"/>
        <v/>
      </c>
      <c r="L102" s="53"/>
      <c r="M102" s="211"/>
      <c r="N102" s="53"/>
      <c r="O102" s="211"/>
      <c r="P102" s="53"/>
      <c r="Q102" s="211"/>
      <c r="R102" s="53"/>
      <c r="S102" s="211"/>
      <c r="T102" s="53"/>
      <c r="U102" s="117"/>
      <c r="V102" s="53"/>
      <c r="W102" s="119"/>
      <c r="X102" s="53"/>
      <c r="Y102" s="120"/>
      <c r="Z102" s="53"/>
      <c r="AA102" s="121" t="str">
        <f t="shared" si="5"/>
        <v/>
      </c>
      <c r="AB102" s="53"/>
      <c r="AC102" s="121" t="str">
        <f t="shared" si="6"/>
        <v/>
      </c>
      <c r="AD102" s="53"/>
      <c r="AE102" s="122" t="str">
        <f t="array" ref="AE102">IF(OR($C102="",$E102="",$G102="",$I102="",$M102="",$O102="",$Q102="",$S102="",$G102="Unrated"),"",IF($Q102="Y",0,MIN(1,SUM((IF($O102="Y",Cov_Range,Range)=$K102)*(IF($O102="Y",Cov_CQS,CQS)=$G102)*(IF($S102="Y",Gilt_Base,IF($O102="Y",Cov_Bond_Base,Bond_Base))))+IF($I102&lt;1,1,$I102-$K102)*SUM((IF($O102="Y",Cov_Range,Range)=$K102)*(IF($O102="Y",Cov_CQS,CQS)=$G102)*(IF($S102="Y",Gilt_Mult,IF($O102="Y",Cov_Bond_Mult,Bond_Mult)))))))</f>
        <v/>
      </c>
      <c r="AF102" s="53"/>
      <c r="AG102" s="122" t="str">
        <f t="array" ref="AG102">IF(OR($C102="",$E102="",$G102="",$I102="",$M102="",$O102="",$Q102="",$S102="",$G102&lt;&gt;"Unrated",$M102="Y"),"",MIN(1,IF(AND(U102&lt;E102,U102&gt;=E102*(1-(SUM((Range=$K102)*(Bond_Base_UR))+IF($I102&lt;1,1,$I102-$K102)*SUM((Range=$K102)*(Bond_Mult_UR))))),0.5*((SUM((Range=$K102)*(Bond_Base_UR))+IF($I102&lt;1,1,$I102-$K102)*SUM((Range=$K102)*(Bond_Mult_UR)))+((E102-U102)/E102)),IF(U102&gt;=E102,0.5,1)*(SUM((Range=$K102)*(Bond_Base_UR))+IF($I102&lt;1,1,$I102-$K102)*SUM((Range=$K102)*(Bond_Mult_UR))))))</f>
        <v/>
      </c>
      <c r="AH102" s="53"/>
      <c r="AI102" s="122" t="str">
        <f t="array" ref="AI102">IF(OR($C102="",$E102="",$G102="",$I102="",$M102="",$O102="",$Q102="",$S102="",$G102&lt;&gt;"Unrated",$M102&lt;&gt;"Y"),"",MIN(1,IF(OR($W102&lt;&gt;"Y",$AA102=$AC102),SUM((Range=$K102)*(CQS=IF($W102&lt;&gt;"Y",0,IF($AC102=196%,1,6)))*(IF($W102&lt;&gt;"Y",Bond_Base_MCR,Bond_Base)))+IF($I102&lt;1,1,$I102-$K102)*SUM((Range=$K102)*(CQS=IF($W102&lt;&gt;"Y",0,IF($AC102=196%,1,6)))*(IF($W102&lt;&gt;"Y",Bond_Mult_MCR,Bond_Mult))),((SUM((Range=$K102)*(CQS=HLOOKUP($AA102,Solv_Ratio_CQS_Map,2,0))*(Bond_Base))+IF($I102&lt;1,1,$I102-$K102)*SUM((Range=$K102)*(CQS=HLOOKUP($AA102,Solv_Ratio_CQS_Map,2,0))*(Bond_Mult)))*($AC102-$Y102)+(SUM((Range=$K102)*(CQS=HLOOKUP($AC102,Solv_Ratio_CQS_Map,2,0))*(Bond_Base))+IF($I102&lt;1,1,$I102-$K102)*SUM((Range=$K102)*(CQS=HLOOKUP($AC102,Solv_Ratio_CQS_Map,2,0))*(Bond_Mult)))*($Y102-$AA102))/($AC102-$AA102))))</f>
        <v/>
      </c>
      <c r="AJ102" s="53"/>
      <c r="AK102" s="121" t="str">
        <f t="shared" si="3"/>
        <v/>
      </c>
      <c r="AL102" s="53"/>
      <c r="AM102" s="123" t="str">
        <f t="shared" si="4"/>
        <v/>
      </c>
      <c r="AN102" s="115"/>
    </row>
    <row r="103" spans="2:40" x14ac:dyDescent="0.2">
      <c r="B103" s="116"/>
      <c r="C103" s="207"/>
      <c r="D103" s="53"/>
      <c r="E103" s="208"/>
      <c r="F103" s="53"/>
      <c r="G103" s="209"/>
      <c r="H103" s="53"/>
      <c r="I103" s="210"/>
      <c r="J103" s="53"/>
      <c r="K103" s="118" t="str">
        <f t="shared" si="2"/>
        <v/>
      </c>
      <c r="L103" s="53"/>
      <c r="M103" s="211"/>
      <c r="N103" s="53"/>
      <c r="O103" s="211"/>
      <c r="P103" s="53"/>
      <c r="Q103" s="211"/>
      <c r="R103" s="53"/>
      <c r="S103" s="211"/>
      <c r="T103" s="53"/>
      <c r="U103" s="117"/>
      <c r="V103" s="53"/>
      <c r="W103" s="119"/>
      <c r="X103" s="53"/>
      <c r="Y103" s="120"/>
      <c r="Z103" s="53"/>
      <c r="AA103" s="121" t="str">
        <f t="shared" si="5"/>
        <v/>
      </c>
      <c r="AB103" s="53"/>
      <c r="AC103" s="121" t="str">
        <f t="shared" si="6"/>
        <v/>
      </c>
      <c r="AD103" s="53"/>
      <c r="AE103" s="122" t="str">
        <f t="array" ref="AE103">IF(OR($C103="",$E103="",$G103="",$I103="",$M103="",$O103="",$Q103="",$S103="",$G103="Unrated"),"",IF($Q103="Y",0,MIN(1,SUM((IF($O103="Y",Cov_Range,Range)=$K103)*(IF($O103="Y",Cov_CQS,CQS)=$G103)*(IF($S103="Y",Gilt_Base,IF($O103="Y",Cov_Bond_Base,Bond_Base))))+IF($I103&lt;1,1,$I103-$K103)*SUM((IF($O103="Y",Cov_Range,Range)=$K103)*(IF($O103="Y",Cov_CQS,CQS)=$G103)*(IF($S103="Y",Gilt_Mult,IF($O103="Y",Cov_Bond_Mult,Bond_Mult)))))))</f>
        <v/>
      </c>
      <c r="AF103" s="53"/>
      <c r="AG103" s="122" t="str">
        <f t="array" ref="AG103">IF(OR($C103="",$E103="",$G103="",$I103="",$M103="",$O103="",$Q103="",$S103="",$G103&lt;&gt;"Unrated",$M103="Y"),"",MIN(1,IF(AND(U103&lt;E103,U103&gt;=E103*(1-(SUM((Range=$K103)*(Bond_Base_UR))+IF($I103&lt;1,1,$I103-$K103)*SUM((Range=$K103)*(Bond_Mult_UR))))),0.5*((SUM((Range=$K103)*(Bond_Base_UR))+IF($I103&lt;1,1,$I103-$K103)*SUM((Range=$K103)*(Bond_Mult_UR)))+((E103-U103)/E103)),IF(U103&gt;=E103,0.5,1)*(SUM((Range=$K103)*(Bond_Base_UR))+IF($I103&lt;1,1,$I103-$K103)*SUM((Range=$K103)*(Bond_Mult_UR))))))</f>
        <v/>
      </c>
      <c r="AH103" s="53"/>
      <c r="AI103" s="122" t="str">
        <f t="array" ref="AI103">IF(OR($C103="",$E103="",$G103="",$I103="",$M103="",$O103="",$Q103="",$S103="",$G103&lt;&gt;"Unrated",$M103&lt;&gt;"Y"),"",MIN(1,IF(OR($W103&lt;&gt;"Y",$AA103=$AC103),SUM((Range=$K103)*(CQS=IF($W103&lt;&gt;"Y",0,IF($AC103=196%,1,6)))*(IF($W103&lt;&gt;"Y",Bond_Base_MCR,Bond_Base)))+IF($I103&lt;1,1,$I103-$K103)*SUM((Range=$K103)*(CQS=IF($W103&lt;&gt;"Y",0,IF($AC103=196%,1,6)))*(IF($W103&lt;&gt;"Y",Bond_Mult_MCR,Bond_Mult))),((SUM((Range=$K103)*(CQS=HLOOKUP($AA103,Solv_Ratio_CQS_Map,2,0))*(Bond_Base))+IF($I103&lt;1,1,$I103-$K103)*SUM((Range=$K103)*(CQS=HLOOKUP($AA103,Solv_Ratio_CQS_Map,2,0))*(Bond_Mult)))*($AC103-$Y103)+(SUM((Range=$K103)*(CQS=HLOOKUP($AC103,Solv_Ratio_CQS_Map,2,0))*(Bond_Base))+IF($I103&lt;1,1,$I103-$K103)*SUM((Range=$K103)*(CQS=HLOOKUP($AC103,Solv_Ratio_CQS_Map,2,0))*(Bond_Mult)))*($Y103-$AA103))/($AC103-$AA103))))</f>
        <v/>
      </c>
      <c r="AJ103" s="53"/>
      <c r="AK103" s="121" t="str">
        <f t="shared" si="3"/>
        <v/>
      </c>
      <c r="AL103" s="53"/>
      <c r="AM103" s="123" t="str">
        <f t="shared" si="4"/>
        <v/>
      </c>
      <c r="AN103" s="115"/>
    </row>
    <row r="104" spans="2:40" x14ac:dyDescent="0.2">
      <c r="B104" s="116"/>
      <c r="C104" s="207"/>
      <c r="D104" s="53"/>
      <c r="E104" s="208"/>
      <c r="F104" s="53"/>
      <c r="G104" s="209"/>
      <c r="H104" s="53"/>
      <c r="I104" s="210"/>
      <c r="J104" s="53"/>
      <c r="K104" s="118" t="str">
        <f t="shared" si="2"/>
        <v/>
      </c>
      <c r="L104" s="53"/>
      <c r="M104" s="211"/>
      <c r="N104" s="53"/>
      <c r="O104" s="211"/>
      <c r="P104" s="53"/>
      <c r="Q104" s="211"/>
      <c r="R104" s="53"/>
      <c r="S104" s="211"/>
      <c r="T104" s="53"/>
      <c r="U104" s="117"/>
      <c r="V104" s="53"/>
      <c r="W104" s="119"/>
      <c r="X104" s="53"/>
      <c r="Y104" s="120"/>
      <c r="Z104" s="53"/>
      <c r="AA104" s="121" t="str">
        <f t="shared" si="5"/>
        <v/>
      </c>
      <c r="AB104" s="53"/>
      <c r="AC104" s="121" t="str">
        <f t="shared" si="6"/>
        <v/>
      </c>
      <c r="AD104" s="53"/>
      <c r="AE104" s="122" t="str">
        <f t="array" ref="AE104">IF(OR($C104="",$E104="",$G104="",$I104="",$M104="",$O104="",$Q104="",$S104="",$G104="Unrated"),"",IF($Q104="Y",0,MIN(1,SUM((IF($O104="Y",Cov_Range,Range)=$K104)*(IF($O104="Y",Cov_CQS,CQS)=$G104)*(IF($S104="Y",Gilt_Base,IF($O104="Y",Cov_Bond_Base,Bond_Base))))+IF($I104&lt;1,1,$I104-$K104)*SUM((IF($O104="Y",Cov_Range,Range)=$K104)*(IF($O104="Y",Cov_CQS,CQS)=$G104)*(IF($S104="Y",Gilt_Mult,IF($O104="Y",Cov_Bond_Mult,Bond_Mult)))))))</f>
        <v/>
      </c>
      <c r="AF104" s="53"/>
      <c r="AG104" s="122" t="str">
        <f t="array" ref="AG104">IF(OR($C104="",$E104="",$G104="",$I104="",$M104="",$O104="",$Q104="",$S104="",$G104&lt;&gt;"Unrated",$M104="Y"),"",MIN(1,IF(AND(U104&lt;E104,U104&gt;=E104*(1-(SUM((Range=$K104)*(Bond_Base_UR))+IF($I104&lt;1,1,$I104-$K104)*SUM((Range=$K104)*(Bond_Mult_UR))))),0.5*((SUM((Range=$K104)*(Bond_Base_UR))+IF($I104&lt;1,1,$I104-$K104)*SUM((Range=$K104)*(Bond_Mult_UR)))+((E104-U104)/E104)),IF(U104&gt;=E104,0.5,1)*(SUM((Range=$K104)*(Bond_Base_UR))+IF($I104&lt;1,1,$I104-$K104)*SUM((Range=$K104)*(Bond_Mult_UR))))))</f>
        <v/>
      </c>
      <c r="AH104" s="53"/>
      <c r="AI104" s="122" t="str">
        <f t="array" ref="AI104">IF(OR($C104="",$E104="",$G104="",$I104="",$M104="",$O104="",$Q104="",$S104="",$G104&lt;&gt;"Unrated",$M104&lt;&gt;"Y"),"",MIN(1,IF(OR($W104&lt;&gt;"Y",$AA104=$AC104),SUM((Range=$K104)*(CQS=IF($W104&lt;&gt;"Y",0,IF($AC104=196%,1,6)))*(IF($W104&lt;&gt;"Y",Bond_Base_MCR,Bond_Base)))+IF($I104&lt;1,1,$I104-$K104)*SUM((Range=$K104)*(CQS=IF($W104&lt;&gt;"Y",0,IF($AC104=196%,1,6)))*(IF($W104&lt;&gt;"Y",Bond_Mult_MCR,Bond_Mult))),((SUM((Range=$K104)*(CQS=HLOOKUP($AA104,Solv_Ratio_CQS_Map,2,0))*(Bond_Base))+IF($I104&lt;1,1,$I104-$K104)*SUM((Range=$K104)*(CQS=HLOOKUP($AA104,Solv_Ratio_CQS_Map,2,0))*(Bond_Mult)))*($AC104-$Y104)+(SUM((Range=$K104)*(CQS=HLOOKUP($AC104,Solv_Ratio_CQS_Map,2,0))*(Bond_Base))+IF($I104&lt;1,1,$I104-$K104)*SUM((Range=$K104)*(CQS=HLOOKUP($AC104,Solv_Ratio_CQS_Map,2,0))*(Bond_Mult)))*($Y104-$AA104))/($AC104-$AA104))))</f>
        <v/>
      </c>
      <c r="AJ104" s="53"/>
      <c r="AK104" s="121" t="str">
        <f t="shared" si="3"/>
        <v/>
      </c>
      <c r="AL104" s="53"/>
      <c r="AM104" s="123" t="str">
        <f t="shared" si="4"/>
        <v/>
      </c>
      <c r="AN104" s="115"/>
    </row>
    <row r="105" spans="2:40" x14ac:dyDescent="0.2">
      <c r="B105" s="116"/>
      <c r="C105" s="207"/>
      <c r="D105" s="53"/>
      <c r="E105" s="208"/>
      <c r="F105" s="53"/>
      <c r="G105" s="209"/>
      <c r="H105" s="53"/>
      <c r="I105" s="210"/>
      <c r="J105" s="53"/>
      <c r="K105" s="118" t="str">
        <f t="shared" si="2"/>
        <v/>
      </c>
      <c r="L105" s="53"/>
      <c r="M105" s="211"/>
      <c r="N105" s="53"/>
      <c r="O105" s="211"/>
      <c r="P105" s="53"/>
      <c r="Q105" s="211"/>
      <c r="R105" s="53"/>
      <c r="S105" s="211"/>
      <c r="T105" s="53"/>
      <c r="U105" s="117"/>
      <c r="V105" s="53"/>
      <c r="W105" s="119"/>
      <c r="X105" s="53"/>
      <c r="Y105" s="120"/>
      <c r="Z105" s="53"/>
      <c r="AA105" s="121" t="str">
        <f t="shared" si="5"/>
        <v/>
      </c>
      <c r="AB105" s="53"/>
      <c r="AC105" s="121" t="str">
        <f t="shared" si="6"/>
        <v/>
      </c>
      <c r="AD105" s="53"/>
      <c r="AE105" s="122" t="str">
        <f t="array" ref="AE105">IF(OR($C105="",$E105="",$G105="",$I105="",$M105="",$O105="",$Q105="",$S105="",$G105="Unrated"),"",IF($Q105="Y",0,MIN(1,SUM((IF($O105="Y",Cov_Range,Range)=$K105)*(IF($O105="Y",Cov_CQS,CQS)=$G105)*(IF($S105="Y",Gilt_Base,IF($O105="Y",Cov_Bond_Base,Bond_Base))))+IF($I105&lt;1,1,$I105-$K105)*SUM((IF($O105="Y",Cov_Range,Range)=$K105)*(IF($O105="Y",Cov_CQS,CQS)=$G105)*(IF($S105="Y",Gilt_Mult,IF($O105="Y",Cov_Bond_Mult,Bond_Mult)))))))</f>
        <v/>
      </c>
      <c r="AF105" s="53"/>
      <c r="AG105" s="122" t="str">
        <f t="array" ref="AG105">IF(OR($C105="",$E105="",$G105="",$I105="",$M105="",$O105="",$Q105="",$S105="",$G105&lt;&gt;"Unrated",$M105="Y"),"",MIN(1,IF(AND(U105&lt;E105,U105&gt;=E105*(1-(SUM((Range=$K105)*(Bond_Base_UR))+IF($I105&lt;1,1,$I105-$K105)*SUM((Range=$K105)*(Bond_Mult_UR))))),0.5*((SUM((Range=$K105)*(Bond_Base_UR))+IF($I105&lt;1,1,$I105-$K105)*SUM((Range=$K105)*(Bond_Mult_UR)))+((E105-U105)/E105)),IF(U105&gt;=E105,0.5,1)*(SUM((Range=$K105)*(Bond_Base_UR))+IF($I105&lt;1,1,$I105-$K105)*SUM((Range=$K105)*(Bond_Mult_UR))))))</f>
        <v/>
      </c>
      <c r="AH105" s="53"/>
      <c r="AI105" s="122" t="str">
        <f t="array" ref="AI105">IF(OR($C105="",$E105="",$G105="",$I105="",$M105="",$O105="",$Q105="",$S105="",$G105&lt;&gt;"Unrated",$M105&lt;&gt;"Y"),"",MIN(1,IF(OR($W105&lt;&gt;"Y",$AA105=$AC105),SUM((Range=$K105)*(CQS=IF($W105&lt;&gt;"Y",0,IF($AC105=196%,1,6)))*(IF($W105&lt;&gt;"Y",Bond_Base_MCR,Bond_Base)))+IF($I105&lt;1,1,$I105-$K105)*SUM((Range=$K105)*(CQS=IF($W105&lt;&gt;"Y",0,IF($AC105=196%,1,6)))*(IF($W105&lt;&gt;"Y",Bond_Mult_MCR,Bond_Mult))),((SUM((Range=$K105)*(CQS=HLOOKUP($AA105,Solv_Ratio_CQS_Map,2,0))*(Bond_Base))+IF($I105&lt;1,1,$I105-$K105)*SUM((Range=$K105)*(CQS=HLOOKUP($AA105,Solv_Ratio_CQS_Map,2,0))*(Bond_Mult)))*($AC105-$Y105)+(SUM((Range=$K105)*(CQS=HLOOKUP($AC105,Solv_Ratio_CQS_Map,2,0))*(Bond_Base))+IF($I105&lt;1,1,$I105-$K105)*SUM((Range=$K105)*(CQS=HLOOKUP($AC105,Solv_Ratio_CQS_Map,2,0))*(Bond_Mult)))*($Y105-$AA105))/($AC105-$AA105))))</f>
        <v/>
      </c>
      <c r="AJ105" s="53"/>
      <c r="AK105" s="121" t="str">
        <f t="shared" si="3"/>
        <v/>
      </c>
      <c r="AL105" s="53"/>
      <c r="AM105" s="123" t="str">
        <f t="shared" si="4"/>
        <v/>
      </c>
      <c r="AN105" s="115"/>
    </row>
    <row r="106" spans="2:40" x14ac:dyDescent="0.2">
      <c r="B106" s="116"/>
      <c r="C106" s="207"/>
      <c r="D106" s="53"/>
      <c r="E106" s="208"/>
      <c r="F106" s="53"/>
      <c r="G106" s="209"/>
      <c r="H106" s="53"/>
      <c r="I106" s="210"/>
      <c r="J106" s="53"/>
      <c r="K106" s="118" t="str">
        <f t="shared" si="2"/>
        <v/>
      </c>
      <c r="L106" s="53"/>
      <c r="M106" s="211"/>
      <c r="N106" s="53"/>
      <c r="O106" s="211"/>
      <c r="P106" s="53"/>
      <c r="Q106" s="211"/>
      <c r="R106" s="53"/>
      <c r="S106" s="211"/>
      <c r="T106" s="53"/>
      <c r="U106" s="117"/>
      <c r="V106" s="53"/>
      <c r="W106" s="119"/>
      <c r="X106" s="53"/>
      <c r="Y106" s="120"/>
      <c r="Z106" s="53"/>
      <c r="AA106" s="121" t="str">
        <f t="shared" si="5"/>
        <v/>
      </c>
      <c r="AB106" s="53"/>
      <c r="AC106" s="121" t="str">
        <f t="shared" si="6"/>
        <v/>
      </c>
      <c r="AD106" s="53"/>
      <c r="AE106" s="122" t="str">
        <f t="array" ref="AE106">IF(OR($C106="",$E106="",$G106="",$I106="",$M106="",$O106="",$Q106="",$S106="",$G106="Unrated"),"",IF($Q106="Y",0,MIN(1,SUM((IF($O106="Y",Cov_Range,Range)=$K106)*(IF($O106="Y",Cov_CQS,CQS)=$G106)*(IF($S106="Y",Gilt_Base,IF($O106="Y",Cov_Bond_Base,Bond_Base))))+IF($I106&lt;1,1,$I106-$K106)*SUM((IF($O106="Y",Cov_Range,Range)=$K106)*(IF($O106="Y",Cov_CQS,CQS)=$G106)*(IF($S106="Y",Gilt_Mult,IF($O106="Y",Cov_Bond_Mult,Bond_Mult)))))))</f>
        <v/>
      </c>
      <c r="AF106" s="53"/>
      <c r="AG106" s="122" t="str">
        <f t="array" ref="AG106">IF(OR($C106="",$E106="",$G106="",$I106="",$M106="",$O106="",$Q106="",$S106="",$G106&lt;&gt;"Unrated",$M106="Y"),"",MIN(1,IF(AND(U106&lt;E106,U106&gt;=E106*(1-(SUM((Range=$K106)*(Bond_Base_UR))+IF($I106&lt;1,1,$I106-$K106)*SUM((Range=$K106)*(Bond_Mult_UR))))),0.5*((SUM((Range=$K106)*(Bond_Base_UR))+IF($I106&lt;1,1,$I106-$K106)*SUM((Range=$K106)*(Bond_Mult_UR)))+((E106-U106)/E106)),IF(U106&gt;=E106,0.5,1)*(SUM((Range=$K106)*(Bond_Base_UR))+IF($I106&lt;1,1,$I106-$K106)*SUM((Range=$K106)*(Bond_Mult_UR))))))</f>
        <v/>
      </c>
      <c r="AH106" s="53"/>
      <c r="AI106" s="122" t="str">
        <f t="array" ref="AI106">IF(OR($C106="",$E106="",$G106="",$I106="",$M106="",$O106="",$Q106="",$S106="",$G106&lt;&gt;"Unrated",$M106&lt;&gt;"Y"),"",MIN(1,IF(OR($W106&lt;&gt;"Y",$AA106=$AC106),SUM((Range=$K106)*(CQS=IF($W106&lt;&gt;"Y",0,IF($AC106=196%,1,6)))*(IF($W106&lt;&gt;"Y",Bond_Base_MCR,Bond_Base)))+IF($I106&lt;1,1,$I106-$K106)*SUM((Range=$K106)*(CQS=IF($W106&lt;&gt;"Y",0,IF($AC106=196%,1,6)))*(IF($W106&lt;&gt;"Y",Bond_Mult_MCR,Bond_Mult))),((SUM((Range=$K106)*(CQS=HLOOKUP($AA106,Solv_Ratio_CQS_Map,2,0))*(Bond_Base))+IF($I106&lt;1,1,$I106-$K106)*SUM((Range=$K106)*(CQS=HLOOKUP($AA106,Solv_Ratio_CQS_Map,2,0))*(Bond_Mult)))*($AC106-$Y106)+(SUM((Range=$K106)*(CQS=HLOOKUP($AC106,Solv_Ratio_CQS_Map,2,0))*(Bond_Base))+IF($I106&lt;1,1,$I106-$K106)*SUM((Range=$K106)*(CQS=HLOOKUP($AC106,Solv_Ratio_CQS_Map,2,0))*(Bond_Mult)))*($Y106-$AA106))/($AC106-$AA106))))</f>
        <v/>
      </c>
      <c r="AJ106" s="53"/>
      <c r="AK106" s="121" t="str">
        <f t="shared" si="3"/>
        <v/>
      </c>
      <c r="AL106" s="53"/>
      <c r="AM106" s="123" t="str">
        <f t="shared" si="4"/>
        <v/>
      </c>
      <c r="AN106" s="115"/>
    </row>
    <row r="107" spans="2:40" x14ac:dyDescent="0.2">
      <c r="B107" s="116"/>
      <c r="C107" s="207"/>
      <c r="D107" s="53"/>
      <c r="E107" s="208"/>
      <c r="F107" s="53"/>
      <c r="G107" s="209"/>
      <c r="H107" s="53"/>
      <c r="I107" s="210"/>
      <c r="J107" s="53"/>
      <c r="K107" s="118" t="str">
        <f t="shared" si="2"/>
        <v/>
      </c>
      <c r="L107" s="53"/>
      <c r="M107" s="211"/>
      <c r="N107" s="53"/>
      <c r="O107" s="211"/>
      <c r="P107" s="53"/>
      <c r="Q107" s="211"/>
      <c r="R107" s="53"/>
      <c r="S107" s="211"/>
      <c r="T107" s="53"/>
      <c r="U107" s="117"/>
      <c r="V107" s="53"/>
      <c r="W107" s="119"/>
      <c r="X107" s="53"/>
      <c r="Y107" s="120"/>
      <c r="Z107" s="53"/>
      <c r="AA107" s="121" t="str">
        <f t="shared" si="5"/>
        <v/>
      </c>
      <c r="AB107" s="53"/>
      <c r="AC107" s="121" t="str">
        <f t="shared" si="6"/>
        <v/>
      </c>
      <c r="AD107" s="53"/>
      <c r="AE107" s="122" t="str">
        <f t="array" ref="AE107">IF(OR($C107="",$E107="",$G107="",$I107="",$M107="",$O107="",$Q107="",$S107="",$G107="Unrated"),"",IF($Q107="Y",0,MIN(1,SUM((IF($O107="Y",Cov_Range,Range)=$K107)*(IF($O107="Y",Cov_CQS,CQS)=$G107)*(IF($S107="Y",Gilt_Base,IF($O107="Y",Cov_Bond_Base,Bond_Base))))+IF($I107&lt;1,1,$I107-$K107)*SUM((IF($O107="Y",Cov_Range,Range)=$K107)*(IF($O107="Y",Cov_CQS,CQS)=$G107)*(IF($S107="Y",Gilt_Mult,IF($O107="Y",Cov_Bond_Mult,Bond_Mult)))))))</f>
        <v/>
      </c>
      <c r="AF107" s="53"/>
      <c r="AG107" s="122" t="str">
        <f t="array" ref="AG107">IF(OR($C107="",$E107="",$G107="",$I107="",$M107="",$O107="",$Q107="",$S107="",$G107&lt;&gt;"Unrated",$M107="Y"),"",MIN(1,IF(AND(U107&lt;E107,U107&gt;=E107*(1-(SUM((Range=$K107)*(Bond_Base_UR))+IF($I107&lt;1,1,$I107-$K107)*SUM((Range=$K107)*(Bond_Mult_UR))))),0.5*((SUM((Range=$K107)*(Bond_Base_UR))+IF($I107&lt;1,1,$I107-$K107)*SUM((Range=$K107)*(Bond_Mult_UR)))+((E107-U107)/E107)),IF(U107&gt;=E107,0.5,1)*(SUM((Range=$K107)*(Bond_Base_UR))+IF($I107&lt;1,1,$I107-$K107)*SUM((Range=$K107)*(Bond_Mult_UR))))))</f>
        <v/>
      </c>
      <c r="AH107" s="53"/>
      <c r="AI107" s="122" t="str">
        <f t="array" ref="AI107">IF(OR($C107="",$E107="",$G107="",$I107="",$M107="",$O107="",$Q107="",$S107="",$G107&lt;&gt;"Unrated",$M107&lt;&gt;"Y"),"",MIN(1,IF(OR($W107&lt;&gt;"Y",$AA107=$AC107),SUM((Range=$K107)*(CQS=IF($W107&lt;&gt;"Y",0,IF($AC107=196%,1,6)))*(IF($W107&lt;&gt;"Y",Bond_Base_MCR,Bond_Base)))+IF($I107&lt;1,1,$I107-$K107)*SUM((Range=$K107)*(CQS=IF($W107&lt;&gt;"Y",0,IF($AC107=196%,1,6)))*(IF($W107&lt;&gt;"Y",Bond_Mult_MCR,Bond_Mult))),((SUM((Range=$K107)*(CQS=HLOOKUP($AA107,Solv_Ratio_CQS_Map,2,0))*(Bond_Base))+IF($I107&lt;1,1,$I107-$K107)*SUM((Range=$K107)*(CQS=HLOOKUP($AA107,Solv_Ratio_CQS_Map,2,0))*(Bond_Mult)))*($AC107-$Y107)+(SUM((Range=$K107)*(CQS=HLOOKUP($AC107,Solv_Ratio_CQS_Map,2,0))*(Bond_Base))+IF($I107&lt;1,1,$I107-$K107)*SUM((Range=$K107)*(CQS=HLOOKUP($AC107,Solv_Ratio_CQS_Map,2,0))*(Bond_Mult)))*($Y107-$AA107))/($AC107-$AA107))))</f>
        <v/>
      </c>
      <c r="AJ107" s="53"/>
      <c r="AK107" s="121" t="str">
        <f t="shared" si="3"/>
        <v/>
      </c>
      <c r="AL107" s="53"/>
      <c r="AM107" s="123" t="str">
        <f t="shared" si="4"/>
        <v/>
      </c>
      <c r="AN107" s="115"/>
    </row>
    <row r="108" spans="2:40" x14ac:dyDescent="0.2">
      <c r="B108" s="116"/>
      <c r="C108" s="207"/>
      <c r="D108" s="53"/>
      <c r="E108" s="208"/>
      <c r="F108" s="53"/>
      <c r="G108" s="209"/>
      <c r="H108" s="53"/>
      <c r="I108" s="210"/>
      <c r="J108" s="53"/>
      <c r="K108" s="118" t="str">
        <f t="shared" si="2"/>
        <v/>
      </c>
      <c r="L108" s="53"/>
      <c r="M108" s="211"/>
      <c r="N108" s="53"/>
      <c r="O108" s="211"/>
      <c r="P108" s="53"/>
      <c r="Q108" s="211"/>
      <c r="R108" s="53"/>
      <c r="S108" s="211"/>
      <c r="T108" s="53"/>
      <c r="U108" s="117"/>
      <c r="V108" s="53"/>
      <c r="W108" s="119"/>
      <c r="X108" s="53"/>
      <c r="Y108" s="120"/>
      <c r="Z108" s="53"/>
      <c r="AA108" s="121" t="str">
        <f t="shared" ref="AA108:AA139" si="7">IF(AND($G108="Unrated",$M108="Y",$W108="Y"),IF($Y108&gt;=196%,196%,IF($Y108&lt;=75%,75%,IF($Y108&gt;175%,175%,IF($Y108&gt;122%,122%,IF($Y108&gt;95%,95%,75%))))),"")</f>
        <v/>
      </c>
      <c r="AB108" s="53"/>
      <c r="AC108" s="121" t="str">
        <f t="shared" ref="AC108:AC139" si="8">IF(AND($G108="Unrated",$M108="Y",$W108="Y"),IF($Y108&gt;=196%,196%,IF($Y108&lt;=75%,75%,IF($Y108&gt;175%,196%,IF($Y108&gt;122%,175%,IF($Y108&gt;95%,122%,95%))))),"")</f>
        <v/>
      </c>
      <c r="AD108" s="53"/>
      <c r="AE108" s="122" t="str">
        <f t="array" ref="AE108">IF(OR($C108="",$E108="",$G108="",$I108="",$M108="",$O108="",$Q108="",$S108="",$G108="Unrated"),"",IF($Q108="Y",0,MIN(1,SUM((IF($O108="Y",Cov_Range,Range)=$K108)*(IF($O108="Y",Cov_CQS,CQS)=$G108)*(IF($S108="Y",Gilt_Base,IF($O108="Y",Cov_Bond_Base,Bond_Base))))+IF($I108&lt;1,1,$I108-$K108)*SUM((IF($O108="Y",Cov_Range,Range)=$K108)*(IF($O108="Y",Cov_CQS,CQS)=$G108)*(IF($S108="Y",Gilt_Mult,IF($O108="Y",Cov_Bond_Mult,Bond_Mult)))))))</f>
        <v/>
      </c>
      <c r="AF108" s="53"/>
      <c r="AG108" s="122" t="str">
        <f t="array" ref="AG108">IF(OR($C108="",$E108="",$G108="",$I108="",$M108="",$O108="",$Q108="",$S108="",$G108&lt;&gt;"Unrated",$M108="Y"),"",MIN(1,IF(AND(U108&lt;E108,U108&gt;=E108*(1-(SUM((Range=$K108)*(Bond_Base_UR))+IF($I108&lt;1,1,$I108-$K108)*SUM((Range=$K108)*(Bond_Mult_UR))))),0.5*((SUM((Range=$K108)*(Bond_Base_UR))+IF($I108&lt;1,1,$I108-$K108)*SUM((Range=$K108)*(Bond_Mult_UR)))+((E108-U108)/E108)),IF(U108&gt;=E108,0.5,1)*(SUM((Range=$K108)*(Bond_Base_UR))+IF($I108&lt;1,1,$I108-$K108)*SUM((Range=$K108)*(Bond_Mult_UR))))))</f>
        <v/>
      </c>
      <c r="AH108" s="53"/>
      <c r="AI108" s="122" t="str">
        <f t="array" ref="AI108">IF(OR($C108="",$E108="",$G108="",$I108="",$M108="",$O108="",$Q108="",$S108="",$G108&lt;&gt;"Unrated",$M108&lt;&gt;"Y"),"",MIN(1,IF(OR($W108&lt;&gt;"Y",$AA108=$AC108),SUM((Range=$K108)*(CQS=IF($W108&lt;&gt;"Y",0,IF($AC108=196%,1,6)))*(IF($W108&lt;&gt;"Y",Bond_Base_MCR,Bond_Base)))+IF($I108&lt;1,1,$I108-$K108)*SUM((Range=$K108)*(CQS=IF($W108&lt;&gt;"Y",0,IF($AC108=196%,1,6)))*(IF($W108&lt;&gt;"Y",Bond_Mult_MCR,Bond_Mult))),((SUM((Range=$K108)*(CQS=HLOOKUP($AA108,Solv_Ratio_CQS_Map,2,0))*(Bond_Base))+IF($I108&lt;1,1,$I108-$K108)*SUM((Range=$K108)*(CQS=HLOOKUP($AA108,Solv_Ratio_CQS_Map,2,0))*(Bond_Mult)))*($AC108-$Y108)+(SUM((Range=$K108)*(CQS=HLOOKUP($AC108,Solv_Ratio_CQS_Map,2,0))*(Bond_Base))+IF($I108&lt;1,1,$I108-$K108)*SUM((Range=$K108)*(CQS=HLOOKUP($AC108,Solv_Ratio_CQS_Map,2,0))*(Bond_Mult)))*($Y108-$AA108))/($AC108-$AA108))))</f>
        <v/>
      </c>
      <c r="AJ108" s="53"/>
      <c r="AK108" s="121" t="str">
        <f t="shared" si="3"/>
        <v/>
      </c>
      <c r="AL108" s="53"/>
      <c r="AM108" s="123" t="str">
        <f t="shared" si="4"/>
        <v/>
      </c>
      <c r="AN108" s="115"/>
    </row>
    <row r="109" spans="2:40" x14ac:dyDescent="0.2">
      <c r="B109" s="116"/>
      <c r="C109" s="207"/>
      <c r="D109" s="53"/>
      <c r="E109" s="208"/>
      <c r="F109" s="53"/>
      <c r="G109" s="209"/>
      <c r="H109" s="53"/>
      <c r="I109" s="210"/>
      <c r="J109" s="53"/>
      <c r="K109" s="118" t="str">
        <f t="shared" ref="K109:K168" si="9">IF(I109="","",IF($O109="Y",IF($I109&lt;=5,0,5),IF(ROUNDUP($I109/5,0)-1&gt;4,4,ROUNDUP($I109/5,0)-1)*5))</f>
        <v/>
      </c>
      <c r="L109" s="53"/>
      <c r="M109" s="211"/>
      <c r="N109" s="53"/>
      <c r="O109" s="211"/>
      <c r="P109" s="53"/>
      <c r="Q109" s="211"/>
      <c r="R109" s="53"/>
      <c r="S109" s="211"/>
      <c r="T109" s="53"/>
      <c r="U109" s="117"/>
      <c r="V109" s="53"/>
      <c r="W109" s="119"/>
      <c r="X109" s="53"/>
      <c r="Y109" s="120"/>
      <c r="Z109" s="53"/>
      <c r="AA109" s="121" t="str">
        <f t="shared" si="7"/>
        <v/>
      </c>
      <c r="AB109" s="53"/>
      <c r="AC109" s="121" t="str">
        <f t="shared" si="8"/>
        <v/>
      </c>
      <c r="AD109" s="53"/>
      <c r="AE109" s="122" t="str">
        <f t="array" ref="AE109">IF(OR($C109="",$E109="",$G109="",$I109="",$M109="",$O109="",$Q109="",$S109="",$G109="Unrated"),"",IF($Q109="Y",0,MIN(1,SUM((IF($O109="Y",Cov_Range,Range)=$K109)*(IF($O109="Y",Cov_CQS,CQS)=$G109)*(IF($S109="Y",Gilt_Base,IF($O109="Y",Cov_Bond_Base,Bond_Base))))+IF($I109&lt;1,1,$I109-$K109)*SUM((IF($O109="Y",Cov_Range,Range)=$K109)*(IF($O109="Y",Cov_CQS,CQS)=$G109)*(IF($S109="Y",Gilt_Mult,IF($O109="Y",Cov_Bond_Mult,Bond_Mult)))))))</f>
        <v/>
      </c>
      <c r="AF109" s="53"/>
      <c r="AG109" s="122" t="str">
        <f t="array" ref="AG109">IF(OR($C109="",$E109="",$G109="",$I109="",$M109="",$O109="",$Q109="",$S109="",$G109&lt;&gt;"Unrated",$M109="Y"),"",MIN(1,IF(AND(U109&lt;E109,U109&gt;=E109*(1-(SUM((Range=$K109)*(Bond_Base_UR))+IF($I109&lt;1,1,$I109-$K109)*SUM((Range=$K109)*(Bond_Mult_UR))))),0.5*((SUM((Range=$K109)*(Bond_Base_UR))+IF($I109&lt;1,1,$I109-$K109)*SUM((Range=$K109)*(Bond_Mult_UR)))+((E109-U109)/E109)),IF(U109&gt;=E109,0.5,1)*(SUM((Range=$K109)*(Bond_Base_UR))+IF($I109&lt;1,1,$I109-$K109)*SUM((Range=$K109)*(Bond_Mult_UR))))))</f>
        <v/>
      </c>
      <c r="AH109" s="53"/>
      <c r="AI109" s="122" t="str">
        <f t="array" ref="AI109">IF(OR($C109="",$E109="",$G109="",$I109="",$M109="",$O109="",$Q109="",$S109="",$G109&lt;&gt;"Unrated",$M109&lt;&gt;"Y"),"",MIN(1,IF(OR($W109&lt;&gt;"Y",$AA109=$AC109),SUM((Range=$K109)*(CQS=IF($W109&lt;&gt;"Y",0,IF($AC109=196%,1,6)))*(IF($W109&lt;&gt;"Y",Bond_Base_MCR,Bond_Base)))+IF($I109&lt;1,1,$I109-$K109)*SUM((Range=$K109)*(CQS=IF($W109&lt;&gt;"Y",0,IF($AC109=196%,1,6)))*(IF($W109&lt;&gt;"Y",Bond_Mult_MCR,Bond_Mult))),((SUM((Range=$K109)*(CQS=HLOOKUP($AA109,Solv_Ratio_CQS_Map,2,0))*(Bond_Base))+IF($I109&lt;1,1,$I109-$K109)*SUM((Range=$K109)*(CQS=HLOOKUP($AA109,Solv_Ratio_CQS_Map,2,0))*(Bond_Mult)))*($AC109-$Y109)+(SUM((Range=$K109)*(CQS=HLOOKUP($AC109,Solv_Ratio_CQS_Map,2,0))*(Bond_Base))+IF($I109&lt;1,1,$I109-$K109)*SUM((Range=$K109)*(CQS=HLOOKUP($AC109,Solv_Ratio_CQS_Map,2,0))*(Bond_Mult)))*($Y109-$AA109))/($AC109-$AA109))))</f>
        <v/>
      </c>
      <c r="AJ109" s="53"/>
      <c r="AK109" s="121" t="str">
        <f t="shared" ref="AK109:AK168" si="10">IF(AND(AE109="",AG109="",AI109=""),"",SUM(AE109,AG109,AI109))</f>
        <v/>
      </c>
      <c r="AL109" s="53"/>
      <c r="AM109" s="123" t="str">
        <f t="shared" ref="AM109:AM168" si="11">IF(AK109="","",-$AK109*$E109)</f>
        <v/>
      </c>
      <c r="AN109" s="115"/>
    </row>
    <row r="110" spans="2:40" x14ac:dyDescent="0.2">
      <c r="B110" s="116"/>
      <c r="C110" s="207"/>
      <c r="D110" s="53"/>
      <c r="E110" s="208"/>
      <c r="F110" s="53"/>
      <c r="G110" s="209"/>
      <c r="H110" s="53"/>
      <c r="I110" s="210"/>
      <c r="J110" s="53"/>
      <c r="K110" s="118" t="str">
        <f t="shared" si="9"/>
        <v/>
      </c>
      <c r="L110" s="53"/>
      <c r="M110" s="211"/>
      <c r="N110" s="53"/>
      <c r="O110" s="211"/>
      <c r="P110" s="53"/>
      <c r="Q110" s="211"/>
      <c r="R110" s="53"/>
      <c r="S110" s="211"/>
      <c r="T110" s="53"/>
      <c r="U110" s="117"/>
      <c r="V110" s="53"/>
      <c r="W110" s="119"/>
      <c r="X110" s="53"/>
      <c r="Y110" s="120"/>
      <c r="Z110" s="53"/>
      <c r="AA110" s="121" t="str">
        <f t="shared" si="7"/>
        <v/>
      </c>
      <c r="AB110" s="53"/>
      <c r="AC110" s="121" t="str">
        <f t="shared" si="8"/>
        <v/>
      </c>
      <c r="AD110" s="53"/>
      <c r="AE110" s="122" t="str">
        <f t="array" ref="AE110">IF(OR($C110="",$E110="",$G110="",$I110="",$M110="",$O110="",$Q110="",$S110="",$G110="Unrated"),"",IF($Q110="Y",0,MIN(1,SUM((IF($O110="Y",Cov_Range,Range)=$K110)*(IF($O110="Y",Cov_CQS,CQS)=$G110)*(IF($S110="Y",Gilt_Base,IF($O110="Y",Cov_Bond_Base,Bond_Base))))+IF($I110&lt;1,1,$I110-$K110)*SUM((IF($O110="Y",Cov_Range,Range)=$K110)*(IF($O110="Y",Cov_CQS,CQS)=$G110)*(IF($S110="Y",Gilt_Mult,IF($O110="Y",Cov_Bond_Mult,Bond_Mult)))))))</f>
        <v/>
      </c>
      <c r="AF110" s="53"/>
      <c r="AG110" s="122" t="str">
        <f t="array" ref="AG110">IF(OR($C110="",$E110="",$G110="",$I110="",$M110="",$O110="",$Q110="",$S110="",$G110&lt;&gt;"Unrated",$M110="Y"),"",MIN(1,IF(AND(U110&lt;E110,U110&gt;=E110*(1-(SUM((Range=$K110)*(Bond_Base_UR))+IF($I110&lt;1,1,$I110-$K110)*SUM((Range=$K110)*(Bond_Mult_UR))))),0.5*((SUM((Range=$K110)*(Bond_Base_UR))+IF($I110&lt;1,1,$I110-$K110)*SUM((Range=$K110)*(Bond_Mult_UR)))+((E110-U110)/E110)),IF(U110&gt;=E110,0.5,1)*(SUM((Range=$K110)*(Bond_Base_UR))+IF($I110&lt;1,1,$I110-$K110)*SUM((Range=$K110)*(Bond_Mult_UR))))))</f>
        <v/>
      </c>
      <c r="AH110" s="53"/>
      <c r="AI110" s="122" t="str">
        <f t="array" ref="AI110">IF(OR($C110="",$E110="",$G110="",$I110="",$M110="",$O110="",$Q110="",$S110="",$G110&lt;&gt;"Unrated",$M110&lt;&gt;"Y"),"",MIN(1,IF(OR($W110&lt;&gt;"Y",$AA110=$AC110),SUM((Range=$K110)*(CQS=IF($W110&lt;&gt;"Y",0,IF($AC110=196%,1,6)))*(IF($W110&lt;&gt;"Y",Bond_Base_MCR,Bond_Base)))+IF($I110&lt;1,1,$I110-$K110)*SUM((Range=$K110)*(CQS=IF($W110&lt;&gt;"Y",0,IF($AC110=196%,1,6)))*(IF($W110&lt;&gt;"Y",Bond_Mult_MCR,Bond_Mult))),((SUM((Range=$K110)*(CQS=HLOOKUP($AA110,Solv_Ratio_CQS_Map,2,0))*(Bond_Base))+IF($I110&lt;1,1,$I110-$K110)*SUM((Range=$K110)*(CQS=HLOOKUP($AA110,Solv_Ratio_CQS_Map,2,0))*(Bond_Mult)))*($AC110-$Y110)+(SUM((Range=$K110)*(CQS=HLOOKUP($AC110,Solv_Ratio_CQS_Map,2,0))*(Bond_Base))+IF($I110&lt;1,1,$I110-$K110)*SUM((Range=$K110)*(CQS=HLOOKUP($AC110,Solv_Ratio_CQS_Map,2,0))*(Bond_Mult)))*($Y110-$AA110))/($AC110-$AA110))))</f>
        <v/>
      </c>
      <c r="AJ110" s="53"/>
      <c r="AK110" s="121" t="str">
        <f t="shared" si="10"/>
        <v/>
      </c>
      <c r="AL110" s="53"/>
      <c r="AM110" s="123" t="str">
        <f t="shared" si="11"/>
        <v/>
      </c>
      <c r="AN110" s="115"/>
    </row>
    <row r="111" spans="2:40" x14ac:dyDescent="0.2">
      <c r="B111" s="116"/>
      <c r="C111" s="207"/>
      <c r="D111" s="53"/>
      <c r="E111" s="208"/>
      <c r="F111" s="53"/>
      <c r="G111" s="209"/>
      <c r="H111" s="53"/>
      <c r="I111" s="210"/>
      <c r="J111" s="53"/>
      <c r="K111" s="118" t="str">
        <f t="shared" si="9"/>
        <v/>
      </c>
      <c r="L111" s="53"/>
      <c r="M111" s="211"/>
      <c r="N111" s="53"/>
      <c r="O111" s="211"/>
      <c r="P111" s="53"/>
      <c r="Q111" s="211"/>
      <c r="R111" s="53"/>
      <c r="S111" s="211"/>
      <c r="T111" s="53"/>
      <c r="U111" s="117"/>
      <c r="V111" s="53"/>
      <c r="W111" s="119"/>
      <c r="X111" s="53"/>
      <c r="Y111" s="120"/>
      <c r="Z111" s="53"/>
      <c r="AA111" s="121" t="str">
        <f t="shared" si="7"/>
        <v/>
      </c>
      <c r="AB111" s="53"/>
      <c r="AC111" s="121" t="str">
        <f t="shared" si="8"/>
        <v/>
      </c>
      <c r="AD111" s="53"/>
      <c r="AE111" s="122" t="str">
        <f t="array" ref="AE111">IF(OR($C111="",$E111="",$G111="",$I111="",$M111="",$O111="",$Q111="",$S111="",$G111="Unrated"),"",IF($Q111="Y",0,MIN(1,SUM((IF($O111="Y",Cov_Range,Range)=$K111)*(IF($O111="Y",Cov_CQS,CQS)=$G111)*(IF($S111="Y",Gilt_Base,IF($O111="Y",Cov_Bond_Base,Bond_Base))))+IF($I111&lt;1,1,$I111-$K111)*SUM((IF($O111="Y",Cov_Range,Range)=$K111)*(IF($O111="Y",Cov_CQS,CQS)=$G111)*(IF($S111="Y",Gilt_Mult,IF($O111="Y",Cov_Bond_Mult,Bond_Mult)))))))</f>
        <v/>
      </c>
      <c r="AF111" s="53"/>
      <c r="AG111" s="122" t="str">
        <f t="array" ref="AG111">IF(OR($C111="",$E111="",$G111="",$I111="",$M111="",$O111="",$Q111="",$S111="",$G111&lt;&gt;"Unrated",$M111="Y"),"",MIN(1,IF(AND(U111&lt;E111,U111&gt;=E111*(1-(SUM((Range=$K111)*(Bond_Base_UR))+IF($I111&lt;1,1,$I111-$K111)*SUM((Range=$K111)*(Bond_Mult_UR))))),0.5*((SUM((Range=$K111)*(Bond_Base_UR))+IF($I111&lt;1,1,$I111-$K111)*SUM((Range=$K111)*(Bond_Mult_UR)))+((E111-U111)/E111)),IF(U111&gt;=E111,0.5,1)*(SUM((Range=$K111)*(Bond_Base_UR))+IF($I111&lt;1,1,$I111-$K111)*SUM((Range=$K111)*(Bond_Mult_UR))))))</f>
        <v/>
      </c>
      <c r="AH111" s="53"/>
      <c r="AI111" s="122" t="str">
        <f t="array" ref="AI111">IF(OR($C111="",$E111="",$G111="",$I111="",$M111="",$O111="",$Q111="",$S111="",$G111&lt;&gt;"Unrated",$M111&lt;&gt;"Y"),"",MIN(1,IF(OR($W111&lt;&gt;"Y",$AA111=$AC111),SUM((Range=$K111)*(CQS=IF($W111&lt;&gt;"Y",0,IF($AC111=196%,1,6)))*(IF($W111&lt;&gt;"Y",Bond_Base_MCR,Bond_Base)))+IF($I111&lt;1,1,$I111-$K111)*SUM((Range=$K111)*(CQS=IF($W111&lt;&gt;"Y",0,IF($AC111=196%,1,6)))*(IF($W111&lt;&gt;"Y",Bond_Mult_MCR,Bond_Mult))),((SUM((Range=$K111)*(CQS=HLOOKUP($AA111,Solv_Ratio_CQS_Map,2,0))*(Bond_Base))+IF($I111&lt;1,1,$I111-$K111)*SUM((Range=$K111)*(CQS=HLOOKUP($AA111,Solv_Ratio_CQS_Map,2,0))*(Bond_Mult)))*($AC111-$Y111)+(SUM((Range=$K111)*(CQS=HLOOKUP($AC111,Solv_Ratio_CQS_Map,2,0))*(Bond_Base))+IF($I111&lt;1,1,$I111-$K111)*SUM((Range=$K111)*(CQS=HLOOKUP($AC111,Solv_Ratio_CQS_Map,2,0))*(Bond_Mult)))*($Y111-$AA111))/($AC111-$AA111))))</f>
        <v/>
      </c>
      <c r="AJ111" s="53"/>
      <c r="AK111" s="121" t="str">
        <f t="shared" si="10"/>
        <v/>
      </c>
      <c r="AL111" s="53"/>
      <c r="AM111" s="123" t="str">
        <f t="shared" si="11"/>
        <v/>
      </c>
      <c r="AN111" s="115"/>
    </row>
    <row r="112" spans="2:40" x14ac:dyDescent="0.2">
      <c r="B112" s="116"/>
      <c r="C112" s="207"/>
      <c r="D112" s="53"/>
      <c r="E112" s="208"/>
      <c r="F112" s="53"/>
      <c r="G112" s="209"/>
      <c r="H112" s="53"/>
      <c r="I112" s="210"/>
      <c r="J112" s="53"/>
      <c r="K112" s="118" t="str">
        <f t="shared" si="9"/>
        <v/>
      </c>
      <c r="L112" s="53"/>
      <c r="M112" s="211"/>
      <c r="N112" s="53"/>
      <c r="O112" s="211"/>
      <c r="P112" s="53"/>
      <c r="Q112" s="211"/>
      <c r="R112" s="53"/>
      <c r="S112" s="211"/>
      <c r="T112" s="53"/>
      <c r="U112" s="117"/>
      <c r="V112" s="53"/>
      <c r="W112" s="119"/>
      <c r="X112" s="53"/>
      <c r="Y112" s="120"/>
      <c r="Z112" s="53"/>
      <c r="AA112" s="121" t="str">
        <f t="shared" si="7"/>
        <v/>
      </c>
      <c r="AB112" s="53"/>
      <c r="AC112" s="121" t="str">
        <f t="shared" si="8"/>
        <v/>
      </c>
      <c r="AD112" s="53"/>
      <c r="AE112" s="122" t="str">
        <f t="array" ref="AE112">IF(OR($C112="",$E112="",$G112="",$I112="",$M112="",$O112="",$Q112="",$S112="",$G112="Unrated"),"",IF($Q112="Y",0,MIN(1,SUM((IF($O112="Y",Cov_Range,Range)=$K112)*(IF($O112="Y",Cov_CQS,CQS)=$G112)*(IF($S112="Y",Gilt_Base,IF($O112="Y",Cov_Bond_Base,Bond_Base))))+IF($I112&lt;1,1,$I112-$K112)*SUM((IF($O112="Y",Cov_Range,Range)=$K112)*(IF($O112="Y",Cov_CQS,CQS)=$G112)*(IF($S112="Y",Gilt_Mult,IF($O112="Y",Cov_Bond_Mult,Bond_Mult)))))))</f>
        <v/>
      </c>
      <c r="AF112" s="53"/>
      <c r="AG112" s="122" t="str">
        <f t="array" ref="AG112">IF(OR($C112="",$E112="",$G112="",$I112="",$M112="",$O112="",$Q112="",$S112="",$G112&lt;&gt;"Unrated",$M112="Y"),"",MIN(1,IF(AND(U112&lt;E112,U112&gt;=E112*(1-(SUM((Range=$K112)*(Bond_Base_UR))+IF($I112&lt;1,1,$I112-$K112)*SUM((Range=$K112)*(Bond_Mult_UR))))),0.5*((SUM((Range=$K112)*(Bond_Base_UR))+IF($I112&lt;1,1,$I112-$K112)*SUM((Range=$K112)*(Bond_Mult_UR)))+((E112-U112)/E112)),IF(U112&gt;=E112,0.5,1)*(SUM((Range=$K112)*(Bond_Base_UR))+IF($I112&lt;1,1,$I112-$K112)*SUM((Range=$K112)*(Bond_Mult_UR))))))</f>
        <v/>
      </c>
      <c r="AH112" s="53"/>
      <c r="AI112" s="122" t="str">
        <f t="array" ref="AI112">IF(OR($C112="",$E112="",$G112="",$I112="",$M112="",$O112="",$Q112="",$S112="",$G112&lt;&gt;"Unrated",$M112&lt;&gt;"Y"),"",MIN(1,IF(OR($W112&lt;&gt;"Y",$AA112=$AC112),SUM((Range=$K112)*(CQS=IF($W112&lt;&gt;"Y",0,IF($AC112=196%,1,6)))*(IF($W112&lt;&gt;"Y",Bond_Base_MCR,Bond_Base)))+IF($I112&lt;1,1,$I112-$K112)*SUM((Range=$K112)*(CQS=IF($W112&lt;&gt;"Y",0,IF($AC112=196%,1,6)))*(IF($W112&lt;&gt;"Y",Bond_Mult_MCR,Bond_Mult))),((SUM((Range=$K112)*(CQS=HLOOKUP($AA112,Solv_Ratio_CQS_Map,2,0))*(Bond_Base))+IF($I112&lt;1,1,$I112-$K112)*SUM((Range=$K112)*(CQS=HLOOKUP($AA112,Solv_Ratio_CQS_Map,2,0))*(Bond_Mult)))*($AC112-$Y112)+(SUM((Range=$K112)*(CQS=HLOOKUP($AC112,Solv_Ratio_CQS_Map,2,0))*(Bond_Base))+IF($I112&lt;1,1,$I112-$K112)*SUM((Range=$K112)*(CQS=HLOOKUP($AC112,Solv_Ratio_CQS_Map,2,0))*(Bond_Mult)))*($Y112-$AA112))/($AC112-$AA112))))</f>
        <v/>
      </c>
      <c r="AJ112" s="53"/>
      <c r="AK112" s="121" t="str">
        <f t="shared" si="10"/>
        <v/>
      </c>
      <c r="AL112" s="53"/>
      <c r="AM112" s="123" t="str">
        <f t="shared" si="11"/>
        <v/>
      </c>
      <c r="AN112" s="115"/>
    </row>
    <row r="113" spans="2:40" x14ac:dyDescent="0.2">
      <c r="B113" s="116"/>
      <c r="C113" s="207"/>
      <c r="D113" s="53"/>
      <c r="E113" s="208"/>
      <c r="F113" s="53"/>
      <c r="G113" s="209"/>
      <c r="H113" s="53"/>
      <c r="I113" s="210"/>
      <c r="J113" s="53"/>
      <c r="K113" s="118" t="str">
        <f t="shared" si="9"/>
        <v/>
      </c>
      <c r="L113" s="53"/>
      <c r="M113" s="211"/>
      <c r="N113" s="53"/>
      <c r="O113" s="211"/>
      <c r="P113" s="53"/>
      <c r="Q113" s="211"/>
      <c r="R113" s="53"/>
      <c r="S113" s="211"/>
      <c r="T113" s="53"/>
      <c r="U113" s="117"/>
      <c r="V113" s="53"/>
      <c r="W113" s="119"/>
      <c r="X113" s="53"/>
      <c r="Y113" s="120"/>
      <c r="Z113" s="53"/>
      <c r="AA113" s="121" t="str">
        <f t="shared" si="7"/>
        <v/>
      </c>
      <c r="AB113" s="53"/>
      <c r="AC113" s="121" t="str">
        <f t="shared" si="8"/>
        <v/>
      </c>
      <c r="AD113" s="53"/>
      <c r="AE113" s="122" t="str">
        <f t="array" ref="AE113">IF(OR($C113="",$E113="",$G113="",$I113="",$M113="",$O113="",$Q113="",$S113="",$G113="Unrated"),"",IF($Q113="Y",0,MIN(1,SUM((IF($O113="Y",Cov_Range,Range)=$K113)*(IF($O113="Y",Cov_CQS,CQS)=$G113)*(IF($S113="Y",Gilt_Base,IF($O113="Y",Cov_Bond_Base,Bond_Base))))+IF($I113&lt;1,1,$I113-$K113)*SUM((IF($O113="Y",Cov_Range,Range)=$K113)*(IF($O113="Y",Cov_CQS,CQS)=$G113)*(IF($S113="Y",Gilt_Mult,IF($O113="Y",Cov_Bond_Mult,Bond_Mult)))))))</f>
        <v/>
      </c>
      <c r="AF113" s="53"/>
      <c r="AG113" s="122" t="str">
        <f t="array" ref="AG113">IF(OR($C113="",$E113="",$G113="",$I113="",$M113="",$O113="",$Q113="",$S113="",$G113&lt;&gt;"Unrated",$M113="Y"),"",MIN(1,IF(AND(U113&lt;E113,U113&gt;=E113*(1-(SUM((Range=$K113)*(Bond_Base_UR))+IF($I113&lt;1,1,$I113-$K113)*SUM((Range=$K113)*(Bond_Mult_UR))))),0.5*((SUM((Range=$K113)*(Bond_Base_UR))+IF($I113&lt;1,1,$I113-$K113)*SUM((Range=$K113)*(Bond_Mult_UR)))+((E113-U113)/E113)),IF(U113&gt;=E113,0.5,1)*(SUM((Range=$K113)*(Bond_Base_UR))+IF($I113&lt;1,1,$I113-$K113)*SUM((Range=$K113)*(Bond_Mult_UR))))))</f>
        <v/>
      </c>
      <c r="AH113" s="53"/>
      <c r="AI113" s="122" t="str">
        <f t="array" ref="AI113">IF(OR($C113="",$E113="",$G113="",$I113="",$M113="",$O113="",$Q113="",$S113="",$G113&lt;&gt;"Unrated",$M113&lt;&gt;"Y"),"",MIN(1,IF(OR($W113&lt;&gt;"Y",$AA113=$AC113),SUM((Range=$K113)*(CQS=IF($W113&lt;&gt;"Y",0,IF($AC113=196%,1,6)))*(IF($W113&lt;&gt;"Y",Bond_Base_MCR,Bond_Base)))+IF($I113&lt;1,1,$I113-$K113)*SUM((Range=$K113)*(CQS=IF($W113&lt;&gt;"Y",0,IF($AC113=196%,1,6)))*(IF($W113&lt;&gt;"Y",Bond_Mult_MCR,Bond_Mult))),((SUM((Range=$K113)*(CQS=HLOOKUP($AA113,Solv_Ratio_CQS_Map,2,0))*(Bond_Base))+IF($I113&lt;1,1,$I113-$K113)*SUM((Range=$K113)*(CQS=HLOOKUP($AA113,Solv_Ratio_CQS_Map,2,0))*(Bond_Mult)))*($AC113-$Y113)+(SUM((Range=$K113)*(CQS=HLOOKUP($AC113,Solv_Ratio_CQS_Map,2,0))*(Bond_Base))+IF($I113&lt;1,1,$I113-$K113)*SUM((Range=$K113)*(CQS=HLOOKUP($AC113,Solv_Ratio_CQS_Map,2,0))*(Bond_Mult)))*($Y113-$AA113))/($AC113-$AA113))))</f>
        <v/>
      </c>
      <c r="AJ113" s="53"/>
      <c r="AK113" s="121" t="str">
        <f t="shared" si="10"/>
        <v/>
      </c>
      <c r="AL113" s="53"/>
      <c r="AM113" s="123" t="str">
        <f t="shared" si="11"/>
        <v/>
      </c>
      <c r="AN113" s="115"/>
    </row>
    <row r="114" spans="2:40" x14ac:dyDescent="0.2">
      <c r="B114" s="116"/>
      <c r="C114" s="207"/>
      <c r="D114" s="53"/>
      <c r="E114" s="208"/>
      <c r="F114" s="53"/>
      <c r="G114" s="209"/>
      <c r="H114" s="53"/>
      <c r="I114" s="210"/>
      <c r="J114" s="53"/>
      <c r="K114" s="118" t="str">
        <f t="shared" si="9"/>
        <v/>
      </c>
      <c r="L114" s="53"/>
      <c r="M114" s="211"/>
      <c r="N114" s="53"/>
      <c r="O114" s="211"/>
      <c r="P114" s="53"/>
      <c r="Q114" s="211"/>
      <c r="R114" s="53"/>
      <c r="S114" s="211"/>
      <c r="T114" s="53"/>
      <c r="U114" s="117"/>
      <c r="V114" s="53"/>
      <c r="W114" s="119"/>
      <c r="X114" s="53"/>
      <c r="Y114" s="120"/>
      <c r="Z114" s="53"/>
      <c r="AA114" s="121" t="str">
        <f t="shared" si="7"/>
        <v/>
      </c>
      <c r="AB114" s="53"/>
      <c r="AC114" s="121" t="str">
        <f t="shared" si="8"/>
        <v/>
      </c>
      <c r="AD114" s="53"/>
      <c r="AE114" s="122" t="str">
        <f t="array" ref="AE114">IF(OR($C114="",$E114="",$G114="",$I114="",$M114="",$O114="",$Q114="",$S114="",$G114="Unrated"),"",IF($Q114="Y",0,MIN(1,SUM((IF($O114="Y",Cov_Range,Range)=$K114)*(IF($O114="Y",Cov_CQS,CQS)=$G114)*(IF($S114="Y",Gilt_Base,IF($O114="Y",Cov_Bond_Base,Bond_Base))))+IF($I114&lt;1,1,$I114-$K114)*SUM((IF($O114="Y",Cov_Range,Range)=$K114)*(IF($O114="Y",Cov_CQS,CQS)=$G114)*(IF($S114="Y",Gilt_Mult,IF($O114="Y",Cov_Bond_Mult,Bond_Mult)))))))</f>
        <v/>
      </c>
      <c r="AF114" s="53"/>
      <c r="AG114" s="122" t="str">
        <f t="array" ref="AG114">IF(OR($C114="",$E114="",$G114="",$I114="",$M114="",$O114="",$Q114="",$S114="",$G114&lt;&gt;"Unrated",$M114="Y"),"",MIN(1,IF(AND(U114&lt;E114,U114&gt;=E114*(1-(SUM((Range=$K114)*(Bond_Base_UR))+IF($I114&lt;1,1,$I114-$K114)*SUM((Range=$K114)*(Bond_Mult_UR))))),0.5*((SUM((Range=$K114)*(Bond_Base_UR))+IF($I114&lt;1,1,$I114-$K114)*SUM((Range=$K114)*(Bond_Mult_UR)))+((E114-U114)/E114)),IF(U114&gt;=E114,0.5,1)*(SUM((Range=$K114)*(Bond_Base_UR))+IF($I114&lt;1,1,$I114-$K114)*SUM((Range=$K114)*(Bond_Mult_UR))))))</f>
        <v/>
      </c>
      <c r="AH114" s="53"/>
      <c r="AI114" s="122" t="str">
        <f t="array" ref="AI114">IF(OR($C114="",$E114="",$G114="",$I114="",$M114="",$O114="",$Q114="",$S114="",$G114&lt;&gt;"Unrated",$M114&lt;&gt;"Y"),"",MIN(1,IF(OR($W114&lt;&gt;"Y",$AA114=$AC114),SUM((Range=$K114)*(CQS=IF($W114&lt;&gt;"Y",0,IF($AC114=196%,1,6)))*(IF($W114&lt;&gt;"Y",Bond_Base_MCR,Bond_Base)))+IF($I114&lt;1,1,$I114-$K114)*SUM((Range=$K114)*(CQS=IF($W114&lt;&gt;"Y",0,IF($AC114=196%,1,6)))*(IF($W114&lt;&gt;"Y",Bond_Mult_MCR,Bond_Mult))),((SUM((Range=$K114)*(CQS=HLOOKUP($AA114,Solv_Ratio_CQS_Map,2,0))*(Bond_Base))+IF($I114&lt;1,1,$I114-$K114)*SUM((Range=$K114)*(CQS=HLOOKUP($AA114,Solv_Ratio_CQS_Map,2,0))*(Bond_Mult)))*($AC114-$Y114)+(SUM((Range=$K114)*(CQS=HLOOKUP($AC114,Solv_Ratio_CQS_Map,2,0))*(Bond_Base))+IF($I114&lt;1,1,$I114-$K114)*SUM((Range=$K114)*(CQS=HLOOKUP($AC114,Solv_Ratio_CQS_Map,2,0))*(Bond_Mult)))*($Y114-$AA114))/($AC114-$AA114))))</f>
        <v/>
      </c>
      <c r="AJ114" s="53"/>
      <c r="AK114" s="121" t="str">
        <f t="shared" si="10"/>
        <v/>
      </c>
      <c r="AL114" s="53"/>
      <c r="AM114" s="123" t="str">
        <f t="shared" si="11"/>
        <v/>
      </c>
      <c r="AN114" s="115"/>
    </row>
    <row r="115" spans="2:40" x14ac:dyDescent="0.2">
      <c r="B115" s="116"/>
      <c r="C115" s="207"/>
      <c r="D115" s="53"/>
      <c r="E115" s="208"/>
      <c r="F115" s="53"/>
      <c r="G115" s="209"/>
      <c r="H115" s="53"/>
      <c r="I115" s="210"/>
      <c r="J115" s="53"/>
      <c r="K115" s="118" t="str">
        <f t="shared" si="9"/>
        <v/>
      </c>
      <c r="L115" s="53"/>
      <c r="M115" s="211"/>
      <c r="N115" s="53"/>
      <c r="O115" s="211"/>
      <c r="P115" s="53"/>
      <c r="Q115" s="211"/>
      <c r="R115" s="53"/>
      <c r="S115" s="211"/>
      <c r="T115" s="53"/>
      <c r="U115" s="117"/>
      <c r="V115" s="53"/>
      <c r="W115" s="119"/>
      <c r="X115" s="53"/>
      <c r="Y115" s="120"/>
      <c r="Z115" s="53"/>
      <c r="AA115" s="121" t="str">
        <f t="shared" si="7"/>
        <v/>
      </c>
      <c r="AB115" s="53"/>
      <c r="AC115" s="121" t="str">
        <f t="shared" si="8"/>
        <v/>
      </c>
      <c r="AD115" s="53"/>
      <c r="AE115" s="122" t="str">
        <f t="array" ref="AE115">IF(OR($C115="",$E115="",$G115="",$I115="",$M115="",$O115="",$Q115="",$S115="",$G115="Unrated"),"",IF($Q115="Y",0,MIN(1,SUM((IF($O115="Y",Cov_Range,Range)=$K115)*(IF($O115="Y",Cov_CQS,CQS)=$G115)*(IF($S115="Y",Gilt_Base,IF($O115="Y",Cov_Bond_Base,Bond_Base))))+IF($I115&lt;1,1,$I115-$K115)*SUM((IF($O115="Y",Cov_Range,Range)=$K115)*(IF($O115="Y",Cov_CQS,CQS)=$G115)*(IF($S115="Y",Gilt_Mult,IF($O115="Y",Cov_Bond_Mult,Bond_Mult)))))))</f>
        <v/>
      </c>
      <c r="AF115" s="53"/>
      <c r="AG115" s="122" t="str">
        <f t="array" ref="AG115">IF(OR($C115="",$E115="",$G115="",$I115="",$M115="",$O115="",$Q115="",$S115="",$G115&lt;&gt;"Unrated",$M115="Y"),"",MIN(1,IF(AND(U115&lt;E115,U115&gt;=E115*(1-(SUM((Range=$K115)*(Bond_Base_UR))+IF($I115&lt;1,1,$I115-$K115)*SUM((Range=$K115)*(Bond_Mult_UR))))),0.5*((SUM((Range=$K115)*(Bond_Base_UR))+IF($I115&lt;1,1,$I115-$K115)*SUM((Range=$K115)*(Bond_Mult_UR)))+((E115-U115)/E115)),IF(U115&gt;=E115,0.5,1)*(SUM((Range=$K115)*(Bond_Base_UR))+IF($I115&lt;1,1,$I115-$K115)*SUM((Range=$K115)*(Bond_Mult_UR))))))</f>
        <v/>
      </c>
      <c r="AH115" s="53"/>
      <c r="AI115" s="122" t="str">
        <f t="array" ref="AI115">IF(OR($C115="",$E115="",$G115="",$I115="",$M115="",$O115="",$Q115="",$S115="",$G115&lt;&gt;"Unrated",$M115&lt;&gt;"Y"),"",MIN(1,IF(OR($W115&lt;&gt;"Y",$AA115=$AC115),SUM((Range=$K115)*(CQS=IF($W115&lt;&gt;"Y",0,IF($AC115=196%,1,6)))*(IF($W115&lt;&gt;"Y",Bond_Base_MCR,Bond_Base)))+IF($I115&lt;1,1,$I115-$K115)*SUM((Range=$K115)*(CQS=IF($W115&lt;&gt;"Y",0,IF($AC115=196%,1,6)))*(IF($W115&lt;&gt;"Y",Bond_Mult_MCR,Bond_Mult))),((SUM((Range=$K115)*(CQS=HLOOKUP($AA115,Solv_Ratio_CQS_Map,2,0))*(Bond_Base))+IF($I115&lt;1,1,$I115-$K115)*SUM((Range=$K115)*(CQS=HLOOKUP($AA115,Solv_Ratio_CQS_Map,2,0))*(Bond_Mult)))*($AC115-$Y115)+(SUM((Range=$K115)*(CQS=HLOOKUP($AC115,Solv_Ratio_CQS_Map,2,0))*(Bond_Base))+IF($I115&lt;1,1,$I115-$K115)*SUM((Range=$K115)*(CQS=HLOOKUP($AC115,Solv_Ratio_CQS_Map,2,0))*(Bond_Mult)))*($Y115-$AA115))/($AC115-$AA115))))</f>
        <v/>
      </c>
      <c r="AJ115" s="53"/>
      <c r="AK115" s="121" t="str">
        <f t="shared" si="10"/>
        <v/>
      </c>
      <c r="AL115" s="53"/>
      <c r="AM115" s="123" t="str">
        <f t="shared" si="11"/>
        <v/>
      </c>
      <c r="AN115" s="115"/>
    </row>
    <row r="116" spans="2:40" x14ac:dyDescent="0.2">
      <c r="B116" s="116"/>
      <c r="C116" s="207"/>
      <c r="D116" s="53"/>
      <c r="E116" s="208"/>
      <c r="F116" s="53"/>
      <c r="G116" s="209"/>
      <c r="H116" s="53"/>
      <c r="I116" s="210"/>
      <c r="J116" s="53"/>
      <c r="K116" s="118" t="str">
        <f t="shared" si="9"/>
        <v/>
      </c>
      <c r="L116" s="53"/>
      <c r="M116" s="211"/>
      <c r="N116" s="53"/>
      <c r="O116" s="211"/>
      <c r="P116" s="53"/>
      <c r="Q116" s="211"/>
      <c r="R116" s="53"/>
      <c r="S116" s="211"/>
      <c r="T116" s="53"/>
      <c r="U116" s="117"/>
      <c r="V116" s="53"/>
      <c r="W116" s="119"/>
      <c r="X116" s="53"/>
      <c r="Y116" s="120"/>
      <c r="Z116" s="53"/>
      <c r="AA116" s="121" t="str">
        <f t="shared" si="7"/>
        <v/>
      </c>
      <c r="AB116" s="53"/>
      <c r="AC116" s="121" t="str">
        <f t="shared" si="8"/>
        <v/>
      </c>
      <c r="AD116" s="53"/>
      <c r="AE116" s="122" t="str">
        <f t="array" ref="AE116">IF(OR($C116="",$E116="",$G116="",$I116="",$M116="",$O116="",$Q116="",$S116="",$G116="Unrated"),"",IF($Q116="Y",0,MIN(1,SUM((IF($O116="Y",Cov_Range,Range)=$K116)*(IF($O116="Y",Cov_CQS,CQS)=$G116)*(IF($S116="Y",Gilt_Base,IF($O116="Y",Cov_Bond_Base,Bond_Base))))+IF($I116&lt;1,1,$I116-$K116)*SUM((IF($O116="Y",Cov_Range,Range)=$K116)*(IF($O116="Y",Cov_CQS,CQS)=$G116)*(IF($S116="Y",Gilt_Mult,IF($O116="Y",Cov_Bond_Mult,Bond_Mult)))))))</f>
        <v/>
      </c>
      <c r="AF116" s="53"/>
      <c r="AG116" s="122" t="str">
        <f t="array" ref="AG116">IF(OR($C116="",$E116="",$G116="",$I116="",$M116="",$O116="",$Q116="",$S116="",$G116&lt;&gt;"Unrated",$M116="Y"),"",MIN(1,IF(AND(U116&lt;E116,U116&gt;=E116*(1-(SUM((Range=$K116)*(Bond_Base_UR))+IF($I116&lt;1,1,$I116-$K116)*SUM((Range=$K116)*(Bond_Mult_UR))))),0.5*((SUM((Range=$K116)*(Bond_Base_UR))+IF($I116&lt;1,1,$I116-$K116)*SUM((Range=$K116)*(Bond_Mult_UR)))+((E116-U116)/E116)),IF(U116&gt;=E116,0.5,1)*(SUM((Range=$K116)*(Bond_Base_UR))+IF($I116&lt;1,1,$I116-$K116)*SUM((Range=$K116)*(Bond_Mult_UR))))))</f>
        <v/>
      </c>
      <c r="AH116" s="53"/>
      <c r="AI116" s="122" t="str">
        <f t="array" ref="AI116">IF(OR($C116="",$E116="",$G116="",$I116="",$M116="",$O116="",$Q116="",$S116="",$G116&lt;&gt;"Unrated",$M116&lt;&gt;"Y"),"",MIN(1,IF(OR($W116&lt;&gt;"Y",$AA116=$AC116),SUM((Range=$K116)*(CQS=IF($W116&lt;&gt;"Y",0,IF($AC116=196%,1,6)))*(IF($W116&lt;&gt;"Y",Bond_Base_MCR,Bond_Base)))+IF($I116&lt;1,1,$I116-$K116)*SUM((Range=$K116)*(CQS=IF($W116&lt;&gt;"Y",0,IF($AC116=196%,1,6)))*(IF($W116&lt;&gt;"Y",Bond_Mult_MCR,Bond_Mult))),((SUM((Range=$K116)*(CQS=HLOOKUP($AA116,Solv_Ratio_CQS_Map,2,0))*(Bond_Base))+IF($I116&lt;1,1,$I116-$K116)*SUM((Range=$K116)*(CQS=HLOOKUP($AA116,Solv_Ratio_CQS_Map,2,0))*(Bond_Mult)))*($AC116-$Y116)+(SUM((Range=$K116)*(CQS=HLOOKUP($AC116,Solv_Ratio_CQS_Map,2,0))*(Bond_Base))+IF($I116&lt;1,1,$I116-$K116)*SUM((Range=$K116)*(CQS=HLOOKUP($AC116,Solv_Ratio_CQS_Map,2,0))*(Bond_Mult)))*($Y116-$AA116))/($AC116-$AA116))))</f>
        <v/>
      </c>
      <c r="AJ116" s="53"/>
      <c r="AK116" s="121" t="str">
        <f t="shared" si="10"/>
        <v/>
      </c>
      <c r="AL116" s="53"/>
      <c r="AM116" s="123" t="str">
        <f t="shared" si="11"/>
        <v/>
      </c>
      <c r="AN116" s="115"/>
    </row>
    <row r="117" spans="2:40" x14ac:dyDescent="0.2">
      <c r="B117" s="116"/>
      <c r="C117" s="207"/>
      <c r="D117" s="53"/>
      <c r="E117" s="208"/>
      <c r="F117" s="53"/>
      <c r="G117" s="209"/>
      <c r="H117" s="53"/>
      <c r="I117" s="210"/>
      <c r="J117" s="53"/>
      <c r="K117" s="118" t="str">
        <f t="shared" si="9"/>
        <v/>
      </c>
      <c r="L117" s="53"/>
      <c r="M117" s="211"/>
      <c r="N117" s="53"/>
      <c r="O117" s="211"/>
      <c r="P117" s="53"/>
      <c r="Q117" s="211"/>
      <c r="R117" s="53"/>
      <c r="S117" s="211"/>
      <c r="T117" s="53"/>
      <c r="U117" s="117"/>
      <c r="V117" s="53"/>
      <c r="W117" s="119"/>
      <c r="X117" s="53"/>
      <c r="Y117" s="120"/>
      <c r="Z117" s="53"/>
      <c r="AA117" s="121" t="str">
        <f t="shared" si="7"/>
        <v/>
      </c>
      <c r="AB117" s="53"/>
      <c r="AC117" s="121" t="str">
        <f t="shared" si="8"/>
        <v/>
      </c>
      <c r="AD117" s="53"/>
      <c r="AE117" s="122" t="str">
        <f t="array" ref="AE117">IF(OR($C117="",$E117="",$G117="",$I117="",$M117="",$O117="",$Q117="",$S117="",$G117="Unrated"),"",IF($Q117="Y",0,MIN(1,SUM((IF($O117="Y",Cov_Range,Range)=$K117)*(IF($O117="Y",Cov_CQS,CQS)=$G117)*(IF($S117="Y",Gilt_Base,IF($O117="Y",Cov_Bond_Base,Bond_Base))))+IF($I117&lt;1,1,$I117-$K117)*SUM((IF($O117="Y",Cov_Range,Range)=$K117)*(IF($O117="Y",Cov_CQS,CQS)=$G117)*(IF($S117="Y",Gilt_Mult,IF($O117="Y",Cov_Bond_Mult,Bond_Mult)))))))</f>
        <v/>
      </c>
      <c r="AF117" s="53"/>
      <c r="AG117" s="122" t="str">
        <f t="array" ref="AG117">IF(OR($C117="",$E117="",$G117="",$I117="",$M117="",$O117="",$Q117="",$S117="",$G117&lt;&gt;"Unrated",$M117="Y"),"",MIN(1,IF(AND(U117&lt;E117,U117&gt;=E117*(1-(SUM((Range=$K117)*(Bond_Base_UR))+IF($I117&lt;1,1,$I117-$K117)*SUM((Range=$K117)*(Bond_Mult_UR))))),0.5*((SUM((Range=$K117)*(Bond_Base_UR))+IF($I117&lt;1,1,$I117-$K117)*SUM((Range=$K117)*(Bond_Mult_UR)))+((E117-U117)/E117)),IF(U117&gt;=E117,0.5,1)*(SUM((Range=$K117)*(Bond_Base_UR))+IF($I117&lt;1,1,$I117-$K117)*SUM((Range=$K117)*(Bond_Mult_UR))))))</f>
        <v/>
      </c>
      <c r="AH117" s="53"/>
      <c r="AI117" s="122" t="str">
        <f t="array" ref="AI117">IF(OR($C117="",$E117="",$G117="",$I117="",$M117="",$O117="",$Q117="",$S117="",$G117&lt;&gt;"Unrated",$M117&lt;&gt;"Y"),"",MIN(1,IF(OR($W117&lt;&gt;"Y",$AA117=$AC117),SUM((Range=$K117)*(CQS=IF($W117&lt;&gt;"Y",0,IF($AC117=196%,1,6)))*(IF($W117&lt;&gt;"Y",Bond_Base_MCR,Bond_Base)))+IF($I117&lt;1,1,$I117-$K117)*SUM((Range=$K117)*(CQS=IF($W117&lt;&gt;"Y",0,IF($AC117=196%,1,6)))*(IF($W117&lt;&gt;"Y",Bond_Mult_MCR,Bond_Mult))),((SUM((Range=$K117)*(CQS=HLOOKUP($AA117,Solv_Ratio_CQS_Map,2,0))*(Bond_Base))+IF($I117&lt;1,1,$I117-$K117)*SUM((Range=$K117)*(CQS=HLOOKUP($AA117,Solv_Ratio_CQS_Map,2,0))*(Bond_Mult)))*($AC117-$Y117)+(SUM((Range=$K117)*(CQS=HLOOKUP($AC117,Solv_Ratio_CQS_Map,2,0))*(Bond_Base))+IF($I117&lt;1,1,$I117-$K117)*SUM((Range=$K117)*(CQS=HLOOKUP($AC117,Solv_Ratio_CQS_Map,2,0))*(Bond_Mult)))*($Y117-$AA117))/($AC117-$AA117))))</f>
        <v/>
      </c>
      <c r="AJ117" s="53"/>
      <c r="AK117" s="121" t="str">
        <f t="shared" si="10"/>
        <v/>
      </c>
      <c r="AL117" s="53"/>
      <c r="AM117" s="123" t="str">
        <f t="shared" si="11"/>
        <v/>
      </c>
      <c r="AN117" s="115"/>
    </row>
    <row r="118" spans="2:40" x14ac:dyDescent="0.2">
      <c r="B118" s="116"/>
      <c r="C118" s="207"/>
      <c r="D118" s="53"/>
      <c r="E118" s="208"/>
      <c r="F118" s="53"/>
      <c r="G118" s="209"/>
      <c r="H118" s="53"/>
      <c r="I118" s="210"/>
      <c r="J118" s="53"/>
      <c r="K118" s="118" t="str">
        <f t="shared" si="9"/>
        <v/>
      </c>
      <c r="L118" s="53"/>
      <c r="M118" s="211"/>
      <c r="N118" s="53"/>
      <c r="O118" s="211"/>
      <c r="P118" s="53"/>
      <c r="Q118" s="211"/>
      <c r="R118" s="53"/>
      <c r="S118" s="211"/>
      <c r="T118" s="53"/>
      <c r="U118" s="117"/>
      <c r="V118" s="53"/>
      <c r="W118" s="119"/>
      <c r="X118" s="53"/>
      <c r="Y118" s="120"/>
      <c r="Z118" s="53"/>
      <c r="AA118" s="121" t="str">
        <f t="shared" si="7"/>
        <v/>
      </c>
      <c r="AB118" s="53"/>
      <c r="AC118" s="121" t="str">
        <f t="shared" si="8"/>
        <v/>
      </c>
      <c r="AD118" s="53"/>
      <c r="AE118" s="122" t="str">
        <f t="array" ref="AE118">IF(OR($C118="",$E118="",$G118="",$I118="",$M118="",$O118="",$Q118="",$S118="",$G118="Unrated"),"",IF($Q118="Y",0,MIN(1,SUM((IF($O118="Y",Cov_Range,Range)=$K118)*(IF($O118="Y",Cov_CQS,CQS)=$G118)*(IF($S118="Y",Gilt_Base,IF($O118="Y",Cov_Bond_Base,Bond_Base))))+IF($I118&lt;1,1,$I118-$K118)*SUM((IF($O118="Y",Cov_Range,Range)=$K118)*(IF($O118="Y",Cov_CQS,CQS)=$G118)*(IF($S118="Y",Gilt_Mult,IF($O118="Y",Cov_Bond_Mult,Bond_Mult)))))))</f>
        <v/>
      </c>
      <c r="AF118" s="53"/>
      <c r="AG118" s="122" t="str">
        <f t="array" ref="AG118">IF(OR($C118="",$E118="",$G118="",$I118="",$M118="",$O118="",$Q118="",$S118="",$G118&lt;&gt;"Unrated",$M118="Y"),"",MIN(1,IF(AND(U118&lt;E118,U118&gt;=E118*(1-(SUM((Range=$K118)*(Bond_Base_UR))+IF($I118&lt;1,1,$I118-$K118)*SUM((Range=$K118)*(Bond_Mult_UR))))),0.5*((SUM((Range=$K118)*(Bond_Base_UR))+IF($I118&lt;1,1,$I118-$K118)*SUM((Range=$K118)*(Bond_Mult_UR)))+((E118-U118)/E118)),IF(U118&gt;=E118,0.5,1)*(SUM((Range=$K118)*(Bond_Base_UR))+IF($I118&lt;1,1,$I118-$K118)*SUM((Range=$K118)*(Bond_Mult_UR))))))</f>
        <v/>
      </c>
      <c r="AH118" s="53"/>
      <c r="AI118" s="122" t="str">
        <f t="array" ref="AI118">IF(OR($C118="",$E118="",$G118="",$I118="",$M118="",$O118="",$Q118="",$S118="",$G118&lt;&gt;"Unrated",$M118&lt;&gt;"Y"),"",MIN(1,IF(OR($W118&lt;&gt;"Y",$AA118=$AC118),SUM((Range=$K118)*(CQS=IF($W118&lt;&gt;"Y",0,IF($AC118=196%,1,6)))*(IF($W118&lt;&gt;"Y",Bond_Base_MCR,Bond_Base)))+IF($I118&lt;1,1,$I118-$K118)*SUM((Range=$K118)*(CQS=IF($W118&lt;&gt;"Y",0,IF($AC118=196%,1,6)))*(IF($W118&lt;&gt;"Y",Bond_Mult_MCR,Bond_Mult))),((SUM((Range=$K118)*(CQS=HLOOKUP($AA118,Solv_Ratio_CQS_Map,2,0))*(Bond_Base))+IF($I118&lt;1,1,$I118-$K118)*SUM((Range=$K118)*(CQS=HLOOKUP($AA118,Solv_Ratio_CQS_Map,2,0))*(Bond_Mult)))*($AC118-$Y118)+(SUM((Range=$K118)*(CQS=HLOOKUP($AC118,Solv_Ratio_CQS_Map,2,0))*(Bond_Base))+IF($I118&lt;1,1,$I118-$K118)*SUM((Range=$K118)*(CQS=HLOOKUP($AC118,Solv_Ratio_CQS_Map,2,0))*(Bond_Mult)))*($Y118-$AA118))/($AC118-$AA118))))</f>
        <v/>
      </c>
      <c r="AJ118" s="53"/>
      <c r="AK118" s="121" t="str">
        <f t="shared" si="10"/>
        <v/>
      </c>
      <c r="AL118" s="53"/>
      <c r="AM118" s="123" t="str">
        <f t="shared" si="11"/>
        <v/>
      </c>
      <c r="AN118" s="115"/>
    </row>
    <row r="119" spans="2:40" x14ac:dyDescent="0.2">
      <c r="B119" s="116"/>
      <c r="C119" s="207"/>
      <c r="D119" s="53"/>
      <c r="E119" s="208"/>
      <c r="F119" s="53"/>
      <c r="G119" s="209"/>
      <c r="H119" s="53"/>
      <c r="I119" s="210"/>
      <c r="J119" s="53"/>
      <c r="K119" s="118" t="str">
        <f t="shared" si="9"/>
        <v/>
      </c>
      <c r="L119" s="53"/>
      <c r="M119" s="211"/>
      <c r="N119" s="53"/>
      <c r="O119" s="211"/>
      <c r="P119" s="53"/>
      <c r="Q119" s="211"/>
      <c r="R119" s="53"/>
      <c r="S119" s="211"/>
      <c r="T119" s="53"/>
      <c r="U119" s="117"/>
      <c r="V119" s="53"/>
      <c r="W119" s="119"/>
      <c r="X119" s="53"/>
      <c r="Y119" s="120"/>
      <c r="Z119" s="53"/>
      <c r="AA119" s="121" t="str">
        <f t="shared" si="7"/>
        <v/>
      </c>
      <c r="AB119" s="53"/>
      <c r="AC119" s="121" t="str">
        <f t="shared" si="8"/>
        <v/>
      </c>
      <c r="AD119" s="53"/>
      <c r="AE119" s="122" t="str">
        <f t="array" ref="AE119">IF(OR($C119="",$E119="",$G119="",$I119="",$M119="",$O119="",$Q119="",$S119="",$G119="Unrated"),"",IF($Q119="Y",0,MIN(1,SUM((IF($O119="Y",Cov_Range,Range)=$K119)*(IF($O119="Y",Cov_CQS,CQS)=$G119)*(IF($S119="Y",Gilt_Base,IF($O119="Y",Cov_Bond_Base,Bond_Base))))+IF($I119&lt;1,1,$I119-$K119)*SUM((IF($O119="Y",Cov_Range,Range)=$K119)*(IF($O119="Y",Cov_CQS,CQS)=$G119)*(IF($S119="Y",Gilt_Mult,IF($O119="Y",Cov_Bond_Mult,Bond_Mult)))))))</f>
        <v/>
      </c>
      <c r="AF119" s="53"/>
      <c r="AG119" s="122" t="str">
        <f t="array" ref="AG119">IF(OR($C119="",$E119="",$G119="",$I119="",$M119="",$O119="",$Q119="",$S119="",$G119&lt;&gt;"Unrated",$M119="Y"),"",MIN(1,IF(AND(U119&lt;E119,U119&gt;=E119*(1-(SUM((Range=$K119)*(Bond_Base_UR))+IF($I119&lt;1,1,$I119-$K119)*SUM((Range=$K119)*(Bond_Mult_UR))))),0.5*((SUM((Range=$K119)*(Bond_Base_UR))+IF($I119&lt;1,1,$I119-$K119)*SUM((Range=$K119)*(Bond_Mult_UR)))+((E119-U119)/E119)),IF(U119&gt;=E119,0.5,1)*(SUM((Range=$K119)*(Bond_Base_UR))+IF($I119&lt;1,1,$I119-$K119)*SUM((Range=$K119)*(Bond_Mult_UR))))))</f>
        <v/>
      </c>
      <c r="AH119" s="53"/>
      <c r="AI119" s="122" t="str">
        <f t="array" ref="AI119">IF(OR($C119="",$E119="",$G119="",$I119="",$M119="",$O119="",$Q119="",$S119="",$G119&lt;&gt;"Unrated",$M119&lt;&gt;"Y"),"",MIN(1,IF(OR($W119&lt;&gt;"Y",$AA119=$AC119),SUM((Range=$K119)*(CQS=IF($W119&lt;&gt;"Y",0,IF($AC119=196%,1,6)))*(IF($W119&lt;&gt;"Y",Bond_Base_MCR,Bond_Base)))+IF($I119&lt;1,1,$I119-$K119)*SUM((Range=$K119)*(CQS=IF($W119&lt;&gt;"Y",0,IF($AC119=196%,1,6)))*(IF($W119&lt;&gt;"Y",Bond_Mult_MCR,Bond_Mult))),((SUM((Range=$K119)*(CQS=HLOOKUP($AA119,Solv_Ratio_CQS_Map,2,0))*(Bond_Base))+IF($I119&lt;1,1,$I119-$K119)*SUM((Range=$K119)*(CQS=HLOOKUP($AA119,Solv_Ratio_CQS_Map,2,0))*(Bond_Mult)))*($AC119-$Y119)+(SUM((Range=$K119)*(CQS=HLOOKUP($AC119,Solv_Ratio_CQS_Map,2,0))*(Bond_Base))+IF($I119&lt;1,1,$I119-$K119)*SUM((Range=$K119)*(CQS=HLOOKUP($AC119,Solv_Ratio_CQS_Map,2,0))*(Bond_Mult)))*($Y119-$AA119))/($AC119-$AA119))))</f>
        <v/>
      </c>
      <c r="AJ119" s="53"/>
      <c r="AK119" s="121" t="str">
        <f t="shared" si="10"/>
        <v/>
      </c>
      <c r="AL119" s="53"/>
      <c r="AM119" s="123" t="str">
        <f t="shared" si="11"/>
        <v/>
      </c>
      <c r="AN119" s="115"/>
    </row>
    <row r="120" spans="2:40" x14ac:dyDescent="0.2">
      <c r="B120" s="116"/>
      <c r="C120" s="207"/>
      <c r="D120" s="53"/>
      <c r="E120" s="208"/>
      <c r="F120" s="53"/>
      <c r="G120" s="209"/>
      <c r="H120" s="53"/>
      <c r="I120" s="210"/>
      <c r="J120" s="53"/>
      <c r="K120" s="118" t="str">
        <f t="shared" si="9"/>
        <v/>
      </c>
      <c r="L120" s="53"/>
      <c r="M120" s="211"/>
      <c r="N120" s="53"/>
      <c r="O120" s="211"/>
      <c r="P120" s="53"/>
      <c r="Q120" s="211"/>
      <c r="R120" s="53"/>
      <c r="S120" s="211"/>
      <c r="T120" s="53"/>
      <c r="U120" s="117"/>
      <c r="V120" s="53"/>
      <c r="W120" s="119"/>
      <c r="X120" s="53"/>
      <c r="Y120" s="120"/>
      <c r="Z120" s="53"/>
      <c r="AA120" s="121" t="str">
        <f t="shared" si="7"/>
        <v/>
      </c>
      <c r="AB120" s="53"/>
      <c r="AC120" s="121" t="str">
        <f t="shared" si="8"/>
        <v/>
      </c>
      <c r="AD120" s="53"/>
      <c r="AE120" s="122" t="str">
        <f t="array" ref="AE120">IF(OR($C120="",$E120="",$G120="",$I120="",$M120="",$O120="",$Q120="",$S120="",$G120="Unrated"),"",IF($Q120="Y",0,MIN(1,SUM((IF($O120="Y",Cov_Range,Range)=$K120)*(IF($O120="Y",Cov_CQS,CQS)=$G120)*(IF($S120="Y",Gilt_Base,IF($O120="Y",Cov_Bond_Base,Bond_Base))))+IF($I120&lt;1,1,$I120-$K120)*SUM((IF($O120="Y",Cov_Range,Range)=$K120)*(IF($O120="Y",Cov_CQS,CQS)=$G120)*(IF($S120="Y",Gilt_Mult,IF($O120="Y",Cov_Bond_Mult,Bond_Mult)))))))</f>
        <v/>
      </c>
      <c r="AF120" s="53"/>
      <c r="AG120" s="122" t="str">
        <f t="array" ref="AG120">IF(OR($C120="",$E120="",$G120="",$I120="",$M120="",$O120="",$Q120="",$S120="",$G120&lt;&gt;"Unrated",$M120="Y"),"",MIN(1,IF(AND(U120&lt;E120,U120&gt;=E120*(1-(SUM((Range=$K120)*(Bond_Base_UR))+IF($I120&lt;1,1,$I120-$K120)*SUM((Range=$K120)*(Bond_Mult_UR))))),0.5*((SUM((Range=$K120)*(Bond_Base_UR))+IF($I120&lt;1,1,$I120-$K120)*SUM((Range=$K120)*(Bond_Mult_UR)))+((E120-U120)/E120)),IF(U120&gt;=E120,0.5,1)*(SUM((Range=$K120)*(Bond_Base_UR))+IF($I120&lt;1,1,$I120-$K120)*SUM((Range=$K120)*(Bond_Mult_UR))))))</f>
        <v/>
      </c>
      <c r="AH120" s="53"/>
      <c r="AI120" s="122" t="str">
        <f t="array" ref="AI120">IF(OR($C120="",$E120="",$G120="",$I120="",$M120="",$O120="",$Q120="",$S120="",$G120&lt;&gt;"Unrated",$M120&lt;&gt;"Y"),"",MIN(1,IF(OR($W120&lt;&gt;"Y",$AA120=$AC120),SUM((Range=$K120)*(CQS=IF($W120&lt;&gt;"Y",0,IF($AC120=196%,1,6)))*(IF($W120&lt;&gt;"Y",Bond_Base_MCR,Bond_Base)))+IF($I120&lt;1,1,$I120-$K120)*SUM((Range=$K120)*(CQS=IF($W120&lt;&gt;"Y",0,IF($AC120=196%,1,6)))*(IF($W120&lt;&gt;"Y",Bond_Mult_MCR,Bond_Mult))),((SUM((Range=$K120)*(CQS=HLOOKUP($AA120,Solv_Ratio_CQS_Map,2,0))*(Bond_Base))+IF($I120&lt;1,1,$I120-$K120)*SUM((Range=$K120)*(CQS=HLOOKUP($AA120,Solv_Ratio_CQS_Map,2,0))*(Bond_Mult)))*($AC120-$Y120)+(SUM((Range=$K120)*(CQS=HLOOKUP($AC120,Solv_Ratio_CQS_Map,2,0))*(Bond_Base))+IF($I120&lt;1,1,$I120-$K120)*SUM((Range=$K120)*(CQS=HLOOKUP($AC120,Solv_Ratio_CQS_Map,2,0))*(Bond_Mult)))*($Y120-$AA120))/($AC120-$AA120))))</f>
        <v/>
      </c>
      <c r="AJ120" s="53"/>
      <c r="AK120" s="121" t="str">
        <f t="shared" si="10"/>
        <v/>
      </c>
      <c r="AL120" s="53"/>
      <c r="AM120" s="123" t="str">
        <f t="shared" si="11"/>
        <v/>
      </c>
      <c r="AN120" s="115"/>
    </row>
    <row r="121" spans="2:40" x14ac:dyDescent="0.2">
      <c r="B121" s="116"/>
      <c r="C121" s="207"/>
      <c r="D121" s="53"/>
      <c r="E121" s="208"/>
      <c r="F121" s="53"/>
      <c r="G121" s="209"/>
      <c r="H121" s="53"/>
      <c r="I121" s="210"/>
      <c r="J121" s="53"/>
      <c r="K121" s="118" t="str">
        <f t="shared" si="9"/>
        <v/>
      </c>
      <c r="L121" s="53"/>
      <c r="M121" s="211"/>
      <c r="N121" s="53"/>
      <c r="O121" s="211"/>
      <c r="P121" s="53"/>
      <c r="Q121" s="211"/>
      <c r="R121" s="53"/>
      <c r="S121" s="211"/>
      <c r="T121" s="53"/>
      <c r="U121" s="117"/>
      <c r="V121" s="53"/>
      <c r="W121" s="119"/>
      <c r="X121" s="53"/>
      <c r="Y121" s="120"/>
      <c r="Z121" s="53"/>
      <c r="AA121" s="121" t="str">
        <f t="shared" si="7"/>
        <v/>
      </c>
      <c r="AB121" s="53"/>
      <c r="AC121" s="121" t="str">
        <f t="shared" si="8"/>
        <v/>
      </c>
      <c r="AD121" s="53"/>
      <c r="AE121" s="122" t="str">
        <f t="array" ref="AE121">IF(OR($C121="",$E121="",$G121="",$I121="",$M121="",$O121="",$Q121="",$S121="",$G121="Unrated"),"",IF($Q121="Y",0,MIN(1,SUM((IF($O121="Y",Cov_Range,Range)=$K121)*(IF($O121="Y",Cov_CQS,CQS)=$G121)*(IF($S121="Y",Gilt_Base,IF($O121="Y",Cov_Bond_Base,Bond_Base))))+IF($I121&lt;1,1,$I121-$K121)*SUM((IF($O121="Y",Cov_Range,Range)=$K121)*(IF($O121="Y",Cov_CQS,CQS)=$G121)*(IF($S121="Y",Gilt_Mult,IF($O121="Y",Cov_Bond_Mult,Bond_Mult)))))))</f>
        <v/>
      </c>
      <c r="AF121" s="53"/>
      <c r="AG121" s="122" t="str">
        <f t="array" ref="AG121">IF(OR($C121="",$E121="",$G121="",$I121="",$M121="",$O121="",$Q121="",$S121="",$G121&lt;&gt;"Unrated",$M121="Y"),"",MIN(1,IF(AND(U121&lt;E121,U121&gt;=E121*(1-(SUM((Range=$K121)*(Bond_Base_UR))+IF($I121&lt;1,1,$I121-$K121)*SUM((Range=$K121)*(Bond_Mult_UR))))),0.5*((SUM((Range=$K121)*(Bond_Base_UR))+IF($I121&lt;1,1,$I121-$K121)*SUM((Range=$K121)*(Bond_Mult_UR)))+((E121-U121)/E121)),IF(U121&gt;=E121,0.5,1)*(SUM((Range=$K121)*(Bond_Base_UR))+IF($I121&lt;1,1,$I121-$K121)*SUM((Range=$K121)*(Bond_Mult_UR))))))</f>
        <v/>
      </c>
      <c r="AH121" s="53"/>
      <c r="AI121" s="122" t="str">
        <f t="array" ref="AI121">IF(OR($C121="",$E121="",$G121="",$I121="",$M121="",$O121="",$Q121="",$S121="",$G121&lt;&gt;"Unrated",$M121&lt;&gt;"Y"),"",MIN(1,IF(OR($W121&lt;&gt;"Y",$AA121=$AC121),SUM((Range=$K121)*(CQS=IF($W121&lt;&gt;"Y",0,IF($AC121=196%,1,6)))*(IF($W121&lt;&gt;"Y",Bond_Base_MCR,Bond_Base)))+IF($I121&lt;1,1,$I121-$K121)*SUM((Range=$K121)*(CQS=IF($W121&lt;&gt;"Y",0,IF($AC121=196%,1,6)))*(IF($W121&lt;&gt;"Y",Bond_Mult_MCR,Bond_Mult))),((SUM((Range=$K121)*(CQS=HLOOKUP($AA121,Solv_Ratio_CQS_Map,2,0))*(Bond_Base))+IF($I121&lt;1,1,$I121-$K121)*SUM((Range=$K121)*(CQS=HLOOKUP($AA121,Solv_Ratio_CQS_Map,2,0))*(Bond_Mult)))*($AC121-$Y121)+(SUM((Range=$K121)*(CQS=HLOOKUP($AC121,Solv_Ratio_CQS_Map,2,0))*(Bond_Base))+IF($I121&lt;1,1,$I121-$K121)*SUM((Range=$K121)*(CQS=HLOOKUP($AC121,Solv_Ratio_CQS_Map,2,0))*(Bond_Mult)))*($Y121-$AA121))/($AC121-$AA121))))</f>
        <v/>
      </c>
      <c r="AJ121" s="53"/>
      <c r="AK121" s="121" t="str">
        <f t="shared" si="10"/>
        <v/>
      </c>
      <c r="AL121" s="53"/>
      <c r="AM121" s="123" t="str">
        <f t="shared" si="11"/>
        <v/>
      </c>
      <c r="AN121" s="115"/>
    </row>
    <row r="122" spans="2:40" x14ac:dyDescent="0.2">
      <c r="B122" s="116"/>
      <c r="C122" s="207"/>
      <c r="D122" s="53"/>
      <c r="E122" s="208"/>
      <c r="F122" s="53"/>
      <c r="G122" s="209"/>
      <c r="H122" s="53"/>
      <c r="I122" s="210"/>
      <c r="J122" s="53"/>
      <c r="K122" s="118" t="str">
        <f t="shared" si="9"/>
        <v/>
      </c>
      <c r="L122" s="53"/>
      <c r="M122" s="211"/>
      <c r="N122" s="53"/>
      <c r="O122" s="211"/>
      <c r="P122" s="53"/>
      <c r="Q122" s="211"/>
      <c r="R122" s="53"/>
      <c r="S122" s="211"/>
      <c r="T122" s="53"/>
      <c r="U122" s="117"/>
      <c r="V122" s="53"/>
      <c r="W122" s="119"/>
      <c r="X122" s="53"/>
      <c r="Y122" s="120"/>
      <c r="Z122" s="53"/>
      <c r="AA122" s="121" t="str">
        <f t="shared" si="7"/>
        <v/>
      </c>
      <c r="AB122" s="53"/>
      <c r="AC122" s="121" t="str">
        <f t="shared" si="8"/>
        <v/>
      </c>
      <c r="AD122" s="53"/>
      <c r="AE122" s="122" t="str">
        <f t="array" ref="AE122">IF(OR($C122="",$E122="",$G122="",$I122="",$M122="",$O122="",$Q122="",$S122="",$G122="Unrated"),"",IF($Q122="Y",0,MIN(1,SUM((IF($O122="Y",Cov_Range,Range)=$K122)*(IF($O122="Y",Cov_CQS,CQS)=$G122)*(IF($S122="Y",Gilt_Base,IF($O122="Y",Cov_Bond_Base,Bond_Base))))+IF($I122&lt;1,1,$I122-$K122)*SUM((IF($O122="Y",Cov_Range,Range)=$K122)*(IF($O122="Y",Cov_CQS,CQS)=$G122)*(IF($S122="Y",Gilt_Mult,IF($O122="Y",Cov_Bond_Mult,Bond_Mult)))))))</f>
        <v/>
      </c>
      <c r="AF122" s="53"/>
      <c r="AG122" s="122" t="str">
        <f t="array" ref="AG122">IF(OR($C122="",$E122="",$G122="",$I122="",$M122="",$O122="",$Q122="",$S122="",$G122&lt;&gt;"Unrated",$M122="Y"),"",MIN(1,IF(AND(U122&lt;E122,U122&gt;=E122*(1-(SUM((Range=$K122)*(Bond_Base_UR))+IF($I122&lt;1,1,$I122-$K122)*SUM((Range=$K122)*(Bond_Mult_UR))))),0.5*((SUM((Range=$K122)*(Bond_Base_UR))+IF($I122&lt;1,1,$I122-$K122)*SUM((Range=$K122)*(Bond_Mult_UR)))+((E122-U122)/E122)),IF(U122&gt;=E122,0.5,1)*(SUM((Range=$K122)*(Bond_Base_UR))+IF($I122&lt;1,1,$I122-$K122)*SUM((Range=$K122)*(Bond_Mult_UR))))))</f>
        <v/>
      </c>
      <c r="AH122" s="53"/>
      <c r="AI122" s="122" t="str">
        <f t="array" ref="AI122">IF(OR($C122="",$E122="",$G122="",$I122="",$M122="",$O122="",$Q122="",$S122="",$G122&lt;&gt;"Unrated",$M122&lt;&gt;"Y"),"",MIN(1,IF(OR($W122&lt;&gt;"Y",$AA122=$AC122),SUM((Range=$K122)*(CQS=IF($W122&lt;&gt;"Y",0,IF($AC122=196%,1,6)))*(IF($W122&lt;&gt;"Y",Bond_Base_MCR,Bond_Base)))+IF($I122&lt;1,1,$I122-$K122)*SUM((Range=$K122)*(CQS=IF($W122&lt;&gt;"Y",0,IF($AC122=196%,1,6)))*(IF($W122&lt;&gt;"Y",Bond_Mult_MCR,Bond_Mult))),((SUM((Range=$K122)*(CQS=HLOOKUP($AA122,Solv_Ratio_CQS_Map,2,0))*(Bond_Base))+IF($I122&lt;1,1,$I122-$K122)*SUM((Range=$K122)*(CQS=HLOOKUP($AA122,Solv_Ratio_CQS_Map,2,0))*(Bond_Mult)))*($AC122-$Y122)+(SUM((Range=$K122)*(CQS=HLOOKUP($AC122,Solv_Ratio_CQS_Map,2,0))*(Bond_Base))+IF($I122&lt;1,1,$I122-$K122)*SUM((Range=$K122)*(CQS=HLOOKUP($AC122,Solv_Ratio_CQS_Map,2,0))*(Bond_Mult)))*($Y122-$AA122))/($AC122-$AA122))))</f>
        <v/>
      </c>
      <c r="AJ122" s="53"/>
      <c r="AK122" s="121" t="str">
        <f t="shared" si="10"/>
        <v/>
      </c>
      <c r="AL122" s="53"/>
      <c r="AM122" s="123" t="str">
        <f t="shared" si="11"/>
        <v/>
      </c>
      <c r="AN122" s="115"/>
    </row>
    <row r="123" spans="2:40" x14ac:dyDescent="0.2">
      <c r="B123" s="116"/>
      <c r="C123" s="207"/>
      <c r="D123" s="53"/>
      <c r="E123" s="208"/>
      <c r="F123" s="53"/>
      <c r="G123" s="209"/>
      <c r="H123" s="53"/>
      <c r="I123" s="210"/>
      <c r="J123" s="53"/>
      <c r="K123" s="118" t="str">
        <f t="shared" si="9"/>
        <v/>
      </c>
      <c r="L123" s="53"/>
      <c r="M123" s="211"/>
      <c r="N123" s="53"/>
      <c r="O123" s="211"/>
      <c r="P123" s="53"/>
      <c r="Q123" s="211"/>
      <c r="R123" s="53"/>
      <c r="S123" s="211"/>
      <c r="T123" s="53"/>
      <c r="U123" s="117"/>
      <c r="V123" s="53"/>
      <c r="W123" s="119"/>
      <c r="X123" s="53"/>
      <c r="Y123" s="120"/>
      <c r="Z123" s="53"/>
      <c r="AA123" s="121" t="str">
        <f t="shared" si="7"/>
        <v/>
      </c>
      <c r="AB123" s="53"/>
      <c r="AC123" s="121" t="str">
        <f t="shared" si="8"/>
        <v/>
      </c>
      <c r="AD123" s="53"/>
      <c r="AE123" s="122" t="str">
        <f t="array" ref="AE123">IF(OR($C123="",$E123="",$G123="",$I123="",$M123="",$O123="",$Q123="",$S123="",$G123="Unrated"),"",IF($Q123="Y",0,MIN(1,SUM((IF($O123="Y",Cov_Range,Range)=$K123)*(IF($O123="Y",Cov_CQS,CQS)=$G123)*(IF($S123="Y",Gilt_Base,IF($O123="Y",Cov_Bond_Base,Bond_Base))))+IF($I123&lt;1,1,$I123-$K123)*SUM((IF($O123="Y",Cov_Range,Range)=$K123)*(IF($O123="Y",Cov_CQS,CQS)=$G123)*(IF($S123="Y",Gilt_Mult,IF($O123="Y",Cov_Bond_Mult,Bond_Mult)))))))</f>
        <v/>
      </c>
      <c r="AF123" s="53"/>
      <c r="AG123" s="122" t="str">
        <f t="array" ref="AG123">IF(OR($C123="",$E123="",$G123="",$I123="",$M123="",$O123="",$Q123="",$S123="",$G123&lt;&gt;"Unrated",$M123="Y"),"",MIN(1,IF(AND(U123&lt;E123,U123&gt;=E123*(1-(SUM((Range=$K123)*(Bond_Base_UR))+IF($I123&lt;1,1,$I123-$K123)*SUM((Range=$K123)*(Bond_Mult_UR))))),0.5*((SUM((Range=$K123)*(Bond_Base_UR))+IF($I123&lt;1,1,$I123-$K123)*SUM((Range=$K123)*(Bond_Mult_UR)))+((E123-U123)/E123)),IF(U123&gt;=E123,0.5,1)*(SUM((Range=$K123)*(Bond_Base_UR))+IF($I123&lt;1,1,$I123-$K123)*SUM((Range=$K123)*(Bond_Mult_UR))))))</f>
        <v/>
      </c>
      <c r="AH123" s="53"/>
      <c r="AI123" s="122" t="str">
        <f t="array" ref="AI123">IF(OR($C123="",$E123="",$G123="",$I123="",$M123="",$O123="",$Q123="",$S123="",$G123&lt;&gt;"Unrated",$M123&lt;&gt;"Y"),"",MIN(1,IF(OR($W123&lt;&gt;"Y",$AA123=$AC123),SUM((Range=$K123)*(CQS=IF($W123&lt;&gt;"Y",0,IF($AC123=196%,1,6)))*(IF($W123&lt;&gt;"Y",Bond_Base_MCR,Bond_Base)))+IF($I123&lt;1,1,$I123-$K123)*SUM((Range=$K123)*(CQS=IF($W123&lt;&gt;"Y",0,IF($AC123=196%,1,6)))*(IF($W123&lt;&gt;"Y",Bond_Mult_MCR,Bond_Mult))),((SUM((Range=$K123)*(CQS=HLOOKUP($AA123,Solv_Ratio_CQS_Map,2,0))*(Bond_Base))+IF($I123&lt;1,1,$I123-$K123)*SUM((Range=$K123)*(CQS=HLOOKUP($AA123,Solv_Ratio_CQS_Map,2,0))*(Bond_Mult)))*($AC123-$Y123)+(SUM((Range=$K123)*(CQS=HLOOKUP($AC123,Solv_Ratio_CQS_Map,2,0))*(Bond_Base))+IF($I123&lt;1,1,$I123-$K123)*SUM((Range=$K123)*(CQS=HLOOKUP($AC123,Solv_Ratio_CQS_Map,2,0))*(Bond_Mult)))*($Y123-$AA123))/($AC123-$AA123))))</f>
        <v/>
      </c>
      <c r="AJ123" s="53"/>
      <c r="AK123" s="121" t="str">
        <f t="shared" si="10"/>
        <v/>
      </c>
      <c r="AL123" s="53"/>
      <c r="AM123" s="123" t="str">
        <f t="shared" si="11"/>
        <v/>
      </c>
      <c r="AN123" s="115"/>
    </row>
    <row r="124" spans="2:40" x14ac:dyDescent="0.2">
      <c r="B124" s="116"/>
      <c r="C124" s="207"/>
      <c r="D124" s="53"/>
      <c r="E124" s="208"/>
      <c r="F124" s="53"/>
      <c r="G124" s="209"/>
      <c r="H124" s="53"/>
      <c r="I124" s="210"/>
      <c r="J124" s="53"/>
      <c r="K124" s="118" t="str">
        <f t="shared" si="9"/>
        <v/>
      </c>
      <c r="L124" s="53"/>
      <c r="M124" s="211"/>
      <c r="N124" s="53"/>
      <c r="O124" s="211"/>
      <c r="P124" s="53"/>
      <c r="Q124" s="211"/>
      <c r="R124" s="53"/>
      <c r="S124" s="211"/>
      <c r="T124" s="53"/>
      <c r="U124" s="117"/>
      <c r="V124" s="53"/>
      <c r="W124" s="119"/>
      <c r="X124" s="53"/>
      <c r="Y124" s="120"/>
      <c r="Z124" s="53"/>
      <c r="AA124" s="121" t="str">
        <f t="shared" si="7"/>
        <v/>
      </c>
      <c r="AB124" s="53"/>
      <c r="AC124" s="121" t="str">
        <f t="shared" si="8"/>
        <v/>
      </c>
      <c r="AD124" s="53"/>
      <c r="AE124" s="122" t="str">
        <f t="array" ref="AE124">IF(OR($C124="",$E124="",$G124="",$I124="",$M124="",$O124="",$Q124="",$S124="",$G124="Unrated"),"",IF($Q124="Y",0,MIN(1,SUM((IF($O124="Y",Cov_Range,Range)=$K124)*(IF($O124="Y",Cov_CQS,CQS)=$G124)*(IF($S124="Y",Gilt_Base,IF($O124="Y",Cov_Bond_Base,Bond_Base))))+IF($I124&lt;1,1,$I124-$K124)*SUM((IF($O124="Y",Cov_Range,Range)=$K124)*(IF($O124="Y",Cov_CQS,CQS)=$G124)*(IF($S124="Y",Gilt_Mult,IF($O124="Y",Cov_Bond_Mult,Bond_Mult)))))))</f>
        <v/>
      </c>
      <c r="AF124" s="53"/>
      <c r="AG124" s="122" t="str">
        <f t="array" ref="AG124">IF(OR($C124="",$E124="",$G124="",$I124="",$M124="",$O124="",$Q124="",$S124="",$G124&lt;&gt;"Unrated",$M124="Y"),"",MIN(1,IF(AND(U124&lt;E124,U124&gt;=E124*(1-(SUM((Range=$K124)*(Bond_Base_UR))+IF($I124&lt;1,1,$I124-$K124)*SUM((Range=$K124)*(Bond_Mult_UR))))),0.5*((SUM((Range=$K124)*(Bond_Base_UR))+IF($I124&lt;1,1,$I124-$K124)*SUM((Range=$K124)*(Bond_Mult_UR)))+((E124-U124)/E124)),IF(U124&gt;=E124,0.5,1)*(SUM((Range=$K124)*(Bond_Base_UR))+IF($I124&lt;1,1,$I124-$K124)*SUM((Range=$K124)*(Bond_Mult_UR))))))</f>
        <v/>
      </c>
      <c r="AH124" s="53"/>
      <c r="AI124" s="122" t="str">
        <f t="array" ref="AI124">IF(OR($C124="",$E124="",$G124="",$I124="",$M124="",$O124="",$Q124="",$S124="",$G124&lt;&gt;"Unrated",$M124&lt;&gt;"Y"),"",MIN(1,IF(OR($W124&lt;&gt;"Y",$AA124=$AC124),SUM((Range=$K124)*(CQS=IF($W124&lt;&gt;"Y",0,IF($AC124=196%,1,6)))*(IF($W124&lt;&gt;"Y",Bond_Base_MCR,Bond_Base)))+IF($I124&lt;1,1,$I124-$K124)*SUM((Range=$K124)*(CQS=IF($W124&lt;&gt;"Y",0,IF($AC124=196%,1,6)))*(IF($W124&lt;&gt;"Y",Bond_Mult_MCR,Bond_Mult))),((SUM((Range=$K124)*(CQS=HLOOKUP($AA124,Solv_Ratio_CQS_Map,2,0))*(Bond_Base))+IF($I124&lt;1,1,$I124-$K124)*SUM((Range=$K124)*(CQS=HLOOKUP($AA124,Solv_Ratio_CQS_Map,2,0))*(Bond_Mult)))*($AC124-$Y124)+(SUM((Range=$K124)*(CQS=HLOOKUP($AC124,Solv_Ratio_CQS_Map,2,0))*(Bond_Base))+IF($I124&lt;1,1,$I124-$K124)*SUM((Range=$K124)*(CQS=HLOOKUP($AC124,Solv_Ratio_CQS_Map,2,0))*(Bond_Mult)))*($Y124-$AA124))/($AC124-$AA124))))</f>
        <v/>
      </c>
      <c r="AJ124" s="53"/>
      <c r="AK124" s="121" t="str">
        <f t="shared" si="10"/>
        <v/>
      </c>
      <c r="AL124" s="53"/>
      <c r="AM124" s="123" t="str">
        <f t="shared" si="11"/>
        <v/>
      </c>
      <c r="AN124" s="115"/>
    </row>
    <row r="125" spans="2:40" x14ac:dyDescent="0.2">
      <c r="B125" s="116"/>
      <c r="C125" s="207"/>
      <c r="D125" s="53"/>
      <c r="E125" s="208"/>
      <c r="F125" s="53"/>
      <c r="G125" s="209"/>
      <c r="H125" s="53"/>
      <c r="I125" s="210"/>
      <c r="J125" s="53"/>
      <c r="K125" s="118" t="str">
        <f t="shared" si="9"/>
        <v/>
      </c>
      <c r="L125" s="53"/>
      <c r="M125" s="211"/>
      <c r="N125" s="53"/>
      <c r="O125" s="211"/>
      <c r="P125" s="53"/>
      <c r="Q125" s="211"/>
      <c r="R125" s="53"/>
      <c r="S125" s="211"/>
      <c r="T125" s="53"/>
      <c r="U125" s="117"/>
      <c r="V125" s="53"/>
      <c r="W125" s="119"/>
      <c r="X125" s="53"/>
      <c r="Y125" s="120"/>
      <c r="Z125" s="53"/>
      <c r="AA125" s="121" t="str">
        <f t="shared" si="7"/>
        <v/>
      </c>
      <c r="AB125" s="53"/>
      <c r="AC125" s="121" t="str">
        <f t="shared" si="8"/>
        <v/>
      </c>
      <c r="AD125" s="53"/>
      <c r="AE125" s="122" t="str">
        <f t="array" ref="AE125">IF(OR($C125="",$E125="",$G125="",$I125="",$M125="",$O125="",$Q125="",$S125="",$G125="Unrated"),"",IF($Q125="Y",0,MIN(1,SUM((IF($O125="Y",Cov_Range,Range)=$K125)*(IF($O125="Y",Cov_CQS,CQS)=$G125)*(IF($S125="Y",Gilt_Base,IF($O125="Y",Cov_Bond_Base,Bond_Base))))+IF($I125&lt;1,1,$I125-$K125)*SUM((IF($O125="Y",Cov_Range,Range)=$K125)*(IF($O125="Y",Cov_CQS,CQS)=$G125)*(IF($S125="Y",Gilt_Mult,IF($O125="Y",Cov_Bond_Mult,Bond_Mult)))))))</f>
        <v/>
      </c>
      <c r="AF125" s="53"/>
      <c r="AG125" s="122" t="str">
        <f t="array" ref="AG125">IF(OR($C125="",$E125="",$G125="",$I125="",$M125="",$O125="",$Q125="",$S125="",$G125&lt;&gt;"Unrated",$M125="Y"),"",MIN(1,IF(AND(U125&lt;E125,U125&gt;=E125*(1-(SUM((Range=$K125)*(Bond_Base_UR))+IF($I125&lt;1,1,$I125-$K125)*SUM((Range=$K125)*(Bond_Mult_UR))))),0.5*((SUM((Range=$K125)*(Bond_Base_UR))+IF($I125&lt;1,1,$I125-$K125)*SUM((Range=$K125)*(Bond_Mult_UR)))+((E125-U125)/E125)),IF(U125&gt;=E125,0.5,1)*(SUM((Range=$K125)*(Bond_Base_UR))+IF($I125&lt;1,1,$I125-$K125)*SUM((Range=$K125)*(Bond_Mult_UR))))))</f>
        <v/>
      </c>
      <c r="AH125" s="53"/>
      <c r="AI125" s="122" t="str">
        <f t="array" ref="AI125">IF(OR($C125="",$E125="",$G125="",$I125="",$M125="",$O125="",$Q125="",$S125="",$G125&lt;&gt;"Unrated",$M125&lt;&gt;"Y"),"",MIN(1,IF(OR($W125&lt;&gt;"Y",$AA125=$AC125),SUM((Range=$K125)*(CQS=IF($W125&lt;&gt;"Y",0,IF($AC125=196%,1,6)))*(IF($W125&lt;&gt;"Y",Bond_Base_MCR,Bond_Base)))+IF($I125&lt;1,1,$I125-$K125)*SUM((Range=$K125)*(CQS=IF($W125&lt;&gt;"Y",0,IF($AC125=196%,1,6)))*(IF($W125&lt;&gt;"Y",Bond_Mult_MCR,Bond_Mult))),((SUM((Range=$K125)*(CQS=HLOOKUP($AA125,Solv_Ratio_CQS_Map,2,0))*(Bond_Base))+IF($I125&lt;1,1,$I125-$K125)*SUM((Range=$K125)*(CQS=HLOOKUP($AA125,Solv_Ratio_CQS_Map,2,0))*(Bond_Mult)))*($AC125-$Y125)+(SUM((Range=$K125)*(CQS=HLOOKUP($AC125,Solv_Ratio_CQS_Map,2,0))*(Bond_Base))+IF($I125&lt;1,1,$I125-$K125)*SUM((Range=$K125)*(CQS=HLOOKUP($AC125,Solv_Ratio_CQS_Map,2,0))*(Bond_Mult)))*($Y125-$AA125))/($AC125-$AA125))))</f>
        <v/>
      </c>
      <c r="AJ125" s="53"/>
      <c r="AK125" s="121" t="str">
        <f t="shared" si="10"/>
        <v/>
      </c>
      <c r="AL125" s="53"/>
      <c r="AM125" s="123" t="str">
        <f t="shared" si="11"/>
        <v/>
      </c>
      <c r="AN125" s="115"/>
    </row>
    <row r="126" spans="2:40" x14ac:dyDescent="0.2">
      <c r="B126" s="116"/>
      <c r="C126" s="207"/>
      <c r="D126" s="53"/>
      <c r="E126" s="208"/>
      <c r="F126" s="53"/>
      <c r="G126" s="209"/>
      <c r="H126" s="53"/>
      <c r="I126" s="210"/>
      <c r="J126" s="53"/>
      <c r="K126" s="118" t="str">
        <f t="shared" si="9"/>
        <v/>
      </c>
      <c r="L126" s="53"/>
      <c r="M126" s="211"/>
      <c r="N126" s="53"/>
      <c r="O126" s="211"/>
      <c r="P126" s="53"/>
      <c r="Q126" s="211"/>
      <c r="R126" s="53"/>
      <c r="S126" s="211"/>
      <c r="T126" s="53"/>
      <c r="U126" s="117"/>
      <c r="V126" s="53"/>
      <c r="W126" s="119"/>
      <c r="X126" s="53"/>
      <c r="Y126" s="120"/>
      <c r="Z126" s="53"/>
      <c r="AA126" s="121" t="str">
        <f t="shared" si="7"/>
        <v/>
      </c>
      <c r="AB126" s="53"/>
      <c r="AC126" s="121" t="str">
        <f t="shared" si="8"/>
        <v/>
      </c>
      <c r="AD126" s="53"/>
      <c r="AE126" s="122" t="str">
        <f t="array" ref="AE126">IF(OR($C126="",$E126="",$G126="",$I126="",$M126="",$O126="",$Q126="",$S126="",$G126="Unrated"),"",IF($Q126="Y",0,MIN(1,SUM((IF($O126="Y",Cov_Range,Range)=$K126)*(IF($O126="Y",Cov_CQS,CQS)=$G126)*(IF($S126="Y",Gilt_Base,IF($O126="Y",Cov_Bond_Base,Bond_Base))))+IF($I126&lt;1,1,$I126-$K126)*SUM((IF($O126="Y",Cov_Range,Range)=$K126)*(IF($O126="Y",Cov_CQS,CQS)=$G126)*(IF($S126="Y",Gilt_Mult,IF($O126="Y",Cov_Bond_Mult,Bond_Mult)))))))</f>
        <v/>
      </c>
      <c r="AF126" s="53"/>
      <c r="AG126" s="122" t="str">
        <f t="array" ref="AG126">IF(OR($C126="",$E126="",$G126="",$I126="",$M126="",$O126="",$Q126="",$S126="",$G126&lt;&gt;"Unrated",$M126="Y"),"",MIN(1,IF(AND(U126&lt;E126,U126&gt;=E126*(1-(SUM((Range=$K126)*(Bond_Base_UR))+IF($I126&lt;1,1,$I126-$K126)*SUM((Range=$K126)*(Bond_Mult_UR))))),0.5*((SUM((Range=$K126)*(Bond_Base_UR))+IF($I126&lt;1,1,$I126-$K126)*SUM((Range=$K126)*(Bond_Mult_UR)))+((E126-U126)/E126)),IF(U126&gt;=E126,0.5,1)*(SUM((Range=$K126)*(Bond_Base_UR))+IF($I126&lt;1,1,$I126-$K126)*SUM((Range=$K126)*(Bond_Mult_UR))))))</f>
        <v/>
      </c>
      <c r="AH126" s="53"/>
      <c r="AI126" s="122" t="str">
        <f t="array" ref="AI126">IF(OR($C126="",$E126="",$G126="",$I126="",$M126="",$O126="",$Q126="",$S126="",$G126&lt;&gt;"Unrated",$M126&lt;&gt;"Y"),"",MIN(1,IF(OR($W126&lt;&gt;"Y",$AA126=$AC126),SUM((Range=$K126)*(CQS=IF($W126&lt;&gt;"Y",0,IF($AC126=196%,1,6)))*(IF($W126&lt;&gt;"Y",Bond_Base_MCR,Bond_Base)))+IF($I126&lt;1,1,$I126-$K126)*SUM((Range=$K126)*(CQS=IF($W126&lt;&gt;"Y",0,IF($AC126=196%,1,6)))*(IF($W126&lt;&gt;"Y",Bond_Mult_MCR,Bond_Mult))),((SUM((Range=$K126)*(CQS=HLOOKUP($AA126,Solv_Ratio_CQS_Map,2,0))*(Bond_Base))+IF($I126&lt;1,1,$I126-$K126)*SUM((Range=$K126)*(CQS=HLOOKUP($AA126,Solv_Ratio_CQS_Map,2,0))*(Bond_Mult)))*($AC126-$Y126)+(SUM((Range=$K126)*(CQS=HLOOKUP($AC126,Solv_Ratio_CQS_Map,2,0))*(Bond_Base))+IF($I126&lt;1,1,$I126-$K126)*SUM((Range=$K126)*(CQS=HLOOKUP($AC126,Solv_Ratio_CQS_Map,2,0))*(Bond_Mult)))*($Y126-$AA126))/($AC126-$AA126))))</f>
        <v/>
      </c>
      <c r="AJ126" s="53"/>
      <c r="AK126" s="121" t="str">
        <f t="shared" si="10"/>
        <v/>
      </c>
      <c r="AL126" s="53"/>
      <c r="AM126" s="123" t="str">
        <f t="shared" si="11"/>
        <v/>
      </c>
      <c r="AN126" s="115"/>
    </row>
    <row r="127" spans="2:40" x14ac:dyDescent="0.2">
      <c r="B127" s="116"/>
      <c r="C127" s="207"/>
      <c r="D127" s="53"/>
      <c r="E127" s="208"/>
      <c r="F127" s="53"/>
      <c r="G127" s="209"/>
      <c r="H127" s="53"/>
      <c r="I127" s="210"/>
      <c r="J127" s="53"/>
      <c r="K127" s="118" t="str">
        <f t="shared" si="9"/>
        <v/>
      </c>
      <c r="L127" s="53"/>
      <c r="M127" s="211"/>
      <c r="N127" s="53"/>
      <c r="O127" s="211"/>
      <c r="P127" s="53"/>
      <c r="Q127" s="211"/>
      <c r="R127" s="53"/>
      <c r="S127" s="211"/>
      <c r="T127" s="53"/>
      <c r="U127" s="117"/>
      <c r="V127" s="53"/>
      <c r="W127" s="119"/>
      <c r="X127" s="53"/>
      <c r="Y127" s="120"/>
      <c r="Z127" s="53"/>
      <c r="AA127" s="121" t="str">
        <f t="shared" si="7"/>
        <v/>
      </c>
      <c r="AB127" s="53"/>
      <c r="AC127" s="121" t="str">
        <f t="shared" si="8"/>
        <v/>
      </c>
      <c r="AD127" s="53"/>
      <c r="AE127" s="122" t="str">
        <f t="array" ref="AE127">IF(OR($C127="",$E127="",$G127="",$I127="",$M127="",$O127="",$Q127="",$S127="",$G127="Unrated"),"",IF($Q127="Y",0,MIN(1,SUM((IF($O127="Y",Cov_Range,Range)=$K127)*(IF($O127="Y",Cov_CQS,CQS)=$G127)*(IF($S127="Y",Gilt_Base,IF($O127="Y",Cov_Bond_Base,Bond_Base))))+IF($I127&lt;1,1,$I127-$K127)*SUM((IF($O127="Y",Cov_Range,Range)=$K127)*(IF($O127="Y",Cov_CQS,CQS)=$G127)*(IF($S127="Y",Gilt_Mult,IF($O127="Y",Cov_Bond_Mult,Bond_Mult)))))))</f>
        <v/>
      </c>
      <c r="AF127" s="53"/>
      <c r="AG127" s="122" t="str">
        <f t="array" ref="AG127">IF(OR($C127="",$E127="",$G127="",$I127="",$M127="",$O127="",$Q127="",$S127="",$G127&lt;&gt;"Unrated",$M127="Y"),"",MIN(1,IF(AND(U127&lt;E127,U127&gt;=E127*(1-(SUM((Range=$K127)*(Bond_Base_UR))+IF($I127&lt;1,1,$I127-$K127)*SUM((Range=$K127)*(Bond_Mult_UR))))),0.5*((SUM((Range=$K127)*(Bond_Base_UR))+IF($I127&lt;1,1,$I127-$K127)*SUM((Range=$K127)*(Bond_Mult_UR)))+((E127-U127)/E127)),IF(U127&gt;=E127,0.5,1)*(SUM((Range=$K127)*(Bond_Base_UR))+IF($I127&lt;1,1,$I127-$K127)*SUM((Range=$K127)*(Bond_Mult_UR))))))</f>
        <v/>
      </c>
      <c r="AH127" s="53"/>
      <c r="AI127" s="122" t="str">
        <f t="array" ref="AI127">IF(OR($C127="",$E127="",$G127="",$I127="",$M127="",$O127="",$Q127="",$S127="",$G127&lt;&gt;"Unrated",$M127&lt;&gt;"Y"),"",MIN(1,IF(OR($W127&lt;&gt;"Y",$AA127=$AC127),SUM((Range=$K127)*(CQS=IF($W127&lt;&gt;"Y",0,IF($AC127=196%,1,6)))*(IF($W127&lt;&gt;"Y",Bond_Base_MCR,Bond_Base)))+IF($I127&lt;1,1,$I127-$K127)*SUM((Range=$K127)*(CQS=IF($W127&lt;&gt;"Y",0,IF($AC127=196%,1,6)))*(IF($W127&lt;&gt;"Y",Bond_Mult_MCR,Bond_Mult))),((SUM((Range=$K127)*(CQS=HLOOKUP($AA127,Solv_Ratio_CQS_Map,2,0))*(Bond_Base))+IF($I127&lt;1,1,$I127-$K127)*SUM((Range=$K127)*(CQS=HLOOKUP($AA127,Solv_Ratio_CQS_Map,2,0))*(Bond_Mult)))*($AC127-$Y127)+(SUM((Range=$K127)*(CQS=HLOOKUP($AC127,Solv_Ratio_CQS_Map,2,0))*(Bond_Base))+IF($I127&lt;1,1,$I127-$K127)*SUM((Range=$K127)*(CQS=HLOOKUP($AC127,Solv_Ratio_CQS_Map,2,0))*(Bond_Mult)))*($Y127-$AA127))/($AC127-$AA127))))</f>
        <v/>
      </c>
      <c r="AJ127" s="53"/>
      <c r="AK127" s="121" t="str">
        <f t="shared" si="10"/>
        <v/>
      </c>
      <c r="AL127" s="53"/>
      <c r="AM127" s="123" t="str">
        <f t="shared" si="11"/>
        <v/>
      </c>
      <c r="AN127" s="115"/>
    </row>
    <row r="128" spans="2:40" x14ac:dyDescent="0.2">
      <c r="B128" s="116"/>
      <c r="C128" s="207"/>
      <c r="D128" s="53"/>
      <c r="E128" s="208"/>
      <c r="F128" s="53"/>
      <c r="G128" s="209"/>
      <c r="H128" s="53"/>
      <c r="I128" s="210"/>
      <c r="J128" s="53"/>
      <c r="K128" s="118" t="str">
        <f t="shared" si="9"/>
        <v/>
      </c>
      <c r="L128" s="53"/>
      <c r="M128" s="211"/>
      <c r="N128" s="53"/>
      <c r="O128" s="211"/>
      <c r="P128" s="53"/>
      <c r="Q128" s="211"/>
      <c r="R128" s="53"/>
      <c r="S128" s="211"/>
      <c r="T128" s="53"/>
      <c r="U128" s="117"/>
      <c r="V128" s="53"/>
      <c r="W128" s="119"/>
      <c r="X128" s="53"/>
      <c r="Y128" s="120"/>
      <c r="Z128" s="53"/>
      <c r="AA128" s="121" t="str">
        <f t="shared" si="7"/>
        <v/>
      </c>
      <c r="AB128" s="53"/>
      <c r="AC128" s="121" t="str">
        <f t="shared" si="8"/>
        <v/>
      </c>
      <c r="AD128" s="53"/>
      <c r="AE128" s="122" t="str">
        <f t="array" ref="AE128">IF(OR($C128="",$E128="",$G128="",$I128="",$M128="",$O128="",$Q128="",$S128="",$G128="Unrated"),"",IF($Q128="Y",0,MIN(1,SUM((IF($O128="Y",Cov_Range,Range)=$K128)*(IF($O128="Y",Cov_CQS,CQS)=$G128)*(IF($S128="Y",Gilt_Base,IF($O128="Y",Cov_Bond_Base,Bond_Base))))+IF($I128&lt;1,1,$I128-$K128)*SUM((IF($O128="Y",Cov_Range,Range)=$K128)*(IF($O128="Y",Cov_CQS,CQS)=$G128)*(IF($S128="Y",Gilt_Mult,IF($O128="Y",Cov_Bond_Mult,Bond_Mult)))))))</f>
        <v/>
      </c>
      <c r="AF128" s="53"/>
      <c r="AG128" s="122" t="str">
        <f t="array" ref="AG128">IF(OR($C128="",$E128="",$G128="",$I128="",$M128="",$O128="",$Q128="",$S128="",$G128&lt;&gt;"Unrated",$M128="Y"),"",MIN(1,IF(AND(U128&lt;E128,U128&gt;=E128*(1-(SUM((Range=$K128)*(Bond_Base_UR))+IF($I128&lt;1,1,$I128-$K128)*SUM((Range=$K128)*(Bond_Mult_UR))))),0.5*((SUM((Range=$K128)*(Bond_Base_UR))+IF($I128&lt;1,1,$I128-$K128)*SUM((Range=$K128)*(Bond_Mult_UR)))+((E128-U128)/E128)),IF(U128&gt;=E128,0.5,1)*(SUM((Range=$K128)*(Bond_Base_UR))+IF($I128&lt;1,1,$I128-$K128)*SUM((Range=$K128)*(Bond_Mult_UR))))))</f>
        <v/>
      </c>
      <c r="AH128" s="53"/>
      <c r="AI128" s="122" t="str">
        <f t="array" ref="AI128">IF(OR($C128="",$E128="",$G128="",$I128="",$M128="",$O128="",$Q128="",$S128="",$G128&lt;&gt;"Unrated",$M128&lt;&gt;"Y"),"",MIN(1,IF(OR($W128&lt;&gt;"Y",$AA128=$AC128),SUM((Range=$K128)*(CQS=IF($W128&lt;&gt;"Y",0,IF($AC128=196%,1,6)))*(IF($W128&lt;&gt;"Y",Bond_Base_MCR,Bond_Base)))+IF($I128&lt;1,1,$I128-$K128)*SUM((Range=$K128)*(CQS=IF($W128&lt;&gt;"Y",0,IF($AC128=196%,1,6)))*(IF($W128&lt;&gt;"Y",Bond_Mult_MCR,Bond_Mult))),((SUM((Range=$K128)*(CQS=HLOOKUP($AA128,Solv_Ratio_CQS_Map,2,0))*(Bond_Base))+IF($I128&lt;1,1,$I128-$K128)*SUM((Range=$K128)*(CQS=HLOOKUP($AA128,Solv_Ratio_CQS_Map,2,0))*(Bond_Mult)))*($AC128-$Y128)+(SUM((Range=$K128)*(CQS=HLOOKUP($AC128,Solv_Ratio_CQS_Map,2,0))*(Bond_Base))+IF($I128&lt;1,1,$I128-$K128)*SUM((Range=$K128)*(CQS=HLOOKUP($AC128,Solv_Ratio_CQS_Map,2,0))*(Bond_Mult)))*($Y128-$AA128))/($AC128-$AA128))))</f>
        <v/>
      </c>
      <c r="AJ128" s="53"/>
      <c r="AK128" s="121" t="str">
        <f t="shared" si="10"/>
        <v/>
      </c>
      <c r="AL128" s="53"/>
      <c r="AM128" s="123" t="str">
        <f t="shared" si="11"/>
        <v/>
      </c>
      <c r="AN128" s="115"/>
    </row>
    <row r="129" spans="2:40" x14ac:dyDescent="0.2">
      <c r="B129" s="116"/>
      <c r="C129" s="207"/>
      <c r="D129" s="53"/>
      <c r="E129" s="208"/>
      <c r="F129" s="53"/>
      <c r="G129" s="209"/>
      <c r="H129" s="53"/>
      <c r="I129" s="210"/>
      <c r="J129" s="53"/>
      <c r="K129" s="118" t="str">
        <f t="shared" si="9"/>
        <v/>
      </c>
      <c r="L129" s="53"/>
      <c r="M129" s="211"/>
      <c r="N129" s="53"/>
      <c r="O129" s="211"/>
      <c r="P129" s="53"/>
      <c r="Q129" s="211"/>
      <c r="R129" s="53"/>
      <c r="S129" s="211"/>
      <c r="T129" s="53"/>
      <c r="U129" s="117"/>
      <c r="V129" s="53"/>
      <c r="W129" s="119"/>
      <c r="X129" s="53"/>
      <c r="Y129" s="120"/>
      <c r="Z129" s="53"/>
      <c r="AA129" s="121" t="str">
        <f t="shared" si="7"/>
        <v/>
      </c>
      <c r="AB129" s="53"/>
      <c r="AC129" s="121" t="str">
        <f t="shared" si="8"/>
        <v/>
      </c>
      <c r="AD129" s="53"/>
      <c r="AE129" s="122" t="str">
        <f t="array" ref="AE129">IF(OR($C129="",$E129="",$G129="",$I129="",$M129="",$O129="",$Q129="",$S129="",$G129="Unrated"),"",IF($Q129="Y",0,MIN(1,SUM((IF($O129="Y",Cov_Range,Range)=$K129)*(IF($O129="Y",Cov_CQS,CQS)=$G129)*(IF($S129="Y",Gilt_Base,IF($O129="Y",Cov_Bond_Base,Bond_Base))))+IF($I129&lt;1,1,$I129-$K129)*SUM((IF($O129="Y",Cov_Range,Range)=$K129)*(IF($O129="Y",Cov_CQS,CQS)=$G129)*(IF($S129="Y",Gilt_Mult,IF($O129="Y",Cov_Bond_Mult,Bond_Mult)))))))</f>
        <v/>
      </c>
      <c r="AF129" s="53"/>
      <c r="AG129" s="122" t="str">
        <f t="array" ref="AG129">IF(OR($C129="",$E129="",$G129="",$I129="",$M129="",$O129="",$Q129="",$S129="",$G129&lt;&gt;"Unrated",$M129="Y"),"",MIN(1,IF(AND(U129&lt;E129,U129&gt;=E129*(1-(SUM((Range=$K129)*(Bond_Base_UR))+IF($I129&lt;1,1,$I129-$K129)*SUM((Range=$K129)*(Bond_Mult_UR))))),0.5*((SUM((Range=$K129)*(Bond_Base_UR))+IF($I129&lt;1,1,$I129-$K129)*SUM((Range=$K129)*(Bond_Mult_UR)))+((E129-U129)/E129)),IF(U129&gt;=E129,0.5,1)*(SUM((Range=$K129)*(Bond_Base_UR))+IF($I129&lt;1,1,$I129-$K129)*SUM((Range=$K129)*(Bond_Mult_UR))))))</f>
        <v/>
      </c>
      <c r="AH129" s="53"/>
      <c r="AI129" s="122" t="str">
        <f t="array" ref="AI129">IF(OR($C129="",$E129="",$G129="",$I129="",$M129="",$O129="",$Q129="",$S129="",$G129&lt;&gt;"Unrated",$M129&lt;&gt;"Y"),"",MIN(1,IF(OR($W129&lt;&gt;"Y",$AA129=$AC129),SUM((Range=$K129)*(CQS=IF($W129&lt;&gt;"Y",0,IF($AC129=196%,1,6)))*(IF($W129&lt;&gt;"Y",Bond_Base_MCR,Bond_Base)))+IF($I129&lt;1,1,$I129-$K129)*SUM((Range=$K129)*(CQS=IF($W129&lt;&gt;"Y",0,IF($AC129=196%,1,6)))*(IF($W129&lt;&gt;"Y",Bond_Mult_MCR,Bond_Mult))),((SUM((Range=$K129)*(CQS=HLOOKUP($AA129,Solv_Ratio_CQS_Map,2,0))*(Bond_Base))+IF($I129&lt;1,1,$I129-$K129)*SUM((Range=$K129)*(CQS=HLOOKUP($AA129,Solv_Ratio_CQS_Map,2,0))*(Bond_Mult)))*($AC129-$Y129)+(SUM((Range=$K129)*(CQS=HLOOKUP($AC129,Solv_Ratio_CQS_Map,2,0))*(Bond_Base))+IF($I129&lt;1,1,$I129-$K129)*SUM((Range=$K129)*(CQS=HLOOKUP($AC129,Solv_Ratio_CQS_Map,2,0))*(Bond_Mult)))*($Y129-$AA129))/($AC129-$AA129))))</f>
        <v/>
      </c>
      <c r="AJ129" s="53"/>
      <c r="AK129" s="121" t="str">
        <f t="shared" si="10"/>
        <v/>
      </c>
      <c r="AL129" s="53"/>
      <c r="AM129" s="123" t="str">
        <f t="shared" si="11"/>
        <v/>
      </c>
      <c r="AN129" s="115"/>
    </row>
    <row r="130" spans="2:40" x14ac:dyDescent="0.2">
      <c r="B130" s="116"/>
      <c r="C130" s="207"/>
      <c r="D130" s="53"/>
      <c r="E130" s="208"/>
      <c r="F130" s="53"/>
      <c r="G130" s="209"/>
      <c r="H130" s="53"/>
      <c r="I130" s="210"/>
      <c r="J130" s="53"/>
      <c r="K130" s="118" t="str">
        <f t="shared" si="9"/>
        <v/>
      </c>
      <c r="L130" s="53"/>
      <c r="M130" s="211"/>
      <c r="N130" s="53"/>
      <c r="O130" s="211"/>
      <c r="P130" s="53"/>
      <c r="Q130" s="211"/>
      <c r="R130" s="53"/>
      <c r="S130" s="211"/>
      <c r="T130" s="53"/>
      <c r="U130" s="117"/>
      <c r="V130" s="53"/>
      <c r="W130" s="119"/>
      <c r="X130" s="53"/>
      <c r="Y130" s="120"/>
      <c r="Z130" s="53"/>
      <c r="AA130" s="121" t="str">
        <f t="shared" si="7"/>
        <v/>
      </c>
      <c r="AB130" s="53"/>
      <c r="AC130" s="121" t="str">
        <f t="shared" si="8"/>
        <v/>
      </c>
      <c r="AD130" s="53"/>
      <c r="AE130" s="122" t="str">
        <f t="array" ref="AE130">IF(OR($C130="",$E130="",$G130="",$I130="",$M130="",$O130="",$Q130="",$S130="",$G130="Unrated"),"",IF($Q130="Y",0,MIN(1,SUM((IF($O130="Y",Cov_Range,Range)=$K130)*(IF($O130="Y",Cov_CQS,CQS)=$G130)*(IF($S130="Y",Gilt_Base,IF($O130="Y",Cov_Bond_Base,Bond_Base))))+IF($I130&lt;1,1,$I130-$K130)*SUM((IF($O130="Y",Cov_Range,Range)=$K130)*(IF($O130="Y",Cov_CQS,CQS)=$G130)*(IF($S130="Y",Gilt_Mult,IF($O130="Y",Cov_Bond_Mult,Bond_Mult)))))))</f>
        <v/>
      </c>
      <c r="AF130" s="53"/>
      <c r="AG130" s="122" t="str">
        <f t="array" ref="AG130">IF(OR($C130="",$E130="",$G130="",$I130="",$M130="",$O130="",$Q130="",$S130="",$G130&lt;&gt;"Unrated",$M130="Y"),"",MIN(1,IF(AND(U130&lt;E130,U130&gt;=E130*(1-(SUM((Range=$K130)*(Bond_Base_UR))+IF($I130&lt;1,1,$I130-$K130)*SUM((Range=$K130)*(Bond_Mult_UR))))),0.5*((SUM((Range=$K130)*(Bond_Base_UR))+IF($I130&lt;1,1,$I130-$K130)*SUM((Range=$K130)*(Bond_Mult_UR)))+((E130-U130)/E130)),IF(U130&gt;=E130,0.5,1)*(SUM((Range=$K130)*(Bond_Base_UR))+IF($I130&lt;1,1,$I130-$K130)*SUM((Range=$K130)*(Bond_Mult_UR))))))</f>
        <v/>
      </c>
      <c r="AH130" s="53"/>
      <c r="AI130" s="122" t="str">
        <f t="array" ref="AI130">IF(OR($C130="",$E130="",$G130="",$I130="",$M130="",$O130="",$Q130="",$S130="",$G130&lt;&gt;"Unrated",$M130&lt;&gt;"Y"),"",MIN(1,IF(OR($W130&lt;&gt;"Y",$AA130=$AC130),SUM((Range=$K130)*(CQS=IF($W130&lt;&gt;"Y",0,IF($AC130=196%,1,6)))*(IF($W130&lt;&gt;"Y",Bond_Base_MCR,Bond_Base)))+IF($I130&lt;1,1,$I130-$K130)*SUM((Range=$K130)*(CQS=IF($W130&lt;&gt;"Y",0,IF($AC130=196%,1,6)))*(IF($W130&lt;&gt;"Y",Bond_Mult_MCR,Bond_Mult))),((SUM((Range=$K130)*(CQS=HLOOKUP($AA130,Solv_Ratio_CQS_Map,2,0))*(Bond_Base))+IF($I130&lt;1,1,$I130-$K130)*SUM((Range=$K130)*(CQS=HLOOKUP($AA130,Solv_Ratio_CQS_Map,2,0))*(Bond_Mult)))*($AC130-$Y130)+(SUM((Range=$K130)*(CQS=HLOOKUP($AC130,Solv_Ratio_CQS_Map,2,0))*(Bond_Base))+IF($I130&lt;1,1,$I130-$K130)*SUM((Range=$K130)*(CQS=HLOOKUP($AC130,Solv_Ratio_CQS_Map,2,0))*(Bond_Mult)))*($Y130-$AA130))/($AC130-$AA130))))</f>
        <v/>
      </c>
      <c r="AJ130" s="53"/>
      <c r="AK130" s="121" t="str">
        <f t="shared" si="10"/>
        <v/>
      </c>
      <c r="AL130" s="53"/>
      <c r="AM130" s="123" t="str">
        <f t="shared" si="11"/>
        <v/>
      </c>
      <c r="AN130" s="115"/>
    </row>
    <row r="131" spans="2:40" x14ac:dyDescent="0.2">
      <c r="B131" s="116"/>
      <c r="C131" s="207"/>
      <c r="D131" s="53"/>
      <c r="E131" s="208"/>
      <c r="F131" s="53"/>
      <c r="G131" s="209"/>
      <c r="H131" s="53"/>
      <c r="I131" s="210"/>
      <c r="J131" s="53"/>
      <c r="K131" s="118" t="str">
        <f t="shared" si="9"/>
        <v/>
      </c>
      <c r="L131" s="53"/>
      <c r="M131" s="211"/>
      <c r="N131" s="53"/>
      <c r="O131" s="211"/>
      <c r="P131" s="53"/>
      <c r="Q131" s="211"/>
      <c r="R131" s="53"/>
      <c r="S131" s="211"/>
      <c r="T131" s="53"/>
      <c r="U131" s="117"/>
      <c r="V131" s="53"/>
      <c r="W131" s="119"/>
      <c r="X131" s="53"/>
      <c r="Y131" s="120"/>
      <c r="Z131" s="53"/>
      <c r="AA131" s="121" t="str">
        <f t="shared" si="7"/>
        <v/>
      </c>
      <c r="AB131" s="53"/>
      <c r="AC131" s="121" t="str">
        <f t="shared" si="8"/>
        <v/>
      </c>
      <c r="AD131" s="53"/>
      <c r="AE131" s="122" t="str">
        <f t="array" ref="AE131">IF(OR($C131="",$E131="",$G131="",$I131="",$M131="",$O131="",$Q131="",$S131="",$G131="Unrated"),"",IF($Q131="Y",0,MIN(1,SUM((IF($O131="Y",Cov_Range,Range)=$K131)*(IF($O131="Y",Cov_CQS,CQS)=$G131)*(IF($S131="Y",Gilt_Base,IF($O131="Y",Cov_Bond_Base,Bond_Base))))+IF($I131&lt;1,1,$I131-$K131)*SUM((IF($O131="Y",Cov_Range,Range)=$K131)*(IF($O131="Y",Cov_CQS,CQS)=$G131)*(IF($S131="Y",Gilt_Mult,IF($O131="Y",Cov_Bond_Mult,Bond_Mult)))))))</f>
        <v/>
      </c>
      <c r="AF131" s="53"/>
      <c r="AG131" s="122" t="str">
        <f t="array" ref="AG131">IF(OR($C131="",$E131="",$G131="",$I131="",$M131="",$O131="",$Q131="",$S131="",$G131&lt;&gt;"Unrated",$M131="Y"),"",MIN(1,IF(AND(U131&lt;E131,U131&gt;=E131*(1-(SUM((Range=$K131)*(Bond_Base_UR))+IF($I131&lt;1,1,$I131-$K131)*SUM((Range=$K131)*(Bond_Mult_UR))))),0.5*((SUM((Range=$K131)*(Bond_Base_UR))+IF($I131&lt;1,1,$I131-$K131)*SUM((Range=$K131)*(Bond_Mult_UR)))+((E131-U131)/E131)),IF(U131&gt;=E131,0.5,1)*(SUM((Range=$K131)*(Bond_Base_UR))+IF($I131&lt;1,1,$I131-$K131)*SUM((Range=$K131)*(Bond_Mult_UR))))))</f>
        <v/>
      </c>
      <c r="AH131" s="53"/>
      <c r="AI131" s="122" t="str">
        <f t="array" ref="AI131">IF(OR($C131="",$E131="",$G131="",$I131="",$M131="",$O131="",$Q131="",$S131="",$G131&lt;&gt;"Unrated",$M131&lt;&gt;"Y"),"",MIN(1,IF(OR($W131&lt;&gt;"Y",$AA131=$AC131),SUM((Range=$K131)*(CQS=IF($W131&lt;&gt;"Y",0,IF($AC131=196%,1,6)))*(IF($W131&lt;&gt;"Y",Bond_Base_MCR,Bond_Base)))+IF($I131&lt;1,1,$I131-$K131)*SUM((Range=$K131)*(CQS=IF($W131&lt;&gt;"Y",0,IF($AC131=196%,1,6)))*(IF($W131&lt;&gt;"Y",Bond_Mult_MCR,Bond_Mult))),((SUM((Range=$K131)*(CQS=HLOOKUP($AA131,Solv_Ratio_CQS_Map,2,0))*(Bond_Base))+IF($I131&lt;1,1,$I131-$K131)*SUM((Range=$K131)*(CQS=HLOOKUP($AA131,Solv_Ratio_CQS_Map,2,0))*(Bond_Mult)))*($AC131-$Y131)+(SUM((Range=$K131)*(CQS=HLOOKUP($AC131,Solv_Ratio_CQS_Map,2,0))*(Bond_Base))+IF($I131&lt;1,1,$I131-$K131)*SUM((Range=$K131)*(CQS=HLOOKUP($AC131,Solv_Ratio_CQS_Map,2,0))*(Bond_Mult)))*($Y131-$AA131))/($AC131-$AA131))))</f>
        <v/>
      </c>
      <c r="AJ131" s="53"/>
      <c r="AK131" s="121" t="str">
        <f t="shared" si="10"/>
        <v/>
      </c>
      <c r="AL131" s="53"/>
      <c r="AM131" s="123" t="str">
        <f t="shared" si="11"/>
        <v/>
      </c>
      <c r="AN131" s="115"/>
    </row>
    <row r="132" spans="2:40" x14ac:dyDescent="0.2">
      <c r="B132" s="116"/>
      <c r="C132" s="207"/>
      <c r="D132" s="53"/>
      <c r="E132" s="208"/>
      <c r="F132" s="53"/>
      <c r="G132" s="209"/>
      <c r="H132" s="53"/>
      <c r="I132" s="210"/>
      <c r="J132" s="53"/>
      <c r="K132" s="118" t="str">
        <f t="shared" si="9"/>
        <v/>
      </c>
      <c r="L132" s="53"/>
      <c r="M132" s="211"/>
      <c r="N132" s="53"/>
      <c r="O132" s="211"/>
      <c r="P132" s="53"/>
      <c r="Q132" s="211"/>
      <c r="R132" s="53"/>
      <c r="S132" s="211"/>
      <c r="T132" s="53"/>
      <c r="U132" s="117"/>
      <c r="V132" s="53"/>
      <c r="W132" s="119"/>
      <c r="X132" s="53"/>
      <c r="Y132" s="120"/>
      <c r="Z132" s="53"/>
      <c r="AA132" s="121" t="str">
        <f t="shared" si="7"/>
        <v/>
      </c>
      <c r="AB132" s="53"/>
      <c r="AC132" s="121" t="str">
        <f t="shared" si="8"/>
        <v/>
      </c>
      <c r="AD132" s="53"/>
      <c r="AE132" s="122" t="str">
        <f t="array" ref="AE132">IF(OR($C132="",$E132="",$G132="",$I132="",$M132="",$O132="",$Q132="",$S132="",$G132="Unrated"),"",IF($Q132="Y",0,MIN(1,SUM((IF($O132="Y",Cov_Range,Range)=$K132)*(IF($O132="Y",Cov_CQS,CQS)=$G132)*(IF($S132="Y",Gilt_Base,IF($O132="Y",Cov_Bond_Base,Bond_Base))))+IF($I132&lt;1,1,$I132-$K132)*SUM((IF($O132="Y",Cov_Range,Range)=$K132)*(IF($O132="Y",Cov_CQS,CQS)=$G132)*(IF($S132="Y",Gilt_Mult,IF($O132="Y",Cov_Bond_Mult,Bond_Mult)))))))</f>
        <v/>
      </c>
      <c r="AF132" s="53"/>
      <c r="AG132" s="122" t="str">
        <f t="array" ref="AG132">IF(OR($C132="",$E132="",$G132="",$I132="",$M132="",$O132="",$Q132="",$S132="",$G132&lt;&gt;"Unrated",$M132="Y"),"",MIN(1,IF(AND(U132&lt;E132,U132&gt;=E132*(1-(SUM((Range=$K132)*(Bond_Base_UR))+IF($I132&lt;1,1,$I132-$K132)*SUM((Range=$K132)*(Bond_Mult_UR))))),0.5*((SUM((Range=$K132)*(Bond_Base_UR))+IF($I132&lt;1,1,$I132-$K132)*SUM((Range=$K132)*(Bond_Mult_UR)))+((E132-U132)/E132)),IF(U132&gt;=E132,0.5,1)*(SUM((Range=$K132)*(Bond_Base_UR))+IF($I132&lt;1,1,$I132-$K132)*SUM((Range=$K132)*(Bond_Mult_UR))))))</f>
        <v/>
      </c>
      <c r="AH132" s="53"/>
      <c r="AI132" s="122" t="str">
        <f t="array" ref="AI132">IF(OR($C132="",$E132="",$G132="",$I132="",$M132="",$O132="",$Q132="",$S132="",$G132&lt;&gt;"Unrated",$M132&lt;&gt;"Y"),"",MIN(1,IF(OR($W132&lt;&gt;"Y",$AA132=$AC132),SUM((Range=$K132)*(CQS=IF($W132&lt;&gt;"Y",0,IF($AC132=196%,1,6)))*(IF($W132&lt;&gt;"Y",Bond_Base_MCR,Bond_Base)))+IF($I132&lt;1,1,$I132-$K132)*SUM((Range=$K132)*(CQS=IF($W132&lt;&gt;"Y",0,IF($AC132=196%,1,6)))*(IF($W132&lt;&gt;"Y",Bond_Mult_MCR,Bond_Mult))),((SUM((Range=$K132)*(CQS=HLOOKUP($AA132,Solv_Ratio_CQS_Map,2,0))*(Bond_Base))+IF($I132&lt;1,1,$I132-$K132)*SUM((Range=$K132)*(CQS=HLOOKUP($AA132,Solv_Ratio_CQS_Map,2,0))*(Bond_Mult)))*($AC132-$Y132)+(SUM((Range=$K132)*(CQS=HLOOKUP($AC132,Solv_Ratio_CQS_Map,2,0))*(Bond_Base))+IF($I132&lt;1,1,$I132-$K132)*SUM((Range=$K132)*(CQS=HLOOKUP($AC132,Solv_Ratio_CQS_Map,2,0))*(Bond_Mult)))*($Y132-$AA132))/($AC132-$AA132))))</f>
        <v/>
      </c>
      <c r="AJ132" s="53"/>
      <c r="AK132" s="121" t="str">
        <f t="shared" si="10"/>
        <v/>
      </c>
      <c r="AL132" s="53"/>
      <c r="AM132" s="123" t="str">
        <f t="shared" si="11"/>
        <v/>
      </c>
      <c r="AN132" s="115"/>
    </row>
    <row r="133" spans="2:40" x14ac:dyDescent="0.2">
      <c r="B133" s="116"/>
      <c r="C133" s="207"/>
      <c r="D133" s="53"/>
      <c r="E133" s="208"/>
      <c r="F133" s="53"/>
      <c r="G133" s="209"/>
      <c r="H133" s="53"/>
      <c r="I133" s="210"/>
      <c r="J133" s="53"/>
      <c r="K133" s="118" t="str">
        <f t="shared" si="9"/>
        <v/>
      </c>
      <c r="L133" s="53"/>
      <c r="M133" s="211"/>
      <c r="N133" s="53"/>
      <c r="O133" s="211"/>
      <c r="P133" s="53"/>
      <c r="Q133" s="211"/>
      <c r="R133" s="53"/>
      <c r="S133" s="211"/>
      <c r="T133" s="53"/>
      <c r="U133" s="117"/>
      <c r="V133" s="53"/>
      <c r="W133" s="119"/>
      <c r="X133" s="53"/>
      <c r="Y133" s="120"/>
      <c r="Z133" s="53"/>
      <c r="AA133" s="121" t="str">
        <f t="shared" si="7"/>
        <v/>
      </c>
      <c r="AB133" s="53"/>
      <c r="AC133" s="121" t="str">
        <f t="shared" si="8"/>
        <v/>
      </c>
      <c r="AD133" s="53"/>
      <c r="AE133" s="122" t="str">
        <f t="array" ref="AE133">IF(OR($C133="",$E133="",$G133="",$I133="",$M133="",$O133="",$Q133="",$S133="",$G133="Unrated"),"",IF($Q133="Y",0,MIN(1,SUM((IF($O133="Y",Cov_Range,Range)=$K133)*(IF($O133="Y",Cov_CQS,CQS)=$G133)*(IF($S133="Y",Gilt_Base,IF($O133="Y",Cov_Bond_Base,Bond_Base))))+IF($I133&lt;1,1,$I133-$K133)*SUM((IF($O133="Y",Cov_Range,Range)=$K133)*(IF($O133="Y",Cov_CQS,CQS)=$G133)*(IF($S133="Y",Gilt_Mult,IF($O133="Y",Cov_Bond_Mult,Bond_Mult)))))))</f>
        <v/>
      </c>
      <c r="AF133" s="53"/>
      <c r="AG133" s="122" t="str">
        <f t="array" ref="AG133">IF(OR($C133="",$E133="",$G133="",$I133="",$M133="",$O133="",$Q133="",$S133="",$G133&lt;&gt;"Unrated",$M133="Y"),"",MIN(1,IF(AND(U133&lt;E133,U133&gt;=E133*(1-(SUM((Range=$K133)*(Bond_Base_UR))+IF($I133&lt;1,1,$I133-$K133)*SUM((Range=$K133)*(Bond_Mult_UR))))),0.5*((SUM((Range=$K133)*(Bond_Base_UR))+IF($I133&lt;1,1,$I133-$K133)*SUM((Range=$K133)*(Bond_Mult_UR)))+((E133-U133)/E133)),IF(U133&gt;=E133,0.5,1)*(SUM((Range=$K133)*(Bond_Base_UR))+IF($I133&lt;1,1,$I133-$K133)*SUM((Range=$K133)*(Bond_Mult_UR))))))</f>
        <v/>
      </c>
      <c r="AH133" s="53"/>
      <c r="AI133" s="122" t="str">
        <f t="array" ref="AI133">IF(OR($C133="",$E133="",$G133="",$I133="",$M133="",$O133="",$Q133="",$S133="",$G133&lt;&gt;"Unrated",$M133&lt;&gt;"Y"),"",MIN(1,IF(OR($W133&lt;&gt;"Y",$AA133=$AC133),SUM((Range=$K133)*(CQS=IF($W133&lt;&gt;"Y",0,IF($AC133=196%,1,6)))*(IF($W133&lt;&gt;"Y",Bond_Base_MCR,Bond_Base)))+IF($I133&lt;1,1,$I133-$K133)*SUM((Range=$K133)*(CQS=IF($W133&lt;&gt;"Y",0,IF($AC133=196%,1,6)))*(IF($W133&lt;&gt;"Y",Bond_Mult_MCR,Bond_Mult))),((SUM((Range=$K133)*(CQS=HLOOKUP($AA133,Solv_Ratio_CQS_Map,2,0))*(Bond_Base))+IF($I133&lt;1,1,$I133-$K133)*SUM((Range=$K133)*(CQS=HLOOKUP($AA133,Solv_Ratio_CQS_Map,2,0))*(Bond_Mult)))*($AC133-$Y133)+(SUM((Range=$K133)*(CQS=HLOOKUP($AC133,Solv_Ratio_CQS_Map,2,0))*(Bond_Base))+IF($I133&lt;1,1,$I133-$K133)*SUM((Range=$K133)*(CQS=HLOOKUP($AC133,Solv_Ratio_CQS_Map,2,0))*(Bond_Mult)))*($Y133-$AA133))/($AC133-$AA133))))</f>
        <v/>
      </c>
      <c r="AJ133" s="53"/>
      <c r="AK133" s="121" t="str">
        <f t="shared" si="10"/>
        <v/>
      </c>
      <c r="AL133" s="53"/>
      <c r="AM133" s="123" t="str">
        <f t="shared" si="11"/>
        <v/>
      </c>
      <c r="AN133" s="115"/>
    </row>
    <row r="134" spans="2:40" x14ac:dyDescent="0.2">
      <c r="B134" s="116"/>
      <c r="C134" s="207"/>
      <c r="D134" s="53"/>
      <c r="E134" s="208"/>
      <c r="F134" s="53"/>
      <c r="G134" s="209"/>
      <c r="H134" s="53"/>
      <c r="I134" s="210"/>
      <c r="J134" s="53"/>
      <c r="K134" s="118" t="str">
        <f t="shared" si="9"/>
        <v/>
      </c>
      <c r="L134" s="53"/>
      <c r="M134" s="211"/>
      <c r="N134" s="53"/>
      <c r="O134" s="211"/>
      <c r="P134" s="53"/>
      <c r="Q134" s="211"/>
      <c r="R134" s="53"/>
      <c r="S134" s="211"/>
      <c r="T134" s="53"/>
      <c r="U134" s="117"/>
      <c r="V134" s="53"/>
      <c r="W134" s="119"/>
      <c r="X134" s="53"/>
      <c r="Y134" s="120"/>
      <c r="Z134" s="53"/>
      <c r="AA134" s="121" t="str">
        <f t="shared" si="7"/>
        <v/>
      </c>
      <c r="AB134" s="53"/>
      <c r="AC134" s="121" t="str">
        <f t="shared" si="8"/>
        <v/>
      </c>
      <c r="AD134" s="53"/>
      <c r="AE134" s="122" t="str">
        <f t="array" ref="AE134">IF(OR($C134="",$E134="",$G134="",$I134="",$M134="",$O134="",$Q134="",$S134="",$G134="Unrated"),"",IF($Q134="Y",0,MIN(1,SUM((IF($O134="Y",Cov_Range,Range)=$K134)*(IF($O134="Y",Cov_CQS,CQS)=$G134)*(IF($S134="Y",Gilt_Base,IF($O134="Y",Cov_Bond_Base,Bond_Base))))+IF($I134&lt;1,1,$I134-$K134)*SUM((IF($O134="Y",Cov_Range,Range)=$K134)*(IF($O134="Y",Cov_CQS,CQS)=$G134)*(IF($S134="Y",Gilt_Mult,IF($O134="Y",Cov_Bond_Mult,Bond_Mult)))))))</f>
        <v/>
      </c>
      <c r="AF134" s="53"/>
      <c r="AG134" s="122" t="str">
        <f t="array" ref="AG134">IF(OR($C134="",$E134="",$G134="",$I134="",$M134="",$O134="",$Q134="",$S134="",$G134&lt;&gt;"Unrated",$M134="Y"),"",MIN(1,IF(AND(U134&lt;E134,U134&gt;=E134*(1-(SUM((Range=$K134)*(Bond_Base_UR))+IF($I134&lt;1,1,$I134-$K134)*SUM((Range=$K134)*(Bond_Mult_UR))))),0.5*((SUM((Range=$K134)*(Bond_Base_UR))+IF($I134&lt;1,1,$I134-$K134)*SUM((Range=$K134)*(Bond_Mult_UR)))+((E134-U134)/E134)),IF(U134&gt;=E134,0.5,1)*(SUM((Range=$K134)*(Bond_Base_UR))+IF($I134&lt;1,1,$I134-$K134)*SUM((Range=$K134)*(Bond_Mult_UR))))))</f>
        <v/>
      </c>
      <c r="AH134" s="53"/>
      <c r="AI134" s="122" t="str">
        <f t="array" ref="AI134">IF(OR($C134="",$E134="",$G134="",$I134="",$M134="",$O134="",$Q134="",$S134="",$G134&lt;&gt;"Unrated",$M134&lt;&gt;"Y"),"",MIN(1,IF(OR($W134&lt;&gt;"Y",$AA134=$AC134),SUM((Range=$K134)*(CQS=IF($W134&lt;&gt;"Y",0,IF($AC134=196%,1,6)))*(IF($W134&lt;&gt;"Y",Bond_Base_MCR,Bond_Base)))+IF($I134&lt;1,1,$I134-$K134)*SUM((Range=$K134)*(CQS=IF($W134&lt;&gt;"Y",0,IF($AC134=196%,1,6)))*(IF($W134&lt;&gt;"Y",Bond_Mult_MCR,Bond_Mult))),((SUM((Range=$K134)*(CQS=HLOOKUP($AA134,Solv_Ratio_CQS_Map,2,0))*(Bond_Base))+IF($I134&lt;1,1,$I134-$K134)*SUM((Range=$K134)*(CQS=HLOOKUP($AA134,Solv_Ratio_CQS_Map,2,0))*(Bond_Mult)))*($AC134-$Y134)+(SUM((Range=$K134)*(CQS=HLOOKUP($AC134,Solv_Ratio_CQS_Map,2,0))*(Bond_Base))+IF($I134&lt;1,1,$I134-$K134)*SUM((Range=$K134)*(CQS=HLOOKUP($AC134,Solv_Ratio_CQS_Map,2,0))*(Bond_Mult)))*($Y134-$AA134))/($AC134-$AA134))))</f>
        <v/>
      </c>
      <c r="AJ134" s="53"/>
      <c r="AK134" s="121" t="str">
        <f t="shared" si="10"/>
        <v/>
      </c>
      <c r="AL134" s="53"/>
      <c r="AM134" s="123" t="str">
        <f t="shared" si="11"/>
        <v/>
      </c>
      <c r="AN134" s="115"/>
    </row>
    <row r="135" spans="2:40" x14ac:dyDescent="0.2">
      <c r="B135" s="116"/>
      <c r="C135" s="207"/>
      <c r="D135" s="53"/>
      <c r="E135" s="208"/>
      <c r="F135" s="53"/>
      <c r="G135" s="209"/>
      <c r="H135" s="53"/>
      <c r="I135" s="210"/>
      <c r="J135" s="53"/>
      <c r="K135" s="118" t="str">
        <f t="shared" si="9"/>
        <v/>
      </c>
      <c r="L135" s="53"/>
      <c r="M135" s="211"/>
      <c r="N135" s="53"/>
      <c r="O135" s="211"/>
      <c r="P135" s="53"/>
      <c r="Q135" s="211"/>
      <c r="R135" s="53"/>
      <c r="S135" s="211"/>
      <c r="T135" s="53"/>
      <c r="U135" s="117"/>
      <c r="V135" s="53"/>
      <c r="W135" s="119"/>
      <c r="X135" s="53"/>
      <c r="Y135" s="120"/>
      <c r="Z135" s="53"/>
      <c r="AA135" s="121" t="str">
        <f t="shared" si="7"/>
        <v/>
      </c>
      <c r="AB135" s="53"/>
      <c r="AC135" s="121" t="str">
        <f t="shared" si="8"/>
        <v/>
      </c>
      <c r="AD135" s="53"/>
      <c r="AE135" s="122" t="str">
        <f t="array" ref="AE135">IF(OR($C135="",$E135="",$G135="",$I135="",$M135="",$O135="",$Q135="",$S135="",$G135="Unrated"),"",IF($Q135="Y",0,MIN(1,SUM((IF($O135="Y",Cov_Range,Range)=$K135)*(IF($O135="Y",Cov_CQS,CQS)=$G135)*(IF($S135="Y",Gilt_Base,IF($O135="Y",Cov_Bond_Base,Bond_Base))))+IF($I135&lt;1,1,$I135-$K135)*SUM((IF($O135="Y",Cov_Range,Range)=$K135)*(IF($O135="Y",Cov_CQS,CQS)=$G135)*(IF($S135="Y",Gilt_Mult,IF($O135="Y",Cov_Bond_Mult,Bond_Mult)))))))</f>
        <v/>
      </c>
      <c r="AF135" s="53"/>
      <c r="AG135" s="122" t="str">
        <f t="array" ref="AG135">IF(OR($C135="",$E135="",$G135="",$I135="",$M135="",$O135="",$Q135="",$S135="",$G135&lt;&gt;"Unrated",$M135="Y"),"",MIN(1,IF(AND(U135&lt;E135,U135&gt;=E135*(1-(SUM((Range=$K135)*(Bond_Base_UR))+IF($I135&lt;1,1,$I135-$K135)*SUM((Range=$K135)*(Bond_Mult_UR))))),0.5*((SUM((Range=$K135)*(Bond_Base_UR))+IF($I135&lt;1,1,$I135-$K135)*SUM((Range=$K135)*(Bond_Mult_UR)))+((E135-U135)/E135)),IF(U135&gt;=E135,0.5,1)*(SUM((Range=$K135)*(Bond_Base_UR))+IF($I135&lt;1,1,$I135-$K135)*SUM((Range=$K135)*(Bond_Mult_UR))))))</f>
        <v/>
      </c>
      <c r="AH135" s="53"/>
      <c r="AI135" s="122" t="str">
        <f t="array" ref="AI135">IF(OR($C135="",$E135="",$G135="",$I135="",$M135="",$O135="",$Q135="",$S135="",$G135&lt;&gt;"Unrated",$M135&lt;&gt;"Y"),"",MIN(1,IF(OR($W135&lt;&gt;"Y",$AA135=$AC135),SUM((Range=$K135)*(CQS=IF($W135&lt;&gt;"Y",0,IF($AC135=196%,1,6)))*(IF($W135&lt;&gt;"Y",Bond_Base_MCR,Bond_Base)))+IF($I135&lt;1,1,$I135-$K135)*SUM((Range=$K135)*(CQS=IF($W135&lt;&gt;"Y",0,IF($AC135=196%,1,6)))*(IF($W135&lt;&gt;"Y",Bond_Mult_MCR,Bond_Mult))),((SUM((Range=$K135)*(CQS=HLOOKUP($AA135,Solv_Ratio_CQS_Map,2,0))*(Bond_Base))+IF($I135&lt;1,1,$I135-$K135)*SUM((Range=$K135)*(CQS=HLOOKUP($AA135,Solv_Ratio_CQS_Map,2,0))*(Bond_Mult)))*($AC135-$Y135)+(SUM((Range=$K135)*(CQS=HLOOKUP($AC135,Solv_Ratio_CQS_Map,2,0))*(Bond_Base))+IF($I135&lt;1,1,$I135-$K135)*SUM((Range=$K135)*(CQS=HLOOKUP($AC135,Solv_Ratio_CQS_Map,2,0))*(Bond_Mult)))*($Y135-$AA135))/($AC135-$AA135))))</f>
        <v/>
      </c>
      <c r="AJ135" s="53"/>
      <c r="AK135" s="121" t="str">
        <f t="shared" si="10"/>
        <v/>
      </c>
      <c r="AL135" s="53"/>
      <c r="AM135" s="123" t="str">
        <f t="shared" si="11"/>
        <v/>
      </c>
      <c r="AN135" s="115"/>
    </row>
    <row r="136" spans="2:40" x14ac:dyDescent="0.2">
      <c r="B136" s="116"/>
      <c r="C136" s="207"/>
      <c r="D136" s="53"/>
      <c r="E136" s="208"/>
      <c r="F136" s="53"/>
      <c r="G136" s="209"/>
      <c r="H136" s="53"/>
      <c r="I136" s="210"/>
      <c r="J136" s="53"/>
      <c r="K136" s="118" t="str">
        <f t="shared" si="9"/>
        <v/>
      </c>
      <c r="L136" s="53"/>
      <c r="M136" s="211"/>
      <c r="N136" s="53"/>
      <c r="O136" s="211"/>
      <c r="P136" s="53"/>
      <c r="Q136" s="211"/>
      <c r="R136" s="53"/>
      <c r="S136" s="211"/>
      <c r="T136" s="53"/>
      <c r="U136" s="117"/>
      <c r="V136" s="53"/>
      <c r="W136" s="119"/>
      <c r="X136" s="53"/>
      <c r="Y136" s="120"/>
      <c r="Z136" s="53"/>
      <c r="AA136" s="121" t="str">
        <f t="shared" si="7"/>
        <v/>
      </c>
      <c r="AB136" s="53"/>
      <c r="AC136" s="121" t="str">
        <f t="shared" si="8"/>
        <v/>
      </c>
      <c r="AD136" s="53"/>
      <c r="AE136" s="122" t="str">
        <f t="array" ref="AE136">IF(OR($C136="",$E136="",$G136="",$I136="",$M136="",$O136="",$Q136="",$S136="",$G136="Unrated"),"",IF($Q136="Y",0,MIN(1,SUM((IF($O136="Y",Cov_Range,Range)=$K136)*(IF($O136="Y",Cov_CQS,CQS)=$G136)*(IF($S136="Y",Gilt_Base,IF($O136="Y",Cov_Bond_Base,Bond_Base))))+IF($I136&lt;1,1,$I136-$K136)*SUM((IF($O136="Y",Cov_Range,Range)=$K136)*(IF($O136="Y",Cov_CQS,CQS)=$G136)*(IF($S136="Y",Gilt_Mult,IF($O136="Y",Cov_Bond_Mult,Bond_Mult)))))))</f>
        <v/>
      </c>
      <c r="AF136" s="53"/>
      <c r="AG136" s="122" t="str">
        <f t="array" ref="AG136">IF(OR($C136="",$E136="",$G136="",$I136="",$M136="",$O136="",$Q136="",$S136="",$G136&lt;&gt;"Unrated",$M136="Y"),"",MIN(1,IF(AND(U136&lt;E136,U136&gt;=E136*(1-(SUM((Range=$K136)*(Bond_Base_UR))+IF($I136&lt;1,1,$I136-$K136)*SUM((Range=$K136)*(Bond_Mult_UR))))),0.5*((SUM((Range=$K136)*(Bond_Base_UR))+IF($I136&lt;1,1,$I136-$K136)*SUM((Range=$K136)*(Bond_Mult_UR)))+((E136-U136)/E136)),IF(U136&gt;=E136,0.5,1)*(SUM((Range=$K136)*(Bond_Base_UR))+IF($I136&lt;1,1,$I136-$K136)*SUM((Range=$K136)*(Bond_Mult_UR))))))</f>
        <v/>
      </c>
      <c r="AH136" s="53"/>
      <c r="AI136" s="122" t="str">
        <f t="array" ref="AI136">IF(OR($C136="",$E136="",$G136="",$I136="",$M136="",$O136="",$Q136="",$S136="",$G136&lt;&gt;"Unrated",$M136&lt;&gt;"Y"),"",MIN(1,IF(OR($W136&lt;&gt;"Y",$AA136=$AC136),SUM((Range=$K136)*(CQS=IF($W136&lt;&gt;"Y",0,IF($AC136=196%,1,6)))*(IF($W136&lt;&gt;"Y",Bond_Base_MCR,Bond_Base)))+IF($I136&lt;1,1,$I136-$K136)*SUM((Range=$K136)*(CQS=IF($W136&lt;&gt;"Y",0,IF($AC136=196%,1,6)))*(IF($W136&lt;&gt;"Y",Bond_Mult_MCR,Bond_Mult))),((SUM((Range=$K136)*(CQS=HLOOKUP($AA136,Solv_Ratio_CQS_Map,2,0))*(Bond_Base))+IF($I136&lt;1,1,$I136-$K136)*SUM((Range=$K136)*(CQS=HLOOKUP($AA136,Solv_Ratio_CQS_Map,2,0))*(Bond_Mult)))*($AC136-$Y136)+(SUM((Range=$K136)*(CQS=HLOOKUP($AC136,Solv_Ratio_CQS_Map,2,0))*(Bond_Base))+IF($I136&lt;1,1,$I136-$K136)*SUM((Range=$K136)*(CQS=HLOOKUP($AC136,Solv_Ratio_CQS_Map,2,0))*(Bond_Mult)))*($Y136-$AA136))/($AC136-$AA136))))</f>
        <v/>
      </c>
      <c r="AJ136" s="53"/>
      <c r="AK136" s="121" t="str">
        <f t="shared" si="10"/>
        <v/>
      </c>
      <c r="AL136" s="53"/>
      <c r="AM136" s="123" t="str">
        <f t="shared" si="11"/>
        <v/>
      </c>
      <c r="AN136" s="115"/>
    </row>
    <row r="137" spans="2:40" x14ac:dyDescent="0.2">
      <c r="B137" s="116"/>
      <c r="C137" s="207"/>
      <c r="D137" s="53"/>
      <c r="E137" s="208"/>
      <c r="F137" s="53"/>
      <c r="G137" s="209"/>
      <c r="H137" s="53"/>
      <c r="I137" s="210"/>
      <c r="J137" s="53"/>
      <c r="K137" s="118" t="str">
        <f t="shared" si="9"/>
        <v/>
      </c>
      <c r="L137" s="53"/>
      <c r="M137" s="211"/>
      <c r="N137" s="53"/>
      <c r="O137" s="211"/>
      <c r="P137" s="53"/>
      <c r="Q137" s="211"/>
      <c r="R137" s="53"/>
      <c r="S137" s="211"/>
      <c r="T137" s="53"/>
      <c r="U137" s="117"/>
      <c r="V137" s="53"/>
      <c r="W137" s="119"/>
      <c r="X137" s="53"/>
      <c r="Y137" s="120"/>
      <c r="Z137" s="53"/>
      <c r="AA137" s="121" t="str">
        <f t="shared" si="7"/>
        <v/>
      </c>
      <c r="AB137" s="53"/>
      <c r="AC137" s="121" t="str">
        <f t="shared" si="8"/>
        <v/>
      </c>
      <c r="AD137" s="53"/>
      <c r="AE137" s="122" t="str">
        <f t="array" ref="AE137">IF(OR($C137="",$E137="",$G137="",$I137="",$M137="",$O137="",$Q137="",$S137="",$G137="Unrated"),"",IF($Q137="Y",0,MIN(1,SUM((IF($O137="Y",Cov_Range,Range)=$K137)*(IF($O137="Y",Cov_CQS,CQS)=$G137)*(IF($S137="Y",Gilt_Base,IF($O137="Y",Cov_Bond_Base,Bond_Base))))+IF($I137&lt;1,1,$I137-$K137)*SUM((IF($O137="Y",Cov_Range,Range)=$K137)*(IF($O137="Y",Cov_CQS,CQS)=$G137)*(IF($S137="Y",Gilt_Mult,IF($O137="Y",Cov_Bond_Mult,Bond_Mult)))))))</f>
        <v/>
      </c>
      <c r="AF137" s="53"/>
      <c r="AG137" s="122" t="str">
        <f t="array" ref="AG137">IF(OR($C137="",$E137="",$G137="",$I137="",$M137="",$O137="",$Q137="",$S137="",$G137&lt;&gt;"Unrated",$M137="Y"),"",MIN(1,IF(AND(U137&lt;E137,U137&gt;=E137*(1-(SUM((Range=$K137)*(Bond_Base_UR))+IF($I137&lt;1,1,$I137-$K137)*SUM((Range=$K137)*(Bond_Mult_UR))))),0.5*((SUM((Range=$K137)*(Bond_Base_UR))+IF($I137&lt;1,1,$I137-$K137)*SUM((Range=$K137)*(Bond_Mult_UR)))+((E137-U137)/E137)),IF(U137&gt;=E137,0.5,1)*(SUM((Range=$K137)*(Bond_Base_UR))+IF($I137&lt;1,1,$I137-$K137)*SUM((Range=$K137)*(Bond_Mult_UR))))))</f>
        <v/>
      </c>
      <c r="AH137" s="53"/>
      <c r="AI137" s="122" t="str">
        <f t="array" ref="AI137">IF(OR($C137="",$E137="",$G137="",$I137="",$M137="",$O137="",$Q137="",$S137="",$G137&lt;&gt;"Unrated",$M137&lt;&gt;"Y"),"",MIN(1,IF(OR($W137&lt;&gt;"Y",$AA137=$AC137),SUM((Range=$K137)*(CQS=IF($W137&lt;&gt;"Y",0,IF($AC137=196%,1,6)))*(IF($W137&lt;&gt;"Y",Bond_Base_MCR,Bond_Base)))+IF($I137&lt;1,1,$I137-$K137)*SUM((Range=$K137)*(CQS=IF($W137&lt;&gt;"Y",0,IF($AC137=196%,1,6)))*(IF($W137&lt;&gt;"Y",Bond_Mult_MCR,Bond_Mult))),((SUM((Range=$K137)*(CQS=HLOOKUP($AA137,Solv_Ratio_CQS_Map,2,0))*(Bond_Base))+IF($I137&lt;1,1,$I137-$K137)*SUM((Range=$K137)*(CQS=HLOOKUP($AA137,Solv_Ratio_CQS_Map,2,0))*(Bond_Mult)))*($AC137-$Y137)+(SUM((Range=$K137)*(CQS=HLOOKUP($AC137,Solv_Ratio_CQS_Map,2,0))*(Bond_Base))+IF($I137&lt;1,1,$I137-$K137)*SUM((Range=$K137)*(CQS=HLOOKUP($AC137,Solv_Ratio_CQS_Map,2,0))*(Bond_Mult)))*($Y137-$AA137))/($AC137-$AA137))))</f>
        <v/>
      </c>
      <c r="AJ137" s="53"/>
      <c r="AK137" s="121" t="str">
        <f t="shared" si="10"/>
        <v/>
      </c>
      <c r="AL137" s="53"/>
      <c r="AM137" s="123" t="str">
        <f t="shared" si="11"/>
        <v/>
      </c>
      <c r="AN137" s="115"/>
    </row>
    <row r="138" spans="2:40" x14ac:dyDescent="0.2">
      <c r="B138" s="116"/>
      <c r="C138" s="207"/>
      <c r="D138" s="53"/>
      <c r="E138" s="208"/>
      <c r="F138" s="53"/>
      <c r="G138" s="209"/>
      <c r="H138" s="53"/>
      <c r="I138" s="210"/>
      <c r="J138" s="53"/>
      <c r="K138" s="118" t="str">
        <f t="shared" si="9"/>
        <v/>
      </c>
      <c r="L138" s="53"/>
      <c r="M138" s="211"/>
      <c r="N138" s="53"/>
      <c r="O138" s="211"/>
      <c r="P138" s="53"/>
      <c r="Q138" s="211"/>
      <c r="R138" s="53"/>
      <c r="S138" s="211"/>
      <c r="T138" s="53"/>
      <c r="U138" s="117"/>
      <c r="V138" s="53"/>
      <c r="W138" s="119"/>
      <c r="X138" s="53"/>
      <c r="Y138" s="120"/>
      <c r="Z138" s="53"/>
      <c r="AA138" s="121" t="str">
        <f t="shared" si="7"/>
        <v/>
      </c>
      <c r="AB138" s="53"/>
      <c r="AC138" s="121" t="str">
        <f t="shared" si="8"/>
        <v/>
      </c>
      <c r="AD138" s="53"/>
      <c r="AE138" s="122" t="str">
        <f t="array" ref="AE138">IF(OR($C138="",$E138="",$G138="",$I138="",$M138="",$O138="",$Q138="",$S138="",$G138="Unrated"),"",IF($Q138="Y",0,MIN(1,SUM((IF($O138="Y",Cov_Range,Range)=$K138)*(IF($O138="Y",Cov_CQS,CQS)=$G138)*(IF($S138="Y",Gilt_Base,IF($O138="Y",Cov_Bond_Base,Bond_Base))))+IF($I138&lt;1,1,$I138-$K138)*SUM((IF($O138="Y",Cov_Range,Range)=$K138)*(IF($O138="Y",Cov_CQS,CQS)=$G138)*(IF($S138="Y",Gilt_Mult,IF($O138="Y",Cov_Bond_Mult,Bond_Mult)))))))</f>
        <v/>
      </c>
      <c r="AF138" s="53"/>
      <c r="AG138" s="122" t="str">
        <f t="array" ref="AG138">IF(OR($C138="",$E138="",$G138="",$I138="",$M138="",$O138="",$Q138="",$S138="",$G138&lt;&gt;"Unrated",$M138="Y"),"",MIN(1,IF(AND(U138&lt;E138,U138&gt;=E138*(1-(SUM((Range=$K138)*(Bond_Base_UR))+IF($I138&lt;1,1,$I138-$K138)*SUM((Range=$K138)*(Bond_Mult_UR))))),0.5*((SUM((Range=$K138)*(Bond_Base_UR))+IF($I138&lt;1,1,$I138-$K138)*SUM((Range=$K138)*(Bond_Mult_UR)))+((E138-U138)/E138)),IF(U138&gt;=E138,0.5,1)*(SUM((Range=$K138)*(Bond_Base_UR))+IF($I138&lt;1,1,$I138-$K138)*SUM((Range=$K138)*(Bond_Mult_UR))))))</f>
        <v/>
      </c>
      <c r="AH138" s="53"/>
      <c r="AI138" s="122" t="str">
        <f t="array" ref="AI138">IF(OR($C138="",$E138="",$G138="",$I138="",$M138="",$O138="",$Q138="",$S138="",$G138&lt;&gt;"Unrated",$M138&lt;&gt;"Y"),"",MIN(1,IF(OR($W138&lt;&gt;"Y",$AA138=$AC138),SUM((Range=$K138)*(CQS=IF($W138&lt;&gt;"Y",0,IF($AC138=196%,1,6)))*(IF($W138&lt;&gt;"Y",Bond_Base_MCR,Bond_Base)))+IF($I138&lt;1,1,$I138-$K138)*SUM((Range=$K138)*(CQS=IF($W138&lt;&gt;"Y",0,IF($AC138=196%,1,6)))*(IF($W138&lt;&gt;"Y",Bond_Mult_MCR,Bond_Mult))),((SUM((Range=$K138)*(CQS=HLOOKUP($AA138,Solv_Ratio_CQS_Map,2,0))*(Bond_Base))+IF($I138&lt;1,1,$I138-$K138)*SUM((Range=$K138)*(CQS=HLOOKUP($AA138,Solv_Ratio_CQS_Map,2,0))*(Bond_Mult)))*($AC138-$Y138)+(SUM((Range=$K138)*(CQS=HLOOKUP($AC138,Solv_Ratio_CQS_Map,2,0))*(Bond_Base))+IF($I138&lt;1,1,$I138-$K138)*SUM((Range=$K138)*(CQS=HLOOKUP($AC138,Solv_Ratio_CQS_Map,2,0))*(Bond_Mult)))*($Y138-$AA138))/($AC138-$AA138))))</f>
        <v/>
      </c>
      <c r="AJ138" s="53"/>
      <c r="AK138" s="121" t="str">
        <f t="shared" si="10"/>
        <v/>
      </c>
      <c r="AL138" s="53"/>
      <c r="AM138" s="123" t="str">
        <f t="shared" si="11"/>
        <v/>
      </c>
      <c r="AN138" s="115"/>
    </row>
    <row r="139" spans="2:40" x14ac:dyDescent="0.2">
      <c r="B139" s="116"/>
      <c r="C139" s="207"/>
      <c r="D139" s="53"/>
      <c r="E139" s="208"/>
      <c r="F139" s="53"/>
      <c r="G139" s="209"/>
      <c r="H139" s="53"/>
      <c r="I139" s="210"/>
      <c r="J139" s="53"/>
      <c r="K139" s="118" t="str">
        <f t="shared" si="9"/>
        <v/>
      </c>
      <c r="L139" s="53"/>
      <c r="M139" s="211"/>
      <c r="N139" s="53"/>
      <c r="O139" s="211"/>
      <c r="P139" s="53"/>
      <c r="Q139" s="211"/>
      <c r="R139" s="53"/>
      <c r="S139" s="211"/>
      <c r="T139" s="53"/>
      <c r="U139" s="117"/>
      <c r="V139" s="53"/>
      <c r="W139" s="119"/>
      <c r="X139" s="53"/>
      <c r="Y139" s="120"/>
      <c r="Z139" s="53"/>
      <c r="AA139" s="121" t="str">
        <f t="shared" si="7"/>
        <v/>
      </c>
      <c r="AB139" s="53"/>
      <c r="AC139" s="121" t="str">
        <f t="shared" si="8"/>
        <v/>
      </c>
      <c r="AD139" s="53"/>
      <c r="AE139" s="122" t="str">
        <f t="array" ref="AE139">IF(OR($C139="",$E139="",$G139="",$I139="",$M139="",$O139="",$Q139="",$S139="",$G139="Unrated"),"",IF($Q139="Y",0,MIN(1,SUM((IF($O139="Y",Cov_Range,Range)=$K139)*(IF($O139="Y",Cov_CQS,CQS)=$G139)*(IF($S139="Y",Gilt_Base,IF($O139="Y",Cov_Bond_Base,Bond_Base))))+IF($I139&lt;1,1,$I139-$K139)*SUM((IF($O139="Y",Cov_Range,Range)=$K139)*(IF($O139="Y",Cov_CQS,CQS)=$G139)*(IF($S139="Y",Gilt_Mult,IF($O139="Y",Cov_Bond_Mult,Bond_Mult)))))))</f>
        <v/>
      </c>
      <c r="AF139" s="53"/>
      <c r="AG139" s="122" t="str">
        <f t="array" ref="AG139">IF(OR($C139="",$E139="",$G139="",$I139="",$M139="",$O139="",$Q139="",$S139="",$G139&lt;&gt;"Unrated",$M139="Y"),"",MIN(1,IF(AND(U139&lt;E139,U139&gt;=E139*(1-(SUM((Range=$K139)*(Bond_Base_UR))+IF($I139&lt;1,1,$I139-$K139)*SUM((Range=$K139)*(Bond_Mult_UR))))),0.5*((SUM((Range=$K139)*(Bond_Base_UR))+IF($I139&lt;1,1,$I139-$K139)*SUM((Range=$K139)*(Bond_Mult_UR)))+((E139-U139)/E139)),IF(U139&gt;=E139,0.5,1)*(SUM((Range=$K139)*(Bond_Base_UR))+IF($I139&lt;1,1,$I139-$K139)*SUM((Range=$K139)*(Bond_Mult_UR))))))</f>
        <v/>
      </c>
      <c r="AH139" s="53"/>
      <c r="AI139" s="122" t="str">
        <f t="array" ref="AI139">IF(OR($C139="",$E139="",$G139="",$I139="",$M139="",$O139="",$Q139="",$S139="",$G139&lt;&gt;"Unrated",$M139&lt;&gt;"Y"),"",MIN(1,IF(OR($W139&lt;&gt;"Y",$AA139=$AC139),SUM((Range=$K139)*(CQS=IF($W139&lt;&gt;"Y",0,IF($AC139=196%,1,6)))*(IF($W139&lt;&gt;"Y",Bond_Base_MCR,Bond_Base)))+IF($I139&lt;1,1,$I139-$K139)*SUM((Range=$K139)*(CQS=IF($W139&lt;&gt;"Y",0,IF($AC139=196%,1,6)))*(IF($W139&lt;&gt;"Y",Bond_Mult_MCR,Bond_Mult))),((SUM((Range=$K139)*(CQS=HLOOKUP($AA139,Solv_Ratio_CQS_Map,2,0))*(Bond_Base))+IF($I139&lt;1,1,$I139-$K139)*SUM((Range=$K139)*(CQS=HLOOKUP($AA139,Solv_Ratio_CQS_Map,2,0))*(Bond_Mult)))*($AC139-$Y139)+(SUM((Range=$K139)*(CQS=HLOOKUP($AC139,Solv_Ratio_CQS_Map,2,0))*(Bond_Base))+IF($I139&lt;1,1,$I139-$K139)*SUM((Range=$K139)*(CQS=HLOOKUP($AC139,Solv_Ratio_CQS_Map,2,0))*(Bond_Mult)))*($Y139-$AA139))/($AC139-$AA139))))</f>
        <v/>
      </c>
      <c r="AJ139" s="53"/>
      <c r="AK139" s="121" t="str">
        <f t="shared" si="10"/>
        <v/>
      </c>
      <c r="AL139" s="53"/>
      <c r="AM139" s="123" t="str">
        <f t="shared" si="11"/>
        <v/>
      </c>
      <c r="AN139" s="115"/>
    </row>
    <row r="140" spans="2:40" x14ac:dyDescent="0.2">
      <c r="B140" s="116"/>
      <c r="C140" s="207"/>
      <c r="D140" s="53"/>
      <c r="E140" s="208"/>
      <c r="F140" s="53"/>
      <c r="G140" s="209"/>
      <c r="H140" s="53"/>
      <c r="I140" s="210"/>
      <c r="J140" s="53"/>
      <c r="K140" s="118" t="str">
        <f t="shared" si="9"/>
        <v/>
      </c>
      <c r="L140" s="53"/>
      <c r="M140" s="211"/>
      <c r="N140" s="53"/>
      <c r="O140" s="211"/>
      <c r="P140" s="53"/>
      <c r="Q140" s="211"/>
      <c r="R140" s="53"/>
      <c r="S140" s="211"/>
      <c r="T140" s="53"/>
      <c r="U140" s="117"/>
      <c r="V140" s="53"/>
      <c r="W140" s="119"/>
      <c r="X140" s="53"/>
      <c r="Y140" s="120"/>
      <c r="Z140" s="53"/>
      <c r="AA140" s="121" t="str">
        <f t="shared" ref="AA140:AA147" si="12">IF(AND($G140="Unrated",$M140="Y",$W140="Y"),IF($Y140&gt;=196%,196%,IF($Y140&lt;=75%,75%,IF($Y140&gt;175%,175%,IF($Y140&gt;122%,122%,IF($Y140&gt;95%,95%,75%))))),"")</f>
        <v/>
      </c>
      <c r="AB140" s="53"/>
      <c r="AC140" s="121" t="str">
        <f t="shared" ref="AC140:AC147" si="13">IF(AND($G140="Unrated",$M140="Y",$W140="Y"),IF($Y140&gt;=196%,196%,IF($Y140&lt;=75%,75%,IF($Y140&gt;175%,196%,IF($Y140&gt;122%,175%,IF($Y140&gt;95%,122%,95%))))),"")</f>
        <v/>
      </c>
      <c r="AD140" s="53"/>
      <c r="AE140" s="122" t="str">
        <f t="array" ref="AE140">IF(OR($C140="",$E140="",$G140="",$I140="",$M140="",$O140="",$Q140="",$S140="",$G140="Unrated"),"",IF($Q140="Y",0,MIN(1,SUM((IF($O140="Y",Cov_Range,Range)=$K140)*(IF($O140="Y",Cov_CQS,CQS)=$G140)*(IF($S140="Y",Gilt_Base,IF($O140="Y",Cov_Bond_Base,Bond_Base))))+IF($I140&lt;1,1,$I140-$K140)*SUM((IF($O140="Y",Cov_Range,Range)=$K140)*(IF($O140="Y",Cov_CQS,CQS)=$G140)*(IF($S140="Y",Gilt_Mult,IF($O140="Y",Cov_Bond_Mult,Bond_Mult)))))))</f>
        <v/>
      </c>
      <c r="AF140" s="53"/>
      <c r="AG140" s="122" t="str">
        <f t="array" ref="AG140">IF(OR($C140="",$E140="",$G140="",$I140="",$M140="",$O140="",$Q140="",$S140="",$G140&lt;&gt;"Unrated",$M140="Y"),"",MIN(1,IF(AND(U140&lt;E140,U140&gt;=E140*(1-(SUM((Range=$K140)*(Bond_Base_UR))+IF($I140&lt;1,1,$I140-$K140)*SUM((Range=$K140)*(Bond_Mult_UR))))),0.5*((SUM((Range=$K140)*(Bond_Base_UR))+IF($I140&lt;1,1,$I140-$K140)*SUM((Range=$K140)*(Bond_Mult_UR)))+((E140-U140)/E140)),IF(U140&gt;=E140,0.5,1)*(SUM((Range=$K140)*(Bond_Base_UR))+IF($I140&lt;1,1,$I140-$K140)*SUM((Range=$K140)*(Bond_Mult_UR))))))</f>
        <v/>
      </c>
      <c r="AH140" s="53"/>
      <c r="AI140" s="122" t="str">
        <f t="array" ref="AI140">IF(OR($C140="",$E140="",$G140="",$I140="",$M140="",$O140="",$Q140="",$S140="",$G140&lt;&gt;"Unrated",$M140&lt;&gt;"Y"),"",MIN(1,IF(OR($W140&lt;&gt;"Y",$AA140=$AC140),SUM((Range=$K140)*(CQS=IF($W140&lt;&gt;"Y",0,IF($AC140=196%,1,6)))*(IF($W140&lt;&gt;"Y",Bond_Base_MCR,Bond_Base)))+IF($I140&lt;1,1,$I140-$K140)*SUM((Range=$K140)*(CQS=IF($W140&lt;&gt;"Y",0,IF($AC140=196%,1,6)))*(IF($W140&lt;&gt;"Y",Bond_Mult_MCR,Bond_Mult))),((SUM((Range=$K140)*(CQS=HLOOKUP($AA140,Solv_Ratio_CQS_Map,2,0))*(Bond_Base))+IF($I140&lt;1,1,$I140-$K140)*SUM((Range=$K140)*(CQS=HLOOKUP($AA140,Solv_Ratio_CQS_Map,2,0))*(Bond_Mult)))*($AC140-$Y140)+(SUM((Range=$K140)*(CQS=HLOOKUP($AC140,Solv_Ratio_CQS_Map,2,0))*(Bond_Base))+IF($I140&lt;1,1,$I140-$K140)*SUM((Range=$K140)*(CQS=HLOOKUP($AC140,Solv_Ratio_CQS_Map,2,0))*(Bond_Mult)))*($Y140-$AA140))/($AC140-$AA140))))</f>
        <v/>
      </c>
      <c r="AJ140" s="53"/>
      <c r="AK140" s="121" t="str">
        <f t="shared" si="10"/>
        <v/>
      </c>
      <c r="AL140" s="53"/>
      <c r="AM140" s="123" t="str">
        <f t="shared" si="11"/>
        <v/>
      </c>
      <c r="AN140" s="115"/>
    </row>
    <row r="141" spans="2:40" x14ac:dyDescent="0.2">
      <c r="B141" s="116"/>
      <c r="C141" s="207"/>
      <c r="D141" s="53"/>
      <c r="E141" s="208"/>
      <c r="F141" s="53"/>
      <c r="G141" s="209"/>
      <c r="H141" s="53"/>
      <c r="I141" s="210"/>
      <c r="J141" s="53"/>
      <c r="K141" s="118" t="str">
        <f t="shared" si="9"/>
        <v/>
      </c>
      <c r="L141" s="53"/>
      <c r="M141" s="211"/>
      <c r="N141" s="53"/>
      <c r="O141" s="211"/>
      <c r="P141" s="53"/>
      <c r="Q141" s="211"/>
      <c r="R141" s="53"/>
      <c r="S141" s="211"/>
      <c r="T141" s="53"/>
      <c r="U141" s="117"/>
      <c r="V141" s="53"/>
      <c r="W141" s="119"/>
      <c r="X141" s="53"/>
      <c r="Y141" s="120"/>
      <c r="Z141" s="53"/>
      <c r="AA141" s="121" t="str">
        <f t="shared" si="12"/>
        <v/>
      </c>
      <c r="AB141" s="53"/>
      <c r="AC141" s="121" t="str">
        <f t="shared" si="13"/>
        <v/>
      </c>
      <c r="AD141" s="53"/>
      <c r="AE141" s="122" t="str">
        <f t="array" ref="AE141">IF(OR($C141="",$E141="",$G141="",$I141="",$M141="",$O141="",$Q141="",$S141="",$G141="Unrated"),"",IF($Q141="Y",0,MIN(1,SUM((IF($O141="Y",Cov_Range,Range)=$K141)*(IF($O141="Y",Cov_CQS,CQS)=$G141)*(IF($S141="Y",Gilt_Base,IF($O141="Y",Cov_Bond_Base,Bond_Base))))+IF($I141&lt;1,1,$I141-$K141)*SUM((IF($O141="Y",Cov_Range,Range)=$K141)*(IF($O141="Y",Cov_CQS,CQS)=$G141)*(IF($S141="Y",Gilt_Mult,IF($O141="Y",Cov_Bond_Mult,Bond_Mult)))))))</f>
        <v/>
      </c>
      <c r="AF141" s="53"/>
      <c r="AG141" s="122" t="str">
        <f t="array" ref="AG141">IF(OR($C141="",$E141="",$G141="",$I141="",$M141="",$O141="",$Q141="",$S141="",$G141&lt;&gt;"Unrated",$M141="Y"),"",MIN(1,IF(AND(U141&lt;E141,U141&gt;=E141*(1-(SUM((Range=$K141)*(Bond_Base_UR))+IF($I141&lt;1,1,$I141-$K141)*SUM((Range=$K141)*(Bond_Mult_UR))))),0.5*((SUM((Range=$K141)*(Bond_Base_UR))+IF($I141&lt;1,1,$I141-$K141)*SUM((Range=$K141)*(Bond_Mult_UR)))+((E141-U141)/E141)),IF(U141&gt;=E141,0.5,1)*(SUM((Range=$K141)*(Bond_Base_UR))+IF($I141&lt;1,1,$I141-$K141)*SUM((Range=$K141)*(Bond_Mult_UR))))))</f>
        <v/>
      </c>
      <c r="AH141" s="53"/>
      <c r="AI141" s="122" t="str">
        <f t="array" ref="AI141">IF(OR($C141="",$E141="",$G141="",$I141="",$M141="",$O141="",$Q141="",$S141="",$G141&lt;&gt;"Unrated",$M141&lt;&gt;"Y"),"",MIN(1,IF(OR($W141&lt;&gt;"Y",$AA141=$AC141),SUM((Range=$K141)*(CQS=IF($W141&lt;&gt;"Y",0,IF($AC141=196%,1,6)))*(IF($W141&lt;&gt;"Y",Bond_Base_MCR,Bond_Base)))+IF($I141&lt;1,1,$I141-$K141)*SUM((Range=$K141)*(CQS=IF($W141&lt;&gt;"Y",0,IF($AC141=196%,1,6)))*(IF($W141&lt;&gt;"Y",Bond_Mult_MCR,Bond_Mult))),((SUM((Range=$K141)*(CQS=HLOOKUP($AA141,Solv_Ratio_CQS_Map,2,0))*(Bond_Base))+IF($I141&lt;1,1,$I141-$K141)*SUM((Range=$K141)*(CQS=HLOOKUP($AA141,Solv_Ratio_CQS_Map,2,0))*(Bond_Mult)))*($AC141-$Y141)+(SUM((Range=$K141)*(CQS=HLOOKUP($AC141,Solv_Ratio_CQS_Map,2,0))*(Bond_Base))+IF($I141&lt;1,1,$I141-$K141)*SUM((Range=$K141)*(CQS=HLOOKUP($AC141,Solv_Ratio_CQS_Map,2,0))*(Bond_Mult)))*($Y141-$AA141))/($AC141-$AA141))))</f>
        <v/>
      </c>
      <c r="AJ141" s="53"/>
      <c r="AK141" s="121" t="str">
        <f t="shared" si="10"/>
        <v/>
      </c>
      <c r="AL141" s="53"/>
      <c r="AM141" s="123" t="str">
        <f t="shared" si="11"/>
        <v/>
      </c>
      <c r="AN141" s="115"/>
    </row>
    <row r="142" spans="2:40" x14ac:dyDescent="0.2">
      <c r="B142" s="116"/>
      <c r="C142" s="207"/>
      <c r="D142" s="53"/>
      <c r="E142" s="208"/>
      <c r="F142" s="53"/>
      <c r="G142" s="209"/>
      <c r="H142" s="53"/>
      <c r="I142" s="210"/>
      <c r="J142" s="53"/>
      <c r="K142" s="118" t="str">
        <f t="shared" si="9"/>
        <v/>
      </c>
      <c r="L142" s="53"/>
      <c r="M142" s="211"/>
      <c r="N142" s="53"/>
      <c r="O142" s="211"/>
      <c r="P142" s="53"/>
      <c r="Q142" s="211"/>
      <c r="R142" s="53"/>
      <c r="S142" s="211"/>
      <c r="T142" s="53"/>
      <c r="U142" s="117"/>
      <c r="V142" s="53"/>
      <c r="W142" s="119"/>
      <c r="X142" s="53"/>
      <c r="Y142" s="120"/>
      <c r="Z142" s="53"/>
      <c r="AA142" s="121" t="str">
        <f t="shared" si="12"/>
        <v/>
      </c>
      <c r="AB142" s="53"/>
      <c r="AC142" s="121" t="str">
        <f t="shared" si="13"/>
        <v/>
      </c>
      <c r="AD142" s="53"/>
      <c r="AE142" s="122" t="str">
        <f t="array" ref="AE142">IF(OR($C142="",$E142="",$G142="",$I142="",$M142="",$O142="",$Q142="",$S142="",$G142="Unrated"),"",IF($Q142="Y",0,MIN(1,SUM((IF($O142="Y",Cov_Range,Range)=$K142)*(IF($O142="Y",Cov_CQS,CQS)=$G142)*(IF($S142="Y",Gilt_Base,IF($O142="Y",Cov_Bond_Base,Bond_Base))))+IF($I142&lt;1,1,$I142-$K142)*SUM((IF($O142="Y",Cov_Range,Range)=$K142)*(IF($O142="Y",Cov_CQS,CQS)=$G142)*(IF($S142="Y",Gilt_Mult,IF($O142="Y",Cov_Bond_Mult,Bond_Mult)))))))</f>
        <v/>
      </c>
      <c r="AF142" s="53"/>
      <c r="AG142" s="122" t="str">
        <f t="array" ref="AG142">IF(OR($C142="",$E142="",$G142="",$I142="",$M142="",$O142="",$Q142="",$S142="",$G142&lt;&gt;"Unrated",$M142="Y"),"",MIN(1,IF(AND(U142&lt;E142,U142&gt;=E142*(1-(SUM((Range=$K142)*(Bond_Base_UR))+IF($I142&lt;1,1,$I142-$K142)*SUM((Range=$K142)*(Bond_Mult_UR))))),0.5*((SUM((Range=$K142)*(Bond_Base_UR))+IF($I142&lt;1,1,$I142-$K142)*SUM((Range=$K142)*(Bond_Mult_UR)))+((E142-U142)/E142)),IF(U142&gt;=E142,0.5,1)*(SUM((Range=$K142)*(Bond_Base_UR))+IF($I142&lt;1,1,$I142-$K142)*SUM((Range=$K142)*(Bond_Mult_UR))))))</f>
        <v/>
      </c>
      <c r="AH142" s="53"/>
      <c r="AI142" s="122" t="str">
        <f t="array" ref="AI142">IF(OR($C142="",$E142="",$G142="",$I142="",$M142="",$O142="",$Q142="",$S142="",$G142&lt;&gt;"Unrated",$M142&lt;&gt;"Y"),"",MIN(1,IF(OR($W142&lt;&gt;"Y",$AA142=$AC142),SUM((Range=$K142)*(CQS=IF($W142&lt;&gt;"Y",0,IF($AC142=196%,1,6)))*(IF($W142&lt;&gt;"Y",Bond_Base_MCR,Bond_Base)))+IF($I142&lt;1,1,$I142-$K142)*SUM((Range=$K142)*(CQS=IF($W142&lt;&gt;"Y",0,IF($AC142=196%,1,6)))*(IF($W142&lt;&gt;"Y",Bond_Mult_MCR,Bond_Mult))),((SUM((Range=$K142)*(CQS=HLOOKUP($AA142,Solv_Ratio_CQS_Map,2,0))*(Bond_Base))+IF($I142&lt;1,1,$I142-$K142)*SUM((Range=$K142)*(CQS=HLOOKUP($AA142,Solv_Ratio_CQS_Map,2,0))*(Bond_Mult)))*($AC142-$Y142)+(SUM((Range=$K142)*(CQS=HLOOKUP($AC142,Solv_Ratio_CQS_Map,2,0))*(Bond_Base))+IF($I142&lt;1,1,$I142-$K142)*SUM((Range=$K142)*(CQS=HLOOKUP($AC142,Solv_Ratio_CQS_Map,2,0))*(Bond_Mult)))*($Y142-$AA142))/($AC142-$AA142))))</f>
        <v/>
      </c>
      <c r="AJ142" s="53"/>
      <c r="AK142" s="121" t="str">
        <f t="shared" si="10"/>
        <v/>
      </c>
      <c r="AL142" s="53"/>
      <c r="AM142" s="123" t="str">
        <f t="shared" si="11"/>
        <v/>
      </c>
      <c r="AN142" s="115"/>
    </row>
    <row r="143" spans="2:40" x14ac:dyDescent="0.2">
      <c r="B143" s="116"/>
      <c r="C143" s="207"/>
      <c r="D143" s="53"/>
      <c r="E143" s="208"/>
      <c r="F143" s="53"/>
      <c r="G143" s="209"/>
      <c r="H143" s="53"/>
      <c r="I143" s="210"/>
      <c r="J143" s="53"/>
      <c r="K143" s="118" t="str">
        <f t="shared" si="9"/>
        <v/>
      </c>
      <c r="L143" s="53"/>
      <c r="M143" s="211"/>
      <c r="N143" s="53"/>
      <c r="O143" s="211"/>
      <c r="P143" s="53"/>
      <c r="Q143" s="211"/>
      <c r="R143" s="53"/>
      <c r="S143" s="211"/>
      <c r="T143" s="53"/>
      <c r="U143" s="117"/>
      <c r="V143" s="53"/>
      <c r="W143" s="119"/>
      <c r="X143" s="53"/>
      <c r="Y143" s="120"/>
      <c r="Z143" s="53"/>
      <c r="AA143" s="121" t="str">
        <f t="shared" si="12"/>
        <v/>
      </c>
      <c r="AB143" s="53"/>
      <c r="AC143" s="121" t="str">
        <f t="shared" si="13"/>
        <v/>
      </c>
      <c r="AD143" s="53"/>
      <c r="AE143" s="122" t="str">
        <f t="array" ref="AE143">IF(OR($C143="",$E143="",$G143="",$I143="",$M143="",$O143="",$Q143="",$S143="",$G143="Unrated"),"",IF($Q143="Y",0,MIN(1,SUM((IF($O143="Y",Cov_Range,Range)=$K143)*(IF($O143="Y",Cov_CQS,CQS)=$G143)*(IF($S143="Y",Gilt_Base,IF($O143="Y",Cov_Bond_Base,Bond_Base))))+IF($I143&lt;1,1,$I143-$K143)*SUM((IF($O143="Y",Cov_Range,Range)=$K143)*(IF($O143="Y",Cov_CQS,CQS)=$G143)*(IF($S143="Y",Gilt_Mult,IF($O143="Y",Cov_Bond_Mult,Bond_Mult)))))))</f>
        <v/>
      </c>
      <c r="AF143" s="53"/>
      <c r="AG143" s="122" t="str">
        <f t="array" ref="AG143">IF(OR($C143="",$E143="",$G143="",$I143="",$M143="",$O143="",$Q143="",$S143="",$G143&lt;&gt;"Unrated",$M143="Y"),"",MIN(1,IF(AND(U143&lt;E143,U143&gt;=E143*(1-(SUM((Range=$K143)*(Bond_Base_UR))+IF($I143&lt;1,1,$I143-$K143)*SUM((Range=$K143)*(Bond_Mult_UR))))),0.5*((SUM((Range=$K143)*(Bond_Base_UR))+IF($I143&lt;1,1,$I143-$K143)*SUM((Range=$K143)*(Bond_Mult_UR)))+((E143-U143)/E143)),IF(U143&gt;=E143,0.5,1)*(SUM((Range=$K143)*(Bond_Base_UR))+IF($I143&lt;1,1,$I143-$K143)*SUM((Range=$K143)*(Bond_Mult_UR))))))</f>
        <v/>
      </c>
      <c r="AH143" s="53"/>
      <c r="AI143" s="122" t="str">
        <f t="array" ref="AI143">IF(OR($C143="",$E143="",$G143="",$I143="",$M143="",$O143="",$Q143="",$S143="",$G143&lt;&gt;"Unrated",$M143&lt;&gt;"Y"),"",MIN(1,IF(OR($W143&lt;&gt;"Y",$AA143=$AC143),SUM((Range=$K143)*(CQS=IF($W143&lt;&gt;"Y",0,IF($AC143=196%,1,6)))*(IF($W143&lt;&gt;"Y",Bond_Base_MCR,Bond_Base)))+IF($I143&lt;1,1,$I143-$K143)*SUM((Range=$K143)*(CQS=IF($W143&lt;&gt;"Y",0,IF($AC143=196%,1,6)))*(IF($W143&lt;&gt;"Y",Bond_Mult_MCR,Bond_Mult))),((SUM((Range=$K143)*(CQS=HLOOKUP($AA143,Solv_Ratio_CQS_Map,2,0))*(Bond_Base))+IF($I143&lt;1,1,$I143-$K143)*SUM((Range=$K143)*(CQS=HLOOKUP($AA143,Solv_Ratio_CQS_Map,2,0))*(Bond_Mult)))*($AC143-$Y143)+(SUM((Range=$K143)*(CQS=HLOOKUP($AC143,Solv_Ratio_CQS_Map,2,0))*(Bond_Base))+IF($I143&lt;1,1,$I143-$K143)*SUM((Range=$K143)*(CQS=HLOOKUP($AC143,Solv_Ratio_CQS_Map,2,0))*(Bond_Mult)))*($Y143-$AA143))/($AC143-$AA143))))</f>
        <v/>
      </c>
      <c r="AJ143" s="53"/>
      <c r="AK143" s="121" t="str">
        <f t="shared" si="10"/>
        <v/>
      </c>
      <c r="AL143" s="53"/>
      <c r="AM143" s="123" t="str">
        <f t="shared" si="11"/>
        <v/>
      </c>
      <c r="AN143" s="115"/>
    </row>
    <row r="144" spans="2:40" x14ac:dyDescent="0.2">
      <c r="B144" s="116"/>
      <c r="C144" s="207"/>
      <c r="D144" s="53"/>
      <c r="E144" s="208"/>
      <c r="F144" s="53"/>
      <c r="G144" s="209"/>
      <c r="H144" s="53"/>
      <c r="I144" s="210"/>
      <c r="J144" s="53"/>
      <c r="K144" s="118" t="str">
        <f t="shared" si="9"/>
        <v/>
      </c>
      <c r="L144" s="53"/>
      <c r="M144" s="211"/>
      <c r="N144" s="53"/>
      <c r="O144" s="211"/>
      <c r="P144" s="53"/>
      <c r="Q144" s="211"/>
      <c r="R144" s="53"/>
      <c r="S144" s="211"/>
      <c r="T144" s="53"/>
      <c r="U144" s="117"/>
      <c r="V144" s="53"/>
      <c r="W144" s="119"/>
      <c r="X144" s="53"/>
      <c r="Y144" s="120"/>
      <c r="Z144" s="53"/>
      <c r="AA144" s="121" t="str">
        <f t="shared" si="12"/>
        <v/>
      </c>
      <c r="AB144" s="53"/>
      <c r="AC144" s="121" t="str">
        <f t="shared" si="13"/>
        <v/>
      </c>
      <c r="AD144" s="53"/>
      <c r="AE144" s="122" t="str">
        <f t="array" ref="AE144">IF(OR($C144="",$E144="",$G144="",$I144="",$M144="",$O144="",$Q144="",$S144="",$G144="Unrated"),"",IF($Q144="Y",0,MIN(1,SUM((IF($O144="Y",Cov_Range,Range)=$K144)*(IF($O144="Y",Cov_CQS,CQS)=$G144)*(IF($S144="Y",Gilt_Base,IF($O144="Y",Cov_Bond_Base,Bond_Base))))+IF($I144&lt;1,1,$I144-$K144)*SUM((IF($O144="Y",Cov_Range,Range)=$K144)*(IF($O144="Y",Cov_CQS,CQS)=$G144)*(IF($S144="Y",Gilt_Mult,IF($O144="Y",Cov_Bond_Mult,Bond_Mult)))))))</f>
        <v/>
      </c>
      <c r="AF144" s="53"/>
      <c r="AG144" s="122" t="str">
        <f t="array" ref="AG144">IF(OR($C144="",$E144="",$G144="",$I144="",$M144="",$O144="",$Q144="",$S144="",$G144&lt;&gt;"Unrated",$M144="Y"),"",MIN(1,IF(AND(U144&lt;E144,U144&gt;=E144*(1-(SUM((Range=$K144)*(Bond_Base_UR))+IF($I144&lt;1,1,$I144-$K144)*SUM((Range=$K144)*(Bond_Mult_UR))))),0.5*((SUM((Range=$K144)*(Bond_Base_UR))+IF($I144&lt;1,1,$I144-$K144)*SUM((Range=$K144)*(Bond_Mult_UR)))+((E144-U144)/E144)),IF(U144&gt;=E144,0.5,1)*(SUM((Range=$K144)*(Bond_Base_UR))+IF($I144&lt;1,1,$I144-$K144)*SUM((Range=$K144)*(Bond_Mult_UR))))))</f>
        <v/>
      </c>
      <c r="AH144" s="53"/>
      <c r="AI144" s="122" t="str">
        <f t="array" ref="AI144">IF(OR($C144="",$E144="",$G144="",$I144="",$M144="",$O144="",$Q144="",$S144="",$G144&lt;&gt;"Unrated",$M144&lt;&gt;"Y"),"",MIN(1,IF(OR($W144&lt;&gt;"Y",$AA144=$AC144),SUM((Range=$K144)*(CQS=IF($W144&lt;&gt;"Y",0,IF($AC144=196%,1,6)))*(IF($W144&lt;&gt;"Y",Bond_Base_MCR,Bond_Base)))+IF($I144&lt;1,1,$I144-$K144)*SUM((Range=$K144)*(CQS=IF($W144&lt;&gt;"Y",0,IF($AC144=196%,1,6)))*(IF($W144&lt;&gt;"Y",Bond_Mult_MCR,Bond_Mult))),((SUM((Range=$K144)*(CQS=HLOOKUP($AA144,Solv_Ratio_CQS_Map,2,0))*(Bond_Base))+IF($I144&lt;1,1,$I144-$K144)*SUM((Range=$K144)*(CQS=HLOOKUP($AA144,Solv_Ratio_CQS_Map,2,0))*(Bond_Mult)))*($AC144-$Y144)+(SUM((Range=$K144)*(CQS=HLOOKUP($AC144,Solv_Ratio_CQS_Map,2,0))*(Bond_Base))+IF($I144&lt;1,1,$I144-$K144)*SUM((Range=$K144)*(CQS=HLOOKUP($AC144,Solv_Ratio_CQS_Map,2,0))*(Bond_Mult)))*($Y144-$AA144))/($AC144-$AA144))))</f>
        <v/>
      </c>
      <c r="AJ144" s="53"/>
      <c r="AK144" s="121" t="str">
        <f t="shared" si="10"/>
        <v/>
      </c>
      <c r="AL144" s="53"/>
      <c r="AM144" s="123" t="str">
        <f t="shared" si="11"/>
        <v/>
      </c>
      <c r="AN144" s="115"/>
    </row>
    <row r="145" spans="2:40" x14ac:dyDescent="0.2">
      <c r="B145" s="116"/>
      <c r="C145" s="207"/>
      <c r="D145" s="53"/>
      <c r="E145" s="208"/>
      <c r="F145" s="53"/>
      <c r="G145" s="209"/>
      <c r="H145" s="53"/>
      <c r="I145" s="210"/>
      <c r="J145" s="53"/>
      <c r="K145" s="118" t="str">
        <f t="shared" si="9"/>
        <v/>
      </c>
      <c r="L145" s="53"/>
      <c r="M145" s="211"/>
      <c r="N145" s="53"/>
      <c r="O145" s="211"/>
      <c r="P145" s="53"/>
      <c r="Q145" s="211"/>
      <c r="R145" s="53"/>
      <c r="S145" s="211"/>
      <c r="T145" s="53"/>
      <c r="U145" s="117"/>
      <c r="V145" s="53"/>
      <c r="W145" s="119"/>
      <c r="X145" s="53"/>
      <c r="Y145" s="120"/>
      <c r="Z145" s="53"/>
      <c r="AA145" s="121" t="str">
        <f t="shared" si="12"/>
        <v/>
      </c>
      <c r="AB145" s="53"/>
      <c r="AC145" s="121" t="str">
        <f t="shared" si="13"/>
        <v/>
      </c>
      <c r="AD145" s="53"/>
      <c r="AE145" s="122" t="str">
        <f t="array" ref="AE145">IF(OR($C145="",$E145="",$G145="",$I145="",$M145="",$O145="",$Q145="",$S145="",$G145="Unrated"),"",IF($Q145="Y",0,MIN(1,SUM((IF($O145="Y",Cov_Range,Range)=$K145)*(IF($O145="Y",Cov_CQS,CQS)=$G145)*(IF($S145="Y",Gilt_Base,IF($O145="Y",Cov_Bond_Base,Bond_Base))))+IF($I145&lt;1,1,$I145-$K145)*SUM((IF($O145="Y",Cov_Range,Range)=$K145)*(IF($O145="Y",Cov_CQS,CQS)=$G145)*(IF($S145="Y",Gilt_Mult,IF($O145="Y",Cov_Bond_Mult,Bond_Mult)))))))</f>
        <v/>
      </c>
      <c r="AF145" s="53"/>
      <c r="AG145" s="122" t="str">
        <f t="array" ref="AG145">IF(OR($C145="",$E145="",$G145="",$I145="",$M145="",$O145="",$Q145="",$S145="",$G145&lt;&gt;"Unrated",$M145="Y"),"",MIN(1,IF(AND(U145&lt;E145,U145&gt;=E145*(1-(SUM((Range=$K145)*(Bond_Base_UR))+IF($I145&lt;1,1,$I145-$K145)*SUM((Range=$K145)*(Bond_Mult_UR))))),0.5*((SUM((Range=$K145)*(Bond_Base_UR))+IF($I145&lt;1,1,$I145-$K145)*SUM((Range=$K145)*(Bond_Mult_UR)))+((E145-U145)/E145)),IF(U145&gt;=E145,0.5,1)*(SUM((Range=$K145)*(Bond_Base_UR))+IF($I145&lt;1,1,$I145-$K145)*SUM((Range=$K145)*(Bond_Mult_UR))))))</f>
        <v/>
      </c>
      <c r="AH145" s="53"/>
      <c r="AI145" s="122" t="str">
        <f t="array" ref="AI145">IF(OR($C145="",$E145="",$G145="",$I145="",$M145="",$O145="",$Q145="",$S145="",$G145&lt;&gt;"Unrated",$M145&lt;&gt;"Y"),"",MIN(1,IF(OR($W145&lt;&gt;"Y",$AA145=$AC145),SUM((Range=$K145)*(CQS=IF($W145&lt;&gt;"Y",0,IF($AC145=196%,1,6)))*(IF($W145&lt;&gt;"Y",Bond_Base_MCR,Bond_Base)))+IF($I145&lt;1,1,$I145-$K145)*SUM((Range=$K145)*(CQS=IF($W145&lt;&gt;"Y",0,IF($AC145=196%,1,6)))*(IF($W145&lt;&gt;"Y",Bond_Mult_MCR,Bond_Mult))),((SUM((Range=$K145)*(CQS=HLOOKUP($AA145,Solv_Ratio_CQS_Map,2,0))*(Bond_Base))+IF($I145&lt;1,1,$I145-$K145)*SUM((Range=$K145)*(CQS=HLOOKUP($AA145,Solv_Ratio_CQS_Map,2,0))*(Bond_Mult)))*($AC145-$Y145)+(SUM((Range=$K145)*(CQS=HLOOKUP($AC145,Solv_Ratio_CQS_Map,2,0))*(Bond_Base))+IF($I145&lt;1,1,$I145-$K145)*SUM((Range=$K145)*(CQS=HLOOKUP($AC145,Solv_Ratio_CQS_Map,2,0))*(Bond_Mult)))*($Y145-$AA145))/($AC145-$AA145))))</f>
        <v/>
      </c>
      <c r="AJ145" s="53"/>
      <c r="AK145" s="121" t="str">
        <f t="shared" si="10"/>
        <v/>
      </c>
      <c r="AL145" s="53"/>
      <c r="AM145" s="123" t="str">
        <f t="shared" si="11"/>
        <v/>
      </c>
      <c r="AN145" s="115"/>
    </row>
    <row r="146" spans="2:40" x14ac:dyDescent="0.2">
      <c r="B146" s="116"/>
      <c r="C146" s="207"/>
      <c r="D146" s="53"/>
      <c r="E146" s="208"/>
      <c r="F146" s="53"/>
      <c r="G146" s="209"/>
      <c r="H146" s="53"/>
      <c r="I146" s="210"/>
      <c r="J146" s="53"/>
      <c r="K146" s="118" t="str">
        <f t="shared" si="9"/>
        <v/>
      </c>
      <c r="L146" s="53"/>
      <c r="M146" s="211"/>
      <c r="N146" s="53"/>
      <c r="O146" s="211"/>
      <c r="P146" s="53"/>
      <c r="Q146" s="211"/>
      <c r="R146" s="53"/>
      <c r="S146" s="211"/>
      <c r="T146" s="53"/>
      <c r="U146" s="117"/>
      <c r="V146" s="53"/>
      <c r="W146" s="119"/>
      <c r="X146" s="53"/>
      <c r="Y146" s="120"/>
      <c r="Z146" s="53"/>
      <c r="AA146" s="121" t="str">
        <f t="shared" si="12"/>
        <v/>
      </c>
      <c r="AB146" s="53"/>
      <c r="AC146" s="121" t="str">
        <f t="shared" si="13"/>
        <v/>
      </c>
      <c r="AD146" s="53"/>
      <c r="AE146" s="122" t="str">
        <f t="array" ref="AE146">IF(OR($C146="",$E146="",$G146="",$I146="",$M146="",$O146="",$Q146="",$S146="",$G146="Unrated"),"",IF($Q146="Y",0,MIN(1,SUM((IF($O146="Y",Cov_Range,Range)=$K146)*(IF($O146="Y",Cov_CQS,CQS)=$G146)*(IF($S146="Y",Gilt_Base,IF($O146="Y",Cov_Bond_Base,Bond_Base))))+IF($I146&lt;1,1,$I146-$K146)*SUM((IF($O146="Y",Cov_Range,Range)=$K146)*(IF($O146="Y",Cov_CQS,CQS)=$G146)*(IF($S146="Y",Gilt_Mult,IF($O146="Y",Cov_Bond_Mult,Bond_Mult)))))))</f>
        <v/>
      </c>
      <c r="AF146" s="53"/>
      <c r="AG146" s="122" t="str">
        <f t="array" ref="AG146">IF(OR($C146="",$E146="",$G146="",$I146="",$M146="",$O146="",$Q146="",$S146="",$G146&lt;&gt;"Unrated",$M146="Y"),"",MIN(1,IF(AND(U146&lt;E146,U146&gt;=E146*(1-(SUM((Range=$K146)*(Bond_Base_UR))+IF($I146&lt;1,1,$I146-$K146)*SUM((Range=$K146)*(Bond_Mult_UR))))),0.5*((SUM((Range=$K146)*(Bond_Base_UR))+IF($I146&lt;1,1,$I146-$K146)*SUM((Range=$K146)*(Bond_Mult_UR)))+((E146-U146)/E146)),IF(U146&gt;=E146,0.5,1)*(SUM((Range=$K146)*(Bond_Base_UR))+IF($I146&lt;1,1,$I146-$K146)*SUM((Range=$K146)*(Bond_Mult_UR))))))</f>
        <v/>
      </c>
      <c r="AH146" s="53"/>
      <c r="AI146" s="122" t="str">
        <f t="array" ref="AI146">IF(OR($C146="",$E146="",$G146="",$I146="",$M146="",$O146="",$Q146="",$S146="",$G146&lt;&gt;"Unrated",$M146&lt;&gt;"Y"),"",MIN(1,IF(OR($W146&lt;&gt;"Y",$AA146=$AC146),SUM((Range=$K146)*(CQS=IF($W146&lt;&gt;"Y",0,IF($AC146=196%,1,6)))*(IF($W146&lt;&gt;"Y",Bond_Base_MCR,Bond_Base)))+IF($I146&lt;1,1,$I146-$K146)*SUM((Range=$K146)*(CQS=IF($W146&lt;&gt;"Y",0,IF($AC146=196%,1,6)))*(IF($W146&lt;&gt;"Y",Bond_Mult_MCR,Bond_Mult))),((SUM((Range=$K146)*(CQS=HLOOKUP($AA146,Solv_Ratio_CQS_Map,2,0))*(Bond_Base))+IF($I146&lt;1,1,$I146-$K146)*SUM((Range=$K146)*(CQS=HLOOKUP($AA146,Solv_Ratio_CQS_Map,2,0))*(Bond_Mult)))*($AC146-$Y146)+(SUM((Range=$K146)*(CQS=HLOOKUP($AC146,Solv_Ratio_CQS_Map,2,0))*(Bond_Base))+IF($I146&lt;1,1,$I146-$K146)*SUM((Range=$K146)*(CQS=HLOOKUP($AC146,Solv_Ratio_CQS_Map,2,0))*(Bond_Mult)))*($Y146-$AA146))/($AC146-$AA146))))</f>
        <v/>
      </c>
      <c r="AJ146" s="53"/>
      <c r="AK146" s="121" t="str">
        <f t="shared" si="10"/>
        <v/>
      </c>
      <c r="AL146" s="53"/>
      <c r="AM146" s="123" t="str">
        <f t="shared" si="11"/>
        <v/>
      </c>
      <c r="AN146" s="115"/>
    </row>
    <row r="147" spans="2:40" x14ac:dyDescent="0.2">
      <c r="B147" s="116"/>
      <c r="C147" s="207"/>
      <c r="D147" s="53"/>
      <c r="E147" s="208"/>
      <c r="F147" s="53"/>
      <c r="G147" s="209"/>
      <c r="H147" s="53"/>
      <c r="I147" s="210"/>
      <c r="J147" s="53"/>
      <c r="K147" s="118" t="str">
        <f t="shared" si="9"/>
        <v/>
      </c>
      <c r="L147" s="53"/>
      <c r="M147" s="211"/>
      <c r="N147" s="53"/>
      <c r="O147" s="211"/>
      <c r="P147" s="53"/>
      <c r="Q147" s="211"/>
      <c r="R147" s="53"/>
      <c r="S147" s="211"/>
      <c r="T147" s="53"/>
      <c r="U147" s="117"/>
      <c r="V147" s="53"/>
      <c r="W147" s="119"/>
      <c r="X147" s="53"/>
      <c r="Y147" s="120"/>
      <c r="Z147" s="53"/>
      <c r="AA147" s="121" t="str">
        <f t="shared" si="12"/>
        <v/>
      </c>
      <c r="AB147" s="53"/>
      <c r="AC147" s="121" t="str">
        <f t="shared" si="13"/>
        <v/>
      </c>
      <c r="AD147" s="53"/>
      <c r="AE147" s="122" t="str">
        <f t="array" ref="AE147">IF(OR($C147="",$E147="",$G147="",$I147="",$M147="",$O147="",$Q147="",$S147="",$G147="Unrated"),"",IF($Q147="Y",0,MIN(1,SUM((IF($O147="Y",Cov_Range,Range)=$K147)*(IF($O147="Y",Cov_CQS,CQS)=$G147)*(IF($S147="Y",Gilt_Base,IF($O147="Y",Cov_Bond_Base,Bond_Base))))+IF($I147&lt;1,1,$I147-$K147)*SUM((IF($O147="Y",Cov_Range,Range)=$K147)*(IF($O147="Y",Cov_CQS,CQS)=$G147)*(IF($S147="Y",Gilt_Mult,IF($O147="Y",Cov_Bond_Mult,Bond_Mult)))))))</f>
        <v/>
      </c>
      <c r="AF147" s="53"/>
      <c r="AG147" s="122" t="str">
        <f t="array" ref="AG147">IF(OR($C147="",$E147="",$G147="",$I147="",$M147="",$O147="",$Q147="",$S147="",$G147&lt;&gt;"Unrated",$M147="Y"),"",MIN(1,IF(AND(U147&lt;E147,U147&gt;=E147*(1-(SUM((Range=$K147)*(Bond_Base_UR))+IF($I147&lt;1,1,$I147-$K147)*SUM((Range=$K147)*(Bond_Mult_UR))))),0.5*((SUM((Range=$K147)*(Bond_Base_UR))+IF($I147&lt;1,1,$I147-$K147)*SUM((Range=$K147)*(Bond_Mult_UR)))+((E147-U147)/E147)),IF(U147&gt;=E147,0.5,1)*(SUM((Range=$K147)*(Bond_Base_UR))+IF($I147&lt;1,1,$I147-$K147)*SUM((Range=$K147)*(Bond_Mult_UR))))))</f>
        <v/>
      </c>
      <c r="AH147" s="53"/>
      <c r="AI147" s="122" t="str">
        <f t="array" ref="AI147">IF(OR($C147="",$E147="",$G147="",$I147="",$M147="",$O147="",$Q147="",$S147="",$G147&lt;&gt;"Unrated",$M147&lt;&gt;"Y"),"",MIN(1,IF(OR($W147&lt;&gt;"Y",$AA147=$AC147),SUM((Range=$K147)*(CQS=IF($W147&lt;&gt;"Y",0,IF($AC147=196%,1,6)))*(IF($W147&lt;&gt;"Y",Bond_Base_MCR,Bond_Base)))+IF($I147&lt;1,1,$I147-$K147)*SUM((Range=$K147)*(CQS=IF($W147&lt;&gt;"Y",0,IF($AC147=196%,1,6)))*(IF($W147&lt;&gt;"Y",Bond_Mult_MCR,Bond_Mult))),((SUM((Range=$K147)*(CQS=HLOOKUP($AA147,Solv_Ratio_CQS_Map,2,0))*(Bond_Base))+IF($I147&lt;1,1,$I147-$K147)*SUM((Range=$K147)*(CQS=HLOOKUP($AA147,Solv_Ratio_CQS_Map,2,0))*(Bond_Mult)))*($AC147-$Y147)+(SUM((Range=$K147)*(CQS=HLOOKUP($AC147,Solv_Ratio_CQS_Map,2,0))*(Bond_Base))+IF($I147&lt;1,1,$I147-$K147)*SUM((Range=$K147)*(CQS=HLOOKUP($AC147,Solv_Ratio_CQS_Map,2,0))*(Bond_Mult)))*($Y147-$AA147))/($AC147-$AA147))))</f>
        <v/>
      </c>
      <c r="AJ147" s="53"/>
      <c r="AK147" s="121" t="str">
        <f t="shared" si="10"/>
        <v/>
      </c>
      <c r="AL147" s="53"/>
      <c r="AM147" s="123" t="str">
        <f t="shared" si="11"/>
        <v/>
      </c>
      <c r="AN147" s="115"/>
    </row>
    <row r="148" spans="2:40" x14ac:dyDescent="0.2">
      <c r="B148" s="116"/>
      <c r="C148" s="207"/>
      <c r="D148" s="53"/>
      <c r="E148" s="208"/>
      <c r="F148" s="53"/>
      <c r="G148" s="209"/>
      <c r="H148" s="53"/>
      <c r="I148" s="210"/>
      <c r="J148" s="53"/>
      <c r="K148" s="118" t="str">
        <f t="shared" si="9"/>
        <v/>
      </c>
      <c r="L148" s="53"/>
      <c r="M148" s="211"/>
      <c r="N148" s="53"/>
      <c r="O148" s="211"/>
      <c r="P148" s="53"/>
      <c r="Q148" s="211"/>
      <c r="R148" s="53"/>
      <c r="S148" s="211"/>
      <c r="T148" s="53"/>
      <c r="U148" s="117"/>
      <c r="V148" s="53"/>
      <c r="W148" s="119"/>
      <c r="X148" s="53"/>
      <c r="Y148" s="120"/>
      <c r="Z148" s="53"/>
      <c r="AA148" s="121" t="str">
        <f t="shared" ref="AA148:AA155" si="14">IF(AND($G148="Unrated",$M148="Y",$W148="Y"),IF($Y148&gt;=196%,196%,IF($Y148&lt;=75%,75%,IF($Y148&gt;175%,175%,IF($Y148&gt;122%,122%,IF($Y148&gt;95%,95%,75%))))),"")</f>
        <v/>
      </c>
      <c r="AB148" s="53"/>
      <c r="AC148" s="121" t="str">
        <f t="shared" ref="AC148:AC155" si="15">IF(AND($G148="Unrated",$M148="Y",$W148="Y"),IF($Y148&gt;=196%,196%,IF($Y148&lt;=75%,75%,IF($Y148&gt;175%,196%,IF($Y148&gt;122%,175%,IF($Y148&gt;95%,122%,95%))))),"")</f>
        <v/>
      </c>
      <c r="AD148" s="53"/>
      <c r="AE148" s="122" t="str">
        <f t="array" ref="AE148">IF(OR($C148="",$E148="",$G148="",$I148="",$M148="",$O148="",$Q148="",$S148="",$G148="Unrated"),"",IF($Q148="Y",0,MIN(1,SUM((IF($O148="Y",Cov_Range,Range)=$K148)*(IF($O148="Y",Cov_CQS,CQS)=$G148)*(IF($S148="Y",Gilt_Base,IF($O148="Y",Cov_Bond_Base,Bond_Base))))+IF($I148&lt;1,1,$I148-$K148)*SUM((IF($O148="Y",Cov_Range,Range)=$K148)*(IF($O148="Y",Cov_CQS,CQS)=$G148)*(IF($S148="Y",Gilt_Mult,IF($O148="Y",Cov_Bond_Mult,Bond_Mult)))))))</f>
        <v/>
      </c>
      <c r="AF148" s="53"/>
      <c r="AG148" s="122" t="str">
        <f t="array" ref="AG148">IF(OR($C148="",$E148="",$G148="",$I148="",$M148="",$O148="",$Q148="",$S148="",$G148&lt;&gt;"Unrated",$M148="Y"),"",MIN(1,IF(AND(U148&lt;E148,U148&gt;=E148*(1-(SUM((Range=$K148)*(Bond_Base_UR))+IF($I148&lt;1,1,$I148-$K148)*SUM((Range=$K148)*(Bond_Mult_UR))))),0.5*((SUM((Range=$K148)*(Bond_Base_UR))+IF($I148&lt;1,1,$I148-$K148)*SUM((Range=$K148)*(Bond_Mult_UR)))+((E148-U148)/E148)),IF(U148&gt;=E148,0.5,1)*(SUM((Range=$K148)*(Bond_Base_UR))+IF($I148&lt;1,1,$I148-$K148)*SUM((Range=$K148)*(Bond_Mult_UR))))))</f>
        <v/>
      </c>
      <c r="AH148" s="53"/>
      <c r="AI148" s="122" t="str">
        <f t="array" ref="AI148">IF(OR($C148="",$E148="",$G148="",$I148="",$M148="",$O148="",$Q148="",$S148="",$G148&lt;&gt;"Unrated",$M148&lt;&gt;"Y"),"",MIN(1,IF(OR($W148&lt;&gt;"Y",$AA148=$AC148),SUM((Range=$K148)*(CQS=IF($W148&lt;&gt;"Y",0,IF($AC148=196%,1,6)))*(IF($W148&lt;&gt;"Y",Bond_Base_MCR,Bond_Base)))+IF($I148&lt;1,1,$I148-$K148)*SUM((Range=$K148)*(CQS=IF($W148&lt;&gt;"Y",0,IF($AC148=196%,1,6)))*(IF($W148&lt;&gt;"Y",Bond_Mult_MCR,Bond_Mult))),((SUM((Range=$K148)*(CQS=HLOOKUP($AA148,Solv_Ratio_CQS_Map,2,0))*(Bond_Base))+IF($I148&lt;1,1,$I148-$K148)*SUM((Range=$K148)*(CQS=HLOOKUP($AA148,Solv_Ratio_CQS_Map,2,0))*(Bond_Mult)))*($AC148-$Y148)+(SUM((Range=$K148)*(CQS=HLOOKUP($AC148,Solv_Ratio_CQS_Map,2,0))*(Bond_Base))+IF($I148&lt;1,1,$I148-$K148)*SUM((Range=$K148)*(CQS=HLOOKUP($AC148,Solv_Ratio_CQS_Map,2,0))*(Bond_Mult)))*($Y148-$AA148))/($AC148-$AA148))))</f>
        <v/>
      </c>
      <c r="AJ148" s="53"/>
      <c r="AK148" s="121" t="str">
        <f t="shared" si="10"/>
        <v/>
      </c>
      <c r="AL148" s="53"/>
      <c r="AM148" s="123" t="str">
        <f t="shared" si="11"/>
        <v/>
      </c>
      <c r="AN148" s="115"/>
    </row>
    <row r="149" spans="2:40" x14ac:dyDescent="0.2">
      <c r="B149" s="116"/>
      <c r="C149" s="207"/>
      <c r="D149" s="53"/>
      <c r="E149" s="208"/>
      <c r="F149" s="53"/>
      <c r="G149" s="209"/>
      <c r="H149" s="53"/>
      <c r="I149" s="210"/>
      <c r="J149" s="53"/>
      <c r="K149" s="118" t="str">
        <f t="shared" si="9"/>
        <v/>
      </c>
      <c r="L149" s="53"/>
      <c r="M149" s="211"/>
      <c r="N149" s="53"/>
      <c r="O149" s="211"/>
      <c r="P149" s="53"/>
      <c r="Q149" s="211"/>
      <c r="R149" s="53"/>
      <c r="S149" s="211"/>
      <c r="T149" s="53"/>
      <c r="U149" s="117"/>
      <c r="V149" s="53"/>
      <c r="W149" s="119"/>
      <c r="X149" s="53"/>
      <c r="Y149" s="120"/>
      <c r="Z149" s="53"/>
      <c r="AA149" s="121" t="str">
        <f t="shared" si="14"/>
        <v/>
      </c>
      <c r="AB149" s="53"/>
      <c r="AC149" s="121" t="str">
        <f t="shared" si="15"/>
        <v/>
      </c>
      <c r="AD149" s="53"/>
      <c r="AE149" s="122" t="str">
        <f t="array" ref="AE149">IF(OR($C149="",$E149="",$G149="",$I149="",$M149="",$O149="",$Q149="",$S149="",$G149="Unrated"),"",IF($Q149="Y",0,MIN(1,SUM((IF($O149="Y",Cov_Range,Range)=$K149)*(IF($O149="Y",Cov_CQS,CQS)=$G149)*(IF($S149="Y",Gilt_Base,IF($O149="Y",Cov_Bond_Base,Bond_Base))))+IF($I149&lt;1,1,$I149-$K149)*SUM((IF($O149="Y",Cov_Range,Range)=$K149)*(IF($O149="Y",Cov_CQS,CQS)=$G149)*(IF($S149="Y",Gilt_Mult,IF($O149="Y",Cov_Bond_Mult,Bond_Mult)))))))</f>
        <v/>
      </c>
      <c r="AF149" s="53"/>
      <c r="AG149" s="122" t="str">
        <f t="array" ref="AG149">IF(OR($C149="",$E149="",$G149="",$I149="",$M149="",$O149="",$Q149="",$S149="",$G149&lt;&gt;"Unrated",$M149="Y"),"",MIN(1,IF(AND(U149&lt;E149,U149&gt;=E149*(1-(SUM((Range=$K149)*(Bond_Base_UR))+IF($I149&lt;1,1,$I149-$K149)*SUM((Range=$K149)*(Bond_Mult_UR))))),0.5*((SUM((Range=$K149)*(Bond_Base_UR))+IF($I149&lt;1,1,$I149-$K149)*SUM((Range=$K149)*(Bond_Mult_UR)))+((E149-U149)/E149)),IF(U149&gt;=E149,0.5,1)*(SUM((Range=$K149)*(Bond_Base_UR))+IF($I149&lt;1,1,$I149-$K149)*SUM((Range=$K149)*(Bond_Mult_UR))))))</f>
        <v/>
      </c>
      <c r="AH149" s="53"/>
      <c r="AI149" s="122" t="str">
        <f t="array" ref="AI149">IF(OR($C149="",$E149="",$G149="",$I149="",$M149="",$O149="",$Q149="",$S149="",$G149&lt;&gt;"Unrated",$M149&lt;&gt;"Y"),"",MIN(1,IF(OR($W149&lt;&gt;"Y",$AA149=$AC149),SUM((Range=$K149)*(CQS=IF($W149&lt;&gt;"Y",0,IF($AC149=196%,1,6)))*(IF($W149&lt;&gt;"Y",Bond_Base_MCR,Bond_Base)))+IF($I149&lt;1,1,$I149-$K149)*SUM((Range=$K149)*(CQS=IF($W149&lt;&gt;"Y",0,IF($AC149=196%,1,6)))*(IF($W149&lt;&gt;"Y",Bond_Mult_MCR,Bond_Mult))),((SUM((Range=$K149)*(CQS=HLOOKUP($AA149,Solv_Ratio_CQS_Map,2,0))*(Bond_Base))+IF($I149&lt;1,1,$I149-$K149)*SUM((Range=$K149)*(CQS=HLOOKUP($AA149,Solv_Ratio_CQS_Map,2,0))*(Bond_Mult)))*($AC149-$Y149)+(SUM((Range=$K149)*(CQS=HLOOKUP($AC149,Solv_Ratio_CQS_Map,2,0))*(Bond_Base))+IF($I149&lt;1,1,$I149-$K149)*SUM((Range=$K149)*(CQS=HLOOKUP($AC149,Solv_Ratio_CQS_Map,2,0))*(Bond_Mult)))*($Y149-$AA149))/($AC149-$AA149))))</f>
        <v/>
      </c>
      <c r="AJ149" s="53"/>
      <c r="AK149" s="121" t="str">
        <f t="shared" si="10"/>
        <v/>
      </c>
      <c r="AL149" s="53"/>
      <c r="AM149" s="123" t="str">
        <f t="shared" si="11"/>
        <v/>
      </c>
      <c r="AN149" s="115"/>
    </row>
    <row r="150" spans="2:40" x14ac:dyDescent="0.2">
      <c r="B150" s="116"/>
      <c r="C150" s="207"/>
      <c r="D150" s="53"/>
      <c r="E150" s="208"/>
      <c r="F150" s="53"/>
      <c r="G150" s="209"/>
      <c r="H150" s="53"/>
      <c r="I150" s="210"/>
      <c r="J150" s="53"/>
      <c r="K150" s="118" t="str">
        <f t="shared" si="9"/>
        <v/>
      </c>
      <c r="L150" s="53"/>
      <c r="M150" s="211"/>
      <c r="N150" s="53"/>
      <c r="O150" s="211"/>
      <c r="P150" s="53"/>
      <c r="Q150" s="211"/>
      <c r="R150" s="53"/>
      <c r="S150" s="211"/>
      <c r="T150" s="53"/>
      <c r="U150" s="117"/>
      <c r="V150" s="53"/>
      <c r="W150" s="119"/>
      <c r="X150" s="53"/>
      <c r="Y150" s="120"/>
      <c r="Z150" s="53"/>
      <c r="AA150" s="121" t="str">
        <f t="shared" si="14"/>
        <v/>
      </c>
      <c r="AB150" s="53"/>
      <c r="AC150" s="121" t="str">
        <f t="shared" si="15"/>
        <v/>
      </c>
      <c r="AD150" s="53"/>
      <c r="AE150" s="122" t="str">
        <f t="array" ref="AE150">IF(OR($C150="",$E150="",$G150="",$I150="",$M150="",$O150="",$Q150="",$S150="",$G150="Unrated"),"",IF($Q150="Y",0,MIN(1,SUM((IF($O150="Y",Cov_Range,Range)=$K150)*(IF($O150="Y",Cov_CQS,CQS)=$G150)*(IF($S150="Y",Gilt_Base,IF($O150="Y",Cov_Bond_Base,Bond_Base))))+IF($I150&lt;1,1,$I150-$K150)*SUM((IF($O150="Y",Cov_Range,Range)=$K150)*(IF($O150="Y",Cov_CQS,CQS)=$G150)*(IF($S150="Y",Gilt_Mult,IF($O150="Y",Cov_Bond_Mult,Bond_Mult)))))))</f>
        <v/>
      </c>
      <c r="AF150" s="53"/>
      <c r="AG150" s="122" t="str">
        <f t="array" ref="AG150">IF(OR($C150="",$E150="",$G150="",$I150="",$M150="",$O150="",$Q150="",$S150="",$G150&lt;&gt;"Unrated",$M150="Y"),"",MIN(1,IF(AND(U150&lt;E150,U150&gt;=E150*(1-(SUM((Range=$K150)*(Bond_Base_UR))+IF($I150&lt;1,1,$I150-$K150)*SUM((Range=$K150)*(Bond_Mult_UR))))),0.5*((SUM((Range=$K150)*(Bond_Base_UR))+IF($I150&lt;1,1,$I150-$K150)*SUM((Range=$K150)*(Bond_Mult_UR)))+((E150-U150)/E150)),IF(U150&gt;=E150,0.5,1)*(SUM((Range=$K150)*(Bond_Base_UR))+IF($I150&lt;1,1,$I150-$K150)*SUM((Range=$K150)*(Bond_Mult_UR))))))</f>
        <v/>
      </c>
      <c r="AH150" s="53"/>
      <c r="AI150" s="122" t="str">
        <f t="array" ref="AI150">IF(OR($C150="",$E150="",$G150="",$I150="",$M150="",$O150="",$Q150="",$S150="",$G150&lt;&gt;"Unrated",$M150&lt;&gt;"Y"),"",MIN(1,IF(OR($W150&lt;&gt;"Y",$AA150=$AC150),SUM((Range=$K150)*(CQS=IF($W150&lt;&gt;"Y",0,IF($AC150=196%,1,6)))*(IF($W150&lt;&gt;"Y",Bond_Base_MCR,Bond_Base)))+IF($I150&lt;1,1,$I150-$K150)*SUM((Range=$K150)*(CQS=IF($W150&lt;&gt;"Y",0,IF($AC150=196%,1,6)))*(IF($W150&lt;&gt;"Y",Bond_Mult_MCR,Bond_Mult))),((SUM((Range=$K150)*(CQS=HLOOKUP($AA150,Solv_Ratio_CQS_Map,2,0))*(Bond_Base))+IF($I150&lt;1,1,$I150-$K150)*SUM((Range=$K150)*(CQS=HLOOKUP($AA150,Solv_Ratio_CQS_Map,2,0))*(Bond_Mult)))*($AC150-$Y150)+(SUM((Range=$K150)*(CQS=HLOOKUP($AC150,Solv_Ratio_CQS_Map,2,0))*(Bond_Base))+IF($I150&lt;1,1,$I150-$K150)*SUM((Range=$K150)*(CQS=HLOOKUP($AC150,Solv_Ratio_CQS_Map,2,0))*(Bond_Mult)))*($Y150-$AA150))/($AC150-$AA150))))</f>
        <v/>
      </c>
      <c r="AJ150" s="53"/>
      <c r="AK150" s="121" t="str">
        <f t="shared" si="10"/>
        <v/>
      </c>
      <c r="AL150" s="53"/>
      <c r="AM150" s="123" t="str">
        <f t="shared" si="11"/>
        <v/>
      </c>
      <c r="AN150" s="115"/>
    </row>
    <row r="151" spans="2:40" x14ac:dyDescent="0.2">
      <c r="B151" s="116"/>
      <c r="C151" s="207"/>
      <c r="D151" s="53"/>
      <c r="E151" s="208"/>
      <c r="F151" s="53"/>
      <c r="G151" s="209"/>
      <c r="H151" s="53"/>
      <c r="I151" s="210"/>
      <c r="J151" s="53"/>
      <c r="K151" s="118" t="str">
        <f t="shared" si="9"/>
        <v/>
      </c>
      <c r="L151" s="53"/>
      <c r="M151" s="211"/>
      <c r="N151" s="53"/>
      <c r="O151" s="211"/>
      <c r="P151" s="53"/>
      <c r="Q151" s="211"/>
      <c r="R151" s="53"/>
      <c r="S151" s="211"/>
      <c r="T151" s="53"/>
      <c r="U151" s="117"/>
      <c r="V151" s="53"/>
      <c r="W151" s="119"/>
      <c r="X151" s="53"/>
      <c r="Y151" s="120"/>
      <c r="Z151" s="53"/>
      <c r="AA151" s="121" t="str">
        <f t="shared" si="14"/>
        <v/>
      </c>
      <c r="AB151" s="53"/>
      <c r="AC151" s="121" t="str">
        <f t="shared" si="15"/>
        <v/>
      </c>
      <c r="AD151" s="53"/>
      <c r="AE151" s="122" t="str">
        <f t="array" ref="AE151">IF(OR($C151="",$E151="",$G151="",$I151="",$M151="",$O151="",$Q151="",$S151="",$G151="Unrated"),"",IF($Q151="Y",0,MIN(1,SUM((IF($O151="Y",Cov_Range,Range)=$K151)*(IF($O151="Y",Cov_CQS,CQS)=$G151)*(IF($S151="Y",Gilt_Base,IF($O151="Y",Cov_Bond_Base,Bond_Base))))+IF($I151&lt;1,1,$I151-$K151)*SUM((IF($O151="Y",Cov_Range,Range)=$K151)*(IF($O151="Y",Cov_CQS,CQS)=$G151)*(IF($S151="Y",Gilt_Mult,IF($O151="Y",Cov_Bond_Mult,Bond_Mult)))))))</f>
        <v/>
      </c>
      <c r="AF151" s="53"/>
      <c r="AG151" s="122" t="str">
        <f t="array" ref="AG151">IF(OR($C151="",$E151="",$G151="",$I151="",$M151="",$O151="",$Q151="",$S151="",$G151&lt;&gt;"Unrated",$M151="Y"),"",MIN(1,IF(AND(U151&lt;E151,U151&gt;=E151*(1-(SUM((Range=$K151)*(Bond_Base_UR))+IF($I151&lt;1,1,$I151-$K151)*SUM((Range=$K151)*(Bond_Mult_UR))))),0.5*((SUM((Range=$K151)*(Bond_Base_UR))+IF($I151&lt;1,1,$I151-$K151)*SUM((Range=$K151)*(Bond_Mult_UR)))+((E151-U151)/E151)),IF(U151&gt;=E151,0.5,1)*(SUM((Range=$K151)*(Bond_Base_UR))+IF($I151&lt;1,1,$I151-$K151)*SUM((Range=$K151)*(Bond_Mult_UR))))))</f>
        <v/>
      </c>
      <c r="AH151" s="53"/>
      <c r="AI151" s="122" t="str">
        <f t="array" ref="AI151">IF(OR($C151="",$E151="",$G151="",$I151="",$M151="",$O151="",$Q151="",$S151="",$G151&lt;&gt;"Unrated",$M151&lt;&gt;"Y"),"",MIN(1,IF(OR($W151&lt;&gt;"Y",$AA151=$AC151),SUM((Range=$K151)*(CQS=IF($W151&lt;&gt;"Y",0,IF($AC151=196%,1,6)))*(IF($W151&lt;&gt;"Y",Bond_Base_MCR,Bond_Base)))+IF($I151&lt;1,1,$I151-$K151)*SUM((Range=$K151)*(CQS=IF($W151&lt;&gt;"Y",0,IF($AC151=196%,1,6)))*(IF($W151&lt;&gt;"Y",Bond_Mult_MCR,Bond_Mult))),((SUM((Range=$K151)*(CQS=HLOOKUP($AA151,Solv_Ratio_CQS_Map,2,0))*(Bond_Base))+IF($I151&lt;1,1,$I151-$K151)*SUM((Range=$K151)*(CQS=HLOOKUP($AA151,Solv_Ratio_CQS_Map,2,0))*(Bond_Mult)))*($AC151-$Y151)+(SUM((Range=$K151)*(CQS=HLOOKUP($AC151,Solv_Ratio_CQS_Map,2,0))*(Bond_Base))+IF($I151&lt;1,1,$I151-$K151)*SUM((Range=$K151)*(CQS=HLOOKUP($AC151,Solv_Ratio_CQS_Map,2,0))*(Bond_Mult)))*($Y151-$AA151))/($AC151-$AA151))))</f>
        <v/>
      </c>
      <c r="AJ151" s="53"/>
      <c r="AK151" s="121" t="str">
        <f t="shared" si="10"/>
        <v/>
      </c>
      <c r="AL151" s="53"/>
      <c r="AM151" s="123" t="str">
        <f t="shared" si="11"/>
        <v/>
      </c>
      <c r="AN151" s="115"/>
    </row>
    <row r="152" spans="2:40" x14ac:dyDescent="0.2">
      <c r="B152" s="116"/>
      <c r="C152" s="207"/>
      <c r="D152" s="53"/>
      <c r="E152" s="208"/>
      <c r="F152" s="53"/>
      <c r="G152" s="209"/>
      <c r="H152" s="53"/>
      <c r="I152" s="210"/>
      <c r="J152" s="53"/>
      <c r="K152" s="118" t="str">
        <f t="shared" si="9"/>
        <v/>
      </c>
      <c r="L152" s="53"/>
      <c r="M152" s="211"/>
      <c r="N152" s="53"/>
      <c r="O152" s="211"/>
      <c r="P152" s="53"/>
      <c r="Q152" s="211"/>
      <c r="R152" s="53"/>
      <c r="S152" s="211"/>
      <c r="T152" s="53"/>
      <c r="U152" s="117"/>
      <c r="V152" s="53"/>
      <c r="W152" s="119"/>
      <c r="X152" s="53"/>
      <c r="Y152" s="120"/>
      <c r="Z152" s="53"/>
      <c r="AA152" s="121" t="str">
        <f t="shared" si="14"/>
        <v/>
      </c>
      <c r="AB152" s="53"/>
      <c r="AC152" s="121" t="str">
        <f t="shared" si="15"/>
        <v/>
      </c>
      <c r="AD152" s="53"/>
      <c r="AE152" s="122" t="str">
        <f t="array" ref="AE152">IF(OR($C152="",$E152="",$G152="",$I152="",$M152="",$O152="",$Q152="",$S152="",$G152="Unrated"),"",IF($Q152="Y",0,MIN(1,SUM((IF($O152="Y",Cov_Range,Range)=$K152)*(IF($O152="Y",Cov_CQS,CQS)=$G152)*(IF($S152="Y",Gilt_Base,IF($O152="Y",Cov_Bond_Base,Bond_Base))))+IF($I152&lt;1,1,$I152-$K152)*SUM((IF($O152="Y",Cov_Range,Range)=$K152)*(IF($O152="Y",Cov_CQS,CQS)=$G152)*(IF($S152="Y",Gilt_Mult,IF($O152="Y",Cov_Bond_Mult,Bond_Mult)))))))</f>
        <v/>
      </c>
      <c r="AF152" s="53"/>
      <c r="AG152" s="122" t="str">
        <f t="array" ref="AG152">IF(OR($C152="",$E152="",$G152="",$I152="",$M152="",$O152="",$Q152="",$S152="",$G152&lt;&gt;"Unrated",$M152="Y"),"",MIN(1,IF(AND(U152&lt;E152,U152&gt;=E152*(1-(SUM((Range=$K152)*(Bond_Base_UR))+IF($I152&lt;1,1,$I152-$K152)*SUM((Range=$K152)*(Bond_Mult_UR))))),0.5*((SUM((Range=$K152)*(Bond_Base_UR))+IF($I152&lt;1,1,$I152-$K152)*SUM((Range=$K152)*(Bond_Mult_UR)))+((E152-U152)/E152)),IF(U152&gt;=E152,0.5,1)*(SUM((Range=$K152)*(Bond_Base_UR))+IF($I152&lt;1,1,$I152-$K152)*SUM((Range=$K152)*(Bond_Mult_UR))))))</f>
        <v/>
      </c>
      <c r="AH152" s="53"/>
      <c r="AI152" s="122" t="str">
        <f t="array" ref="AI152">IF(OR($C152="",$E152="",$G152="",$I152="",$M152="",$O152="",$Q152="",$S152="",$G152&lt;&gt;"Unrated",$M152&lt;&gt;"Y"),"",MIN(1,IF(OR($W152&lt;&gt;"Y",$AA152=$AC152),SUM((Range=$K152)*(CQS=IF($W152&lt;&gt;"Y",0,IF($AC152=196%,1,6)))*(IF($W152&lt;&gt;"Y",Bond_Base_MCR,Bond_Base)))+IF($I152&lt;1,1,$I152-$K152)*SUM((Range=$K152)*(CQS=IF($W152&lt;&gt;"Y",0,IF($AC152=196%,1,6)))*(IF($W152&lt;&gt;"Y",Bond_Mult_MCR,Bond_Mult))),((SUM((Range=$K152)*(CQS=HLOOKUP($AA152,Solv_Ratio_CQS_Map,2,0))*(Bond_Base))+IF($I152&lt;1,1,$I152-$K152)*SUM((Range=$K152)*(CQS=HLOOKUP($AA152,Solv_Ratio_CQS_Map,2,0))*(Bond_Mult)))*($AC152-$Y152)+(SUM((Range=$K152)*(CQS=HLOOKUP($AC152,Solv_Ratio_CQS_Map,2,0))*(Bond_Base))+IF($I152&lt;1,1,$I152-$K152)*SUM((Range=$K152)*(CQS=HLOOKUP($AC152,Solv_Ratio_CQS_Map,2,0))*(Bond_Mult)))*($Y152-$AA152))/($AC152-$AA152))))</f>
        <v/>
      </c>
      <c r="AJ152" s="53"/>
      <c r="AK152" s="121" t="str">
        <f t="shared" si="10"/>
        <v/>
      </c>
      <c r="AL152" s="53"/>
      <c r="AM152" s="123" t="str">
        <f t="shared" si="11"/>
        <v/>
      </c>
      <c r="AN152" s="115"/>
    </row>
    <row r="153" spans="2:40" x14ac:dyDescent="0.2">
      <c r="B153" s="116"/>
      <c r="C153" s="207"/>
      <c r="D153" s="53"/>
      <c r="E153" s="208"/>
      <c r="F153" s="53"/>
      <c r="G153" s="209"/>
      <c r="H153" s="53"/>
      <c r="I153" s="210"/>
      <c r="J153" s="53"/>
      <c r="K153" s="118" t="str">
        <f t="shared" si="9"/>
        <v/>
      </c>
      <c r="L153" s="53"/>
      <c r="M153" s="211"/>
      <c r="N153" s="53"/>
      <c r="O153" s="211"/>
      <c r="P153" s="53"/>
      <c r="Q153" s="211"/>
      <c r="R153" s="53"/>
      <c r="S153" s="211"/>
      <c r="T153" s="53"/>
      <c r="U153" s="117"/>
      <c r="V153" s="53"/>
      <c r="W153" s="119"/>
      <c r="X153" s="53"/>
      <c r="Y153" s="120"/>
      <c r="Z153" s="53"/>
      <c r="AA153" s="121" t="str">
        <f t="shared" si="14"/>
        <v/>
      </c>
      <c r="AB153" s="53"/>
      <c r="AC153" s="121" t="str">
        <f t="shared" si="15"/>
        <v/>
      </c>
      <c r="AD153" s="53"/>
      <c r="AE153" s="122" t="str">
        <f t="array" ref="AE153">IF(OR($C153="",$E153="",$G153="",$I153="",$M153="",$O153="",$Q153="",$S153="",$G153="Unrated"),"",IF($Q153="Y",0,MIN(1,SUM((IF($O153="Y",Cov_Range,Range)=$K153)*(IF($O153="Y",Cov_CQS,CQS)=$G153)*(IF($S153="Y",Gilt_Base,IF($O153="Y",Cov_Bond_Base,Bond_Base))))+IF($I153&lt;1,1,$I153-$K153)*SUM((IF($O153="Y",Cov_Range,Range)=$K153)*(IF($O153="Y",Cov_CQS,CQS)=$G153)*(IF($S153="Y",Gilt_Mult,IF($O153="Y",Cov_Bond_Mult,Bond_Mult)))))))</f>
        <v/>
      </c>
      <c r="AF153" s="53"/>
      <c r="AG153" s="122" t="str">
        <f t="array" ref="AG153">IF(OR($C153="",$E153="",$G153="",$I153="",$M153="",$O153="",$Q153="",$S153="",$G153&lt;&gt;"Unrated",$M153="Y"),"",MIN(1,IF(AND(U153&lt;E153,U153&gt;=E153*(1-(SUM((Range=$K153)*(Bond_Base_UR))+IF($I153&lt;1,1,$I153-$K153)*SUM((Range=$K153)*(Bond_Mult_UR))))),0.5*((SUM((Range=$K153)*(Bond_Base_UR))+IF($I153&lt;1,1,$I153-$K153)*SUM((Range=$K153)*(Bond_Mult_UR)))+((E153-U153)/E153)),IF(U153&gt;=E153,0.5,1)*(SUM((Range=$K153)*(Bond_Base_UR))+IF($I153&lt;1,1,$I153-$K153)*SUM((Range=$K153)*(Bond_Mult_UR))))))</f>
        <v/>
      </c>
      <c r="AH153" s="53"/>
      <c r="AI153" s="122" t="str">
        <f t="array" ref="AI153">IF(OR($C153="",$E153="",$G153="",$I153="",$M153="",$O153="",$Q153="",$S153="",$G153&lt;&gt;"Unrated",$M153&lt;&gt;"Y"),"",MIN(1,IF(OR($W153&lt;&gt;"Y",$AA153=$AC153),SUM((Range=$K153)*(CQS=IF($W153&lt;&gt;"Y",0,IF($AC153=196%,1,6)))*(IF($W153&lt;&gt;"Y",Bond_Base_MCR,Bond_Base)))+IF($I153&lt;1,1,$I153-$K153)*SUM((Range=$K153)*(CQS=IF($W153&lt;&gt;"Y",0,IF($AC153=196%,1,6)))*(IF($W153&lt;&gt;"Y",Bond_Mult_MCR,Bond_Mult))),((SUM((Range=$K153)*(CQS=HLOOKUP($AA153,Solv_Ratio_CQS_Map,2,0))*(Bond_Base))+IF($I153&lt;1,1,$I153-$K153)*SUM((Range=$K153)*(CQS=HLOOKUP($AA153,Solv_Ratio_CQS_Map,2,0))*(Bond_Mult)))*($AC153-$Y153)+(SUM((Range=$K153)*(CQS=HLOOKUP($AC153,Solv_Ratio_CQS_Map,2,0))*(Bond_Base))+IF($I153&lt;1,1,$I153-$K153)*SUM((Range=$K153)*(CQS=HLOOKUP($AC153,Solv_Ratio_CQS_Map,2,0))*(Bond_Mult)))*($Y153-$AA153))/($AC153-$AA153))))</f>
        <v/>
      </c>
      <c r="AJ153" s="53"/>
      <c r="AK153" s="121" t="str">
        <f t="shared" si="10"/>
        <v/>
      </c>
      <c r="AL153" s="53"/>
      <c r="AM153" s="123" t="str">
        <f t="shared" si="11"/>
        <v/>
      </c>
      <c r="AN153" s="115"/>
    </row>
    <row r="154" spans="2:40" x14ac:dyDescent="0.2">
      <c r="B154" s="116"/>
      <c r="C154" s="207"/>
      <c r="D154" s="53"/>
      <c r="E154" s="208"/>
      <c r="F154" s="53"/>
      <c r="G154" s="209"/>
      <c r="H154" s="53"/>
      <c r="I154" s="210"/>
      <c r="J154" s="53"/>
      <c r="K154" s="118" t="str">
        <f t="shared" si="9"/>
        <v/>
      </c>
      <c r="L154" s="53"/>
      <c r="M154" s="211"/>
      <c r="N154" s="53"/>
      <c r="O154" s="211"/>
      <c r="P154" s="53"/>
      <c r="Q154" s="211"/>
      <c r="R154" s="53"/>
      <c r="S154" s="211"/>
      <c r="T154" s="53"/>
      <c r="U154" s="117"/>
      <c r="V154" s="53"/>
      <c r="W154" s="119"/>
      <c r="X154" s="53"/>
      <c r="Y154" s="120"/>
      <c r="Z154" s="53"/>
      <c r="AA154" s="121" t="str">
        <f t="shared" si="14"/>
        <v/>
      </c>
      <c r="AB154" s="53"/>
      <c r="AC154" s="121" t="str">
        <f t="shared" si="15"/>
        <v/>
      </c>
      <c r="AD154" s="53"/>
      <c r="AE154" s="122" t="str">
        <f t="array" ref="AE154">IF(OR($C154="",$E154="",$G154="",$I154="",$M154="",$O154="",$Q154="",$S154="",$G154="Unrated"),"",IF($Q154="Y",0,MIN(1,SUM((IF($O154="Y",Cov_Range,Range)=$K154)*(IF($O154="Y",Cov_CQS,CQS)=$G154)*(IF($S154="Y",Gilt_Base,IF($O154="Y",Cov_Bond_Base,Bond_Base))))+IF($I154&lt;1,1,$I154-$K154)*SUM((IF($O154="Y",Cov_Range,Range)=$K154)*(IF($O154="Y",Cov_CQS,CQS)=$G154)*(IF($S154="Y",Gilt_Mult,IF($O154="Y",Cov_Bond_Mult,Bond_Mult)))))))</f>
        <v/>
      </c>
      <c r="AF154" s="53"/>
      <c r="AG154" s="122" t="str">
        <f t="array" ref="AG154">IF(OR($C154="",$E154="",$G154="",$I154="",$M154="",$O154="",$Q154="",$S154="",$G154&lt;&gt;"Unrated",$M154="Y"),"",MIN(1,IF(AND(U154&lt;E154,U154&gt;=E154*(1-(SUM((Range=$K154)*(Bond_Base_UR))+IF($I154&lt;1,1,$I154-$K154)*SUM((Range=$K154)*(Bond_Mult_UR))))),0.5*((SUM((Range=$K154)*(Bond_Base_UR))+IF($I154&lt;1,1,$I154-$K154)*SUM((Range=$K154)*(Bond_Mult_UR)))+((E154-U154)/E154)),IF(U154&gt;=E154,0.5,1)*(SUM((Range=$K154)*(Bond_Base_UR))+IF($I154&lt;1,1,$I154-$K154)*SUM((Range=$K154)*(Bond_Mult_UR))))))</f>
        <v/>
      </c>
      <c r="AH154" s="53"/>
      <c r="AI154" s="122" t="str">
        <f t="array" ref="AI154">IF(OR($C154="",$E154="",$G154="",$I154="",$M154="",$O154="",$Q154="",$S154="",$G154&lt;&gt;"Unrated",$M154&lt;&gt;"Y"),"",MIN(1,IF(OR($W154&lt;&gt;"Y",$AA154=$AC154),SUM((Range=$K154)*(CQS=IF($W154&lt;&gt;"Y",0,IF($AC154=196%,1,6)))*(IF($W154&lt;&gt;"Y",Bond_Base_MCR,Bond_Base)))+IF($I154&lt;1,1,$I154-$K154)*SUM((Range=$K154)*(CQS=IF($W154&lt;&gt;"Y",0,IF($AC154=196%,1,6)))*(IF($W154&lt;&gt;"Y",Bond_Mult_MCR,Bond_Mult))),((SUM((Range=$K154)*(CQS=HLOOKUP($AA154,Solv_Ratio_CQS_Map,2,0))*(Bond_Base))+IF($I154&lt;1,1,$I154-$K154)*SUM((Range=$K154)*(CQS=HLOOKUP($AA154,Solv_Ratio_CQS_Map,2,0))*(Bond_Mult)))*($AC154-$Y154)+(SUM((Range=$K154)*(CQS=HLOOKUP($AC154,Solv_Ratio_CQS_Map,2,0))*(Bond_Base))+IF($I154&lt;1,1,$I154-$K154)*SUM((Range=$K154)*(CQS=HLOOKUP($AC154,Solv_Ratio_CQS_Map,2,0))*(Bond_Mult)))*($Y154-$AA154))/($AC154-$AA154))))</f>
        <v/>
      </c>
      <c r="AJ154" s="53"/>
      <c r="AK154" s="121" t="str">
        <f t="shared" si="10"/>
        <v/>
      </c>
      <c r="AL154" s="53"/>
      <c r="AM154" s="123" t="str">
        <f t="shared" si="11"/>
        <v/>
      </c>
      <c r="AN154" s="115"/>
    </row>
    <row r="155" spans="2:40" x14ac:dyDescent="0.2">
      <c r="B155" s="116"/>
      <c r="C155" s="207"/>
      <c r="D155" s="53"/>
      <c r="E155" s="208"/>
      <c r="F155" s="53"/>
      <c r="G155" s="209"/>
      <c r="H155" s="53"/>
      <c r="I155" s="210"/>
      <c r="J155" s="53"/>
      <c r="K155" s="118" t="str">
        <f t="shared" si="9"/>
        <v/>
      </c>
      <c r="L155" s="53"/>
      <c r="M155" s="211"/>
      <c r="N155" s="53"/>
      <c r="O155" s="211"/>
      <c r="P155" s="53"/>
      <c r="Q155" s="211"/>
      <c r="R155" s="53"/>
      <c r="S155" s="211"/>
      <c r="T155" s="53"/>
      <c r="U155" s="117"/>
      <c r="V155" s="53"/>
      <c r="W155" s="119"/>
      <c r="X155" s="53"/>
      <c r="Y155" s="120"/>
      <c r="Z155" s="53"/>
      <c r="AA155" s="121" t="str">
        <f t="shared" si="14"/>
        <v/>
      </c>
      <c r="AB155" s="53"/>
      <c r="AC155" s="121" t="str">
        <f t="shared" si="15"/>
        <v/>
      </c>
      <c r="AD155" s="53"/>
      <c r="AE155" s="122" t="str">
        <f t="array" ref="AE155">IF(OR($C155="",$E155="",$G155="",$I155="",$M155="",$O155="",$Q155="",$S155="",$G155="Unrated"),"",IF($Q155="Y",0,MIN(1,SUM((IF($O155="Y",Cov_Range,Range)=$K155)*(IF($O155="Y",Cov_CQS,CQS)=$G155)*(IF($S155="Y",Gilt_Base,IF($O155="Y",Cov_Bond_Base,Bond_Base))))+IF($I155&lt;1,1,$I155-$K155)*SUM((IF($O155="Y",Cov_Range,Range)=$K155)*(IF($O155="Y",Cov_CQS,CQS)=$G155)*(IF($S155="Y",Gilt_Mult,IF($O155="Y",Cov_Bond_Mult,Bond_Mult)))))))</f>
        <v/>
      </c>
      <c r="AF155" s="53"/>
      <c r="AG155" s="122" t="str">
        <f t="array" ref="AG155">IF(OR($C155="",$E155="",$G155="",$I155="",$M155="",$O155="",$Q155="",$S155="",$G155&lt;&gt;"Unrated",$M155="Y"),"",MIN(1,IF(AND(U155&lt;E155,U155&gt;=E155*(1-(SUM((Range=$K155)*(Bond_Base_UR))+IF($I155&lt;1,1,$I155-$K155)*SUM((Range=$K155)*(Bond_Mult_UR))))),0.5*((SUM((Range=$K155)*(Bond_Base_UR))+IF($I155&lt;1,1,$I155-$K155)*SUM((Range=$K155)*(Bond_Mult_UR)))+((E155-U155)/E155)),IF(U155&gt;=E155,0.5,1)*(SUM((Range=$K155)*(Bond_Base_UR))+IF($I155&lt;1,1,$I155-$K155)*SUM((Range=$K155)*(Bond_Mult_UR))))))</f>
        <v/>
      </c>
      <c r="AH155" s="53"/>
      <c r="AI155" s="122" t="str">
        <f t="array" ref="AI155">IF(OR($C155="",$E155="",$G155="",$I155="",$M155="",$O155="",$Q155="",$S155="",$G155&lt;&gt;"Unrated",$M155&lt;&gt;"Y"),"",MIN(1,IF(OR($W155&lt;&gt;"Y",$AA155=$AC155),SUM((Range=$K155)*(CQS=IF($W155&lt;&gt;"Y",0,IF($AC155=196%,1,6)))*(IF($W155&lt;&gt;"Y",Bond_Base_MCR,Bond_Base)))+IF($I155&lt;1,1,$I155-$K155)*SUM((Range=$K155)*(CQS=IF($W155&lt;&gt;"Y",0,IF($AC155=196%,1,6)))*(IF($W155&lt;&gt;"Y",Bond_Mult_MCR,Bond_Mult))),((SUM((Range=$K155)*(CQS=HLOOKUP($AA155,Solv_Ratio_CQS_Map,2,0))*(Bond_Base))+IF($I155&lt;1,1,$I155-$K155)*SUM((Range=$K155)*(CQS=HLOOKUP($AA155,Solv_Ratio_CQS_Map,2,0))*(Bond_Mult)))*($AC155-$Y155)+(SUM((Range=$K155)*(CQS=HLOOKUP($AC155,Solv_Ratio_CQS_Map,2,0))*(Bond_Base))+IF($I155&lt;1,1,$I155-$K155)*SUM((Range=$K155)*(CQS=HLOOKUP($AC155,Solv_Ratio_CQS_Map,2,0))*(Bond_Mult)))*($Y155-$AA155))/($AC155-$AA155))))</f>
        <v/>
      </c>
      <c r="AJ155" s="53"/>
      <c r="AK155" s="121" t="str">
        <f t="shared" si="10"/>
        <v/>
      </c>
      <c r="AL155" s="53"/>
      <c r="AM155" s="123" t="str">
        <f t="shared" si="11"/>
        <v/>
      </c>
      <c r="AN155" s="115"/>
    </row>
    <row r="156" spans="2:40" x14ac:dyDescent="0.2">
      <c r="B156" s="116"/>
      <c r="C156" s="207"/>
      <c r="D156" s="53"/>
      <c r="E156" s="208"/>
      <c r="F156" s="53"/>
      <c r="G156" s="209"/>
      <c r="H156" s="53"/>
      <c r="I156" s="210"/>
      <c r="J156" s="53"/>
      <c r="K156" s="118" t="str">
        <f t="shared" si="9"/>
        <v/>
      </c>
      <c r="L156" s="53"/>
      <c r="M156" s="211"/>
      <c r="N156" s="53"/>
      <c r="O156" s="211"/>
      <c r="P156" s="53"/>
      <c r="Q156" s="211"/>
      <c r="R156" s="53"/>
      <c r="S156" s="211"/>
      <c r="T156" s="53"/>
      <c r="U156" s="117"/>
      <c r="V156" s="53"/>
      <c r="W156" s="119"/>
      <c r="X156" s="53"/>
      <c r="Y156" s="120"/>
      <c r="Z156" s="53"/>
      <c r="AA156" s="121" t="str">
        <f>IF(AND($G156="Unrated",$M156="Y",$W156="Y"),IF($Y156&gt;=196%,196%,IF($Y156&lt;=75%,75%,IF($Y156&gt;175%,175%,IF($Y156&gt;122%,122%,IF($Y156&gt;95%,95%,75%))))),"")</f>
        <v/>
      </c>
      <c r="AB156" s="53"/>
      <c r="AC156" s="121" t="str">
        <f>IF(AND($G156="Unrated",$M156="Y",$W156="Y"),IF($Y156&gt;=196%,196%,IF($Y156&lt;=75%,75%,IF($Y156&gt;175%,196%,IF($Y156&gt;122%,175%,IF($Y156&gt;95%,122%,95%))))),"")</f>
        <v/>
      </c>
      <c r="AD156" s="53"/>
      <c r="AE156" s="122" t="str">
        <f t="array" ref="AE156">IF(OR($C156="",$E156="",$G156="",$I156="",$M156="",$O156="",$Q156="",$S156="",$G156="Unrated"),"",IF($Q156="Y",0,MIN(1,SUM((IF($O156="Y",Cov_Range,Range)=$K156)*(IF($O156="Y",Cov_CQS,CQS)=$G156)*(IF($S156="Y",Gilt_Base,IF($O156="Y",Cov_Bond_Base,Bond_Base))))+IF($I156&lt;1,1,$I156-$K156)*SUM((IF($O156="Y",Cov_Range,Range)=$K156)*(IF($O156="Y",Cov_CQS,CQS)=$G156)*(IF($S156="Y",Gilt_Mult,IF($O156="Y",Cov_Bond_Mult,Bond_Mult)))))))</f>
        <v/>
      </c>
      <c r="AF156" s="53"/>
      <c r="AG156" s="122" t="str">
        <f t="array" ref="AG156">IF(OR($C156="",$E156="",$G156="",$I156="",$M156="",$O156="",$Q156="",$S156="",$G156&lt;&gt;"Unrated",$M156="Y"),"",MIN(1,IF(AND(U156&lt;E156,U156&gt;=E156*(1-(SUM((Range=$K156)*(Bond_Base_UR))+IF($I156&lt;1,1,$I156-$K156)*SUM((Range=$K156)*(Bond_Mult_UR))))),0.5*((SUM((Range=$K156)*(Bond_Base_UR))+IF($I156&lt;1,1,$I156-$K156)*SUM((Range=$K156)*(Bond_Mult_UR)))+((E156-U156)/E156)),IF(U156&gt;=E156,0.5,1)*(SUM((Range=$K156)*(Bond_Base_UR))+IF($I156&lt;1,1,$I156-$K156)*SUM((Range=$K156)*(Bond_Mult_UR))))))</f>
        <v/>
      </c>
      <c r="AH156" s="53"/>
      <c r="AI156" s="122" t="str">
        <f t="array" ref="AI156">IF(OR($C156="",$E156="",$G156="",$I156="",$M156="",$O156="",$Q156="",$S156="",$G156&lt;&gt;"Unrated",$M156&lt;&gt;"Y"),"",MIN(1,IF(OR($W156&lt;&gt;"Y",$AA156=$AC156),SUM((Range=$K156)*(CQS=IF($W156&lt;&gt;"Y",0,IF($AC156=196%,1,6)))*(IF($W156&lt;&gt;"Y",Bond_Base_MCR,Bond_Base)))+IF($I156&lt;1,1,$I156-$K156)*SUM((Range=$K156)*(CQS=IF($W156&lt;&gt;"Y",0,IF($AC156=196%,1,6)))*(IF($W156&lt;&gt;"Y",Bond_Mult_MCR,Bond_Mult))),((SUM((Range=$K156)*(CQS=HLOOKUP($AA156,Solv_Ratio_CQS_Map,2,0))*(Bond_Base))+IF($I156&lt;1,1,$I156-$K156)*SUM((Range=$K156)*(CQS=HLOOKUP($AA156,Solv_Ratio_CQS_Map,2,0))*(Bond_Mult)))*($AC156-$Y156)+(SUM((Range=$K156)*(CQS=HLOOKUP($AC156,Solv_Ratio_CQS_Map,2,0))*(Bond_Base))+IF($I156&lt;1,1,$I156-$K156)*SUM((Range=$K156)*(CQS=HLOOKUP($AC156,Solv_Ratio_CQS_Map,2,0))*(Bond_Mult)))*($Y156-$AA156))/($AC156-$AA156))))</f>
        <v/>
      </c>
      <c r="AJ156" s="53"/>
      <c r="AK156" s="121" t="str">
        <f t="shared" si="10"/>
        <v/>
      </c>
      <c r="AL156" s="53"/>
      <c r="AM156" s="123" t="str">
        <f t="shared" si="11"/>
        <v/>
      </c>
      <c r="AN156" s="115"/>
    </row>
    <row r="157" spans="2:40" x14ac:dyDescent="0.2">
      <c r="B157" s="116"/>
      <c r="C157" s="207"/>
      <c r="D157" s="53"/>
      <c r="E157" s="208"/>
      <c r="F157" s="53"/>
      <c r="G157" s="209"/>
      <c r="H157" s="53"/>
      <c r="I157" s="210"/>
      <c r="J157" s="53"/>
      <c r="K157" s="118" t="str">
        <f t="shared" si="9"/>
        <v/>
      </c>
      <c r="L157" s="53"/>
      <c r="M157" s="211"/>
      <c r="N157" s="53"/>
      <c r="O157" s="211"/>
      <c r="P157" s="53"/>
      <c r="Q157" s="211"/>
      <c r="R157" s="53"/>
      <c r="S157" s="211"/>
      <c r="T157" s="53"/>
      <c r="U157" s="117"/>
      <c r="V157" s="53"/>
      <c r="W157" s="119"/>
      <c r="X157" s="53"/>
      <c r="Y157" s="120"/>
      <c r="Z157" s="53"/>
      <c r="AA157" s="121" t="str">
        <f>IF(AND($G157="Unrated",$M157="Y",$W157="Y"),IF($Y157&gt;=196%,196%,IF($Y157&lt;=75%,75%,IF($Y157&gt;175%,175%,IF($Y157&gt;122%,122%,IF($Y157&gt;95%,95%,75%))))),"")</f>
        <v/>
      </c>
      <c r="AB157" s="53"/>
      <c r="AC157" s="121" t="str">
        <f>IF(AND($G157="Unrated",$M157="Y",$W157="Y"),IF($Y157&gt;=196%,196%,IF($Y157&lt;=75%,75%,IF($Y157&gt;175%,196%,IF($Y157&gt;122%,175%,IF($Y157&gt;95%,122%,95%))))),"")</f>
        <v/>
      </c>
      <c r="AD157" s="53"/>
      <c r="AE157" s="122" t="str">
        <f t="array" ref="AE157">IF(OR($C157="",$E157="",$G157="",$I157="",$M157="",$O157="",$Q157="",$S157="",$G157="Unrated"),"",IF($Q157="Y",0,MIN(1,SUM((IF($O157="Y",Cov_Range,Range)=$K157)*(IF($O157="Y",Cov_CQS,CQS)=$G157)*(IF($S157="Y",Gilt_Base,IF($O157="Y",Cov_Bond_Base,Bond_Base))))+IF($I157&lt;1,1,$I157-$K157)*SUM((IF($O157="Y",Cov_Range,Range)=$K157)*(IF($O157="Y",Cov_CQS,CQS)=$G157)*(IF($S157="Y",Gilt_Mult,IF($O157="Y",Cov_Bond_Mult,Bond_Mult)))))))</f>
        <v/>
      </c>
      <c r="AF157" s="53"/>
      <c r="AG157" s="122" t="str">
        <f t="array" ref="AG157">IF(OR($C157="",$E157="",$G157="",$I157="",$M157="",$O157="",$Q157="",$S157="",$G157&lt;&gt;"Unrated",$M157="Y"),"",MIN(1,IF(AND(U157&lt;E157,U157&gt;=E157*(1-(SUM((Range=$K157)*(Bond_Base_UR))+IF($I157&lt;1,1,$I157-$K157)*SUM((Range=$K157)*(Bond_Mult_UR))))),0.5*((SUM((Range=$K157)*(Bond_Base_UR))+IF($I157&lt;1,1,$I157-$K157)*SUM((Range=$K157)*(Bond_Mult_UR)))+((E157-U157)/E157)),IF(U157&gt;=E157,0.5,1)*(SUM((Range=$K157)*(Bond_Base_UR))+IF($I157&lt;1,1,$I157-$K157)*SUM((Range=$K157)*(Bond_Mult_UR))))))</f>
        <v/>
      </c>
      <c r="AH157" s="53"/>
      <c r="AI157" s="122" t="str">
        <f t="array" ref="AI157">IF(OR($C157="",$E157="",$G157="",$I157="",$M157="",$O157="",$Q157="",$S157="",$G157&lt;&gt;"Unrated",$M157&lt;&gt;"Y"),"",MIN(1,IF(OR($W157&lt;&gt;"Y",$AA157=$AC157),SUM((Range=$K157)*(CQS=IF($W157&lt;&gt;"Y",0,IF($AC157=196%,1,6)))*(IF($W157&lt;&gt;"Y",Bond_Base_MCR,Bond_Base)))+IF($I157&lt;1,1,$I157-$K157)*SUM((Range=$K157)*(CQS=IF($W157&lt;&gt;"Y",0,IF($AC157=196%,1,6)))*(IF($W157&lt;&gt;"Y",Bond_Mult_MCR,Bond_Mult))),((SUM((Range=$K157)*(CQS=HLOOKUP($AA157,Solv_Ratio_CQS_Map,2,0))*(Bond_Base))+IF($I157&lt;1,1,$I157-$K157)*SUM((Range=$K157)*(CQS=HLOOKUP($AA157,Solv_Ratio_CQS_Map,2,0))*(Bond_Mult)))*($AC157-$Y157)+(SUM((Range=$K157)*(CQS=HLOOKUP($AC157,Solv_Ratio_CQS_Map,2,0))*(Bond_Base))+IF($I157&lt;1,1,$I157-$K157)*SUM((Range=$K157)*(CQS=HLOOKUP($AC157,Solv_Ratio_CQS_Map,2,0))*(Bond_Mult)))*($Y157-$AA157))/($AC157-$AA157))))</f>
        <v/>
      </c>
      <c r="AJ157" s="53"/>
      <c r="AK157" s="121" t="str">
        <f t="shared" si="10"/>
        <v/>
      </c>
      <c r="AL157" s="53"/>
      <c r="AM157" s="123" t="str">
        <f t="shared" si="11"/>
        <v/>
      </c>
      <c r="AN157" s="115"/>
    </row>
    <row r="158" spans="2:40" x14ac:dyDescent="0.2">
      <c r="B158" s="116"/>
      <c r="C158" s="207"/>
      <c r="D158" s="53"/>
      <c r="E158" s="208"/>
      <c r="F158" s="53"/>
      <c r="G158" s="209"/>
      <c r="H158" s="53"/>
      <c r="I158" s="210"/>
      <c r="J158" s="53"/>
      <c r="K158" s="118" t="str">
        <f t="shared" si="9"/>
        <v/>
      </c>
      <c r="L158" s="53"/>
      <c r="M158" s="211"/>
      <c r="N158" s="53"/>
      <c r="O158" s="211"/>
      <c r="P158" s="53"/>
      <c r="Q158" s="211"/>
      <c r="R158" s="53"/>
      <c r="S158" s="211"/>
      <c r="T158" s="53"/>
      <c r="U158" s="117"/>
      <c r="V158" s="53"/>
      <c r="W158" s="119"/>
      <c r="X158" s="53"/>
      <c r="Y158" s="120"/>
      <c r="Z158" s="53"/>
      <c r="AA158" s="121" t="str">
        <f t="shared" ref="AA158:AA168" si="16">IF(AND($G158="Unrated",$M158="Y",$W158="Y"),IF($Y158&gt;=196%,196%,IF($Y158&lt;=75%,75%,IF($Y158&gt;175%,175%,IF($Y158&gt;122%,122%,IF($Y158&gt;95%,95%,75%))))),"")</f>
        <v/>
      </c>
      <c r="AB158" s="53"/>
      <c r="AC158" s="121" t="str">
        <f t="shared" ref="AC158:AC168" si="17">IF(AND($G158="Unrated",$M158="Y",$W158="Y"),IF($Y158&gt;=196%,196%,IF($Y158&lt;=75%,75%,IF($Y158&gt;175%,196%,IF($Y158&gt;122%,175%,IF($Y158&gt;95%,122%,95%))))),"")</f>
        <v/>
      </c>
      <c r="AD158" s="53"/>
      <c r="AE158" s="122" t="str">
        <f t="array" ref="AE158">IF(OR($C158="",$E158="",$G158="",$I158="",$M158="",$O158="",$Q158="",$S158="",$G158="Unrated"),"",IF($Q158="Y",0,MIN(1,SUM((IF($O158="Y",Cov_Range,Range)=$K158)*(IF($O158="Y",Cov_CQS,CQS)=$G158)*(IF($S158="Y",Gilt_Base,IF($O158="Y",Cov_Bond_Base,Bond_Base))))+IF($I158&lt;1,1,$I158-$K158)*SUM((IF($O158="Y",Cov_Range,Range)=$K158)*(IF($O158="Y",Cov_CQS,CQS)=$G158)*(IF($S158="Y",Gilt_Mult,IF($O158="Y",Cov_Bond_Mult,Bond_Mult)))))))</f>
        <v/>
      </c>
      <c r="AF158" s="53"/>
      <c r="AG158" s="122" t="str">
        <f t="array" ref="AG158">IF(OR($C158="",$E158="",$G158="",$I158="",$M158="",$O158="",$Q158="",$S158="",$G158&lt;&gt;"Unrated",$M158="Y"),"",MIN(1,IF(AND(U158&lt;E158,U158&gt;=E158*(1-(SUM((Range=$K158)*(Bond_Base_UR))+IF($I158&lt;1,1,$I158-$K158)*SUM((Range=$K158)*(Bond_Mult_UR))))),0.5*((SUM((Range=$K158)*(Bond_Base_UR))+IF($I158&lt;1,1,$I158-$K158)*SUM((Range=$K158)*(Bond_Mult_UR)))+((E158-U158)/E158)),IF(U158&gt;=E158,0.5,1)*(SUM((Range=$K158)*(Bond_Base_UR))+IF($I158&lt;1,1,$I158-$K158)*SUM((Range=$K158)*(Bond_Mult_UR))))))</f>
        <v/>
      </c>
      <c r="AH158" s="53"/>
      <c r="AI158" s="122" t="str">
        <f t="array" ref="AI158">IF(OR($C158="",$E158="",$G158="",$I158="",$M158="",$O158="",$Q158="",$S158="",$G158&lt;&gt;"Unrated",$M158&lt;&gt;"Y"),"",MIN(1,IF(OR($W158&lt;&gt;"Y",$AA158=$AC158),SUM((Range=$K158)*(CQS=IF($W158&lt;&gt;"Y",0,IF($AC158=196%,1,6)))*(IF($W158&lt;&gt;"Y",Bond_Base_MCR,Bond_Base)))+IF($I158&lt;1,1,$I158-$K158)*SUM((Range=$K158)*(CQS=IF($W158&lt;&gt;"Y",0,IF($AC158=196%,1,6)))*(IF($W158&lt;&gt;"Y",Bond_Mult_MCR,Bond_Mult))),((SUM((Range=$K158)*(CQS=HLOOKUP($AA158,Solv_Ratio_CQS_Map,2,0))*(Bond_Base))+IF($I158&lt;1,1,$I158-$K158)*SUM((Range=$K158)*(CQS=HLOOKUP($AA158,Solv_Ratio_CQS_Map,2,0))*(Bond_Mult)))*($AC158-$Y158)+(SUM((Range=$K158)*(CQS=HLOOKUP($AC158,Solv_Ratio_CQS_Map,2,0))*(Bond_Base))+IF($I158&lt;1,1,$I158-$K158)*SUM((Range=$K158)*(CQS=HLOOKUP($AC158,Solv_Ratio_CQS_Map,2,0))*(Bond_Mult)))*($Y158-$AA158))/($AC158-$AA158))))</f>
        <v/>
      </c>
      <c r="AJ158" s="53"/>
      <c r="AK158" s="121" t="str">
        <f t="shared" si="10"/>
        <v/>
      </c>
      <c r="AL158" s="53"/>
      <c r="AM158" s="123" t="str">
        <f t="shared" si="11"/>
        <v/>
      </c>
      <c r="AN158" s="115"/>
    </row>
    <row r="159" spans="2:40" x14ac:dyDescent="0.2">
      <c r="B159" s="116"/>
      <c r="C159" s="207"/>
      <c r="D159" s="53"/>
      <c r="E159" s="208"/>
      <c r="F159" s="53"/>
      <c r="G159" s="209"/>
      <c r="H159" s="53"/>
      <c r="I159" s="210"/>
      <c r="J159" s="53"/>
      <c r="K159" s="118" t="str">
        <f t="shared" si="9"/>
        <v/>
      </c>
      <c r="L159" s="53"/>
      <c r="M159" s="211"/>
      <c r="N159" s="53"/>
      <c r="O159" s="211"/>
      <c r="P159" s="53"/>
      <c r="Q159" s="211"/>
      <c r="R159" s="53"/>
      <c r="S159" s="211"/>
      <c r="T159" s="53"/>
      <c r="U159" s="117"/>
      <c r="V159" s="53"/>
      <c r="W159" s="119"/>
      <c r="X159" s="53"/>
      <c r="Y159" s="120"/>
      <c r="Z159" s="53"/>
      <c r="AA159" s="121" t="str">
        <f t="shared" si="16"/>
        <v/>
      </c>
      <c r="AB159" s="53"/>
      <c r="AC159" s="121" t="str">
        <f t="shared" si="17"/>
        <v/>
      </c>
      <c r="AD159" s="53"/>
      <c r="AE159" s="122" t="str">
        <f t="array" ref="AE159">IF(OR($C159="",$E159="",$G159="",$I159="",$M159="",$O159="",$Q159="",$S159="",$G159="Unrated"),"",IF($Q159="Y",0,MIN(1,SUM((IF($O159="Y",Cov_Range,Range)=$K159)*(IF($O159="Y",Cov_CQS,CQS)=$G159)*(IF($S159="Y",Gilt_Base,IF($O159="Y",Cov_Bond_Base,Bond_Base))))+IF($I159&lt;1,1,$I159-$K159)*SUM((IF($O159="Y",Cov_Range,Range)=$K159)*(IF($O159="Y",Cov_CQS,CQS)=$G159)*(IF($S159="Y",Gilt_Mult,IF($O159="Y",Cov_Bond_Mult,Bond_Mult)))))))</f>
        <v/>
      </c>
      <c r="AF159" s="53"/>
      <c r="AG159" s="122" t="str">
        <f t="array" ref="AG159">IF(OR($C159="",$E159="",$G159="",$I159="",$M159="",$O159="",$Q159="",$S159="",$G159&lt;&gt;"Unrated",$M159="Y"),"",MIN(1,IF(AND(U159&lt;E159,U159&gt;=E159*(1-(SUM((Range=$K159)*(Bond_Base_UR))+IF($I159&lt;1,1,$I159-$K159)*SUM((Range=$K159)*(Bond_Mult_UR))))),0.5*((SUM((Range=$K159)*(Bond_Base_UR))+IF($I159&lt;1,1,$I159-$K159)*SUM((Range=$K159)*(Bond_Mult_UR)))+((E159-U159)/E159)),IF(U159&gt;=E159,0.5,1)*(SUM((Range=$K159)*(Bond_Base_UR))+IF($I159&lt;1,1,$I159-$K159)*SUM((Range=$K159)*(Bond_Mult_UR))))))</f>
        <v/>
      </c>
      <c r="AH159" s="53"/>
      <c r="AI159" s="122" t="str">
        <f t="array" ref="AI159">IF(OR($C159="",$E159="",$G159="",$I159="",$M159="",$O159="",$Q159="",$S159="",$G159&lt;&gt;"Unrated",$M159&lt;&gt;"Y"),"",MIN(1,IF(OR($W159&lt;&gt;"Y",$AA159=$AC159),SUM((Range=$K159)*(CQS=IF($W159&lt;&gt;"Y",0,IF($AC159=196%,1,6)))*(IF($W159&lt;&gt;"Y",Bond_Base_MCR,Bond_Base)))+IF($I159&lt;1,1,$I159-$K159)*SUM((Range=$K159)*(CQS=IF($W159&lt;&gt;"Y",0,IF($AC159=196%,1,6)))*(IF($W159&lt;&gt;"Y",Bond_Mult_MCR,Bond_Mult))),((SUM((Range=$K159)*(CQS=HLOOKUP($AA159,Solv_Ratio_CQS_Map,2,0))*(Bond_Base))+IF($I159&lt;1,1,$I159-$K159)*SUM((Range=$K159)*(CQS=HLOOKUP($AA159,Solv_Ratio_CQS_Map,2,0))*(Bond_Mult)))*($AC159-$Y159)+(SUM((Range=$K159)*(CQS=HLOOKUP($AC159,Solv_Ratio_CQS_Map,2,0))*(Bond_Base))+IF($I159&lt;1,1,$I159-$K159)*SUM((Range=$K159)*(CQS=HLOOKUP($AC159,Solv_Ratio_CQS_Map,2,0))*(Bond_Mult)))*($Y159-$AA159))/($AC159-$AA159))))</f>
        <v/>
      </c>
      <c r="AJ159" s="53"/>
      <c r="AK159" s="121" t="str">
        <f t="shared" si="10"/>
        <v/>
      </c>
      <c r="AL159" s="53"/>
      <c r="AM159" s="123" t="str">
        <f t="shared" si="11"/>
        <v/>
      </c>
      <c r="AN159" s="115"/>
    </row>
    <row r="160" spans="2:40" x14ac:dyDescent="0.2">
      <c r="B160" s="116"/>
      <c r="C160" s="207"/>
      <c r="D160" s="53"/>
      <c r="E160" s="208"/>
      <c r="F160" s="53"/>
      <c r="G160" s="209"/>
      <c r="H160" s="53"/>
      <c r="I160" s="210"/>
      <c r="J160" s="53"/>
      <c r="K160" s="118" t="str">
        <f t="shared" si="9"/>
        <v/>
      </c>
      <c r="L160" s="53"/>
      <c r="M160" s="211"/>
      <c r="N160" s="53"/>
      <c r="O160" s="211"/>
      <c r="P160" s="53"/>
      <c r="Q160" s="211"/>
      <c r="R160" s="53"/>
      <c r="S160" s="211"/>
      <c r="T160" s="53"/>
      <c r="U160" s="117"/>
      <c r="V160" s="53"/>
      <c r="W160" s="119"/>
      <c r="X160" s="53"/>
      <c r="Y160" s="120"/>
      <c r="Z160" s="53"/>
      <c r="AA160" s="121" t="str">
        <f t="shared" si="16"/>
        <v/>
      </c>
      <c r="AB160" s="53"/>
      <c r="AC160" s="121" t="str">
        <f t="shared" si="17"/>
        <v/>
      </c>
      <c r="AD160" s="53"/>
      <c r="AE160" s="122" t="str">
        <f t="array" ref="AE160">IF(OR($C160="",$E160="",$G160="",$I160="",$M160="",$O160="",$Q160="",$S160="",$G160="Unrated"),"",IF($Q160="Y",0,MIN(1,SUM((IF($O160="Y",Cov_Range,Range)=$K160)*(IF($O160="Y",Cov_CQS,CQS)=$G160)*(IF($S160="Y",Gilt_Base,IF($O160="Y",Cov_Bond_Base,Bond_Base))))+IF($I160&lt;1,1,$I160-$K160)*SUM((IF($O160="Y",Cov_Range,Range)=$K160)*(IF($O160="Y",Cov_CQS,CQS)=$G160)*(IF($S160="Y",Gilt_Mult,IF($O160="Y",Cov_Bond_Mult,Bond_Mult)))))))</f>
        <v/>
      </c>
      <c r="AF160" s="53"/>
      <c r="AG160" s="122" t="str">
        <f t="array" ref="AG160">IF(OR($C160="",$E160="",$G160="",$I160="",$M160="",$O160="",$Q160="",$S160="",$G160&lt;&gt;"Unrated",$M160="Y"),"",MIN(1,IF(AND(U160&lt;E160,U160&gt;=E160*(1-(SUM((Range=$K160)*(Bond_Base_UR))+IF($I160&lt;1,1,$I160-$K160)*SUM((Range=$K160)*(Bond_Mult_UR))))),0.5*((SUM((Range=$K160)*(Bond_Base_UR))+IF($I160&lt;1,1,$I160-$K160)*SUM((Range=$K160)*(Bond_Mult_UR)))+((E160-U160)/E160)),IF(U160&gt;=E160,0.5,1)*(SUM((Range=$K160)*(Bond_Base_UR))+IF($I160&lt;1,1,$I160-$K160)*SUM((Range=$K160)*(Bond_Mult_UR))))))</f>
        <v/>
      </c>
      <c r="AH160" s="53"/>
      <c r="AI160" s="122" t="str">
        <f t="array" ref="AI160">IF(OR($C160="",$E160="",$G160="",$I160="",$M160="",$O160="",$Q160="",$S160="",$G160&lt;&gt;"Unrated",$M160&lt;&gt;"Y"),"",MIN(1,IF(OR($W160&lt;&gt;"Y",$AA160=$AC160),SUM((Range=$K160)*(CQS=IF($W160&lt;&gt;"Y",0,IF($AC160=196%,1,6)))*(IF($W160&lt;&gt;"Y",Bond_Base_MCR,Bond_Base)))+IF($I160&lt;1,1,$I160-$K160)*SUM((Range=$K160)*(CQS=IF($W160&lt;&gt;"Y",0,IF($AC160=196%,1,6)))*(IF($W160&lt;&gt;"Y",Bond_Mult_MCR,Bond_Mult))),((SUM((Range=$K160)*(CQS=HLOOKUP($AA160,Solv_Ratio_CQS_Map,2,0))*(Bond_Base))+IF($I160&lt;1,1,$I160-$K160)*SUM((Range=$K160)*(CQS=HLOOKUP($AA160,Solv_Ratio_CQS_Map,2,0))*(Bond_Mult)))*($AC160-$Y160)+(SUM((Range=$K160)*(CQS=HLOOKUP($AC160,Solv_Ratio_CQS_Map,2,0))*(Bond_Base))+IF($I160&lt;1,1,$I160-$K160)*SUM((Range=$K160)*(CQS=HLOOKUP($AC160,Solv_Ratio_CQS_Map,2,0))*(Bond_Mult)))*($Y160-$AA160))/($AC160-$AA160))))</f>
        <v/>
      </c>
      <c r="AJ160" s="53"/>
      <c r="AK160" s="121" t="str">
        <f t="shared" si="10"/>
        <v/>
      </c>
      <c r="AL160" s="53"/>
      <c r="AM160" s="123" t="str">
        <f t="shared" si="11"/>
        <v/>
      </c>
      <c r="AN160" s="115"/>
    </row>
    <row r="161" spans="2:40" x14ac:dyDescent="0.2">
      <c r="B161" s="116"/>
      <c r="C161" s="207"/>
      <c r="D161" s="53"/>
      <c r="E161" s="208"/>
      <c r="F161" s="53"/>
      <c r="G161" s="209"/>
      <c r="H161" s="53"/>
      <c r="I161" s="210"/>
      <c r="J161" s="53"/>
      <c r="K161" s="118" t="str">
        <f t="shared" si="9"/>
        <v/>
      </c>
      <c r="L161" s="53"/>
      <c r="M161" s="211"/>
      <c r="N161" s="53"/>
      <c r="O161" s="211"/>
      <c r="P161" s="53"/>
      <c r="Q161" s="211"/>
      <c r="R161" s="53"/>
      <c r="S161" s="211"/>
      <c r="T161" s="53"/>
      <c r="U161" s="117"/>
      <c r="V161" s="53"/>
      <c r="W161" s="119"/>
      <c r="X161" s="53"/>
      <c r="Y161" s="120"/>
      <c r="Z161" s="53"/>
      <c r="AA161" s="121" t="str">
        <f t="shared" si="16"/>
        <v/>
      </c>
      <c r="AB161" s="53"/>
      <c r="AC161" s="121" t="str">
        <f t="shared" si="17"/>
        <v/>
      </c>
      <c r="AD161" s="53"/>
      <c r="AE161" s="122" t="str">
        <f t="array" ref="AE161">IF(OR($C161="",$E161="",$G161="",$I161="",$M161="",$O161="",$Q161="",$S161="",$G161="Unrated"),"",IF($Q161="Y",0,MIN(1,SUM((IF($O161="Y",Cov_Range,Range)=$K161)*(IF($O161="Y",Cov_CQS,CQS)=$G161)*(IF($S161="Y",Gilt_Base,IF($O161="Y",Cov_Bond_Base,Bond_Base))))+IF($I161&lt;1,1,$I161-$K161)*SUM((IF($O161="Y",Cov_Range,Range)=$K161)*(IF($O161="Y",Cov_CQS,CQS)=$G161)*(IF($S161="Y",Gilt_Mult,IF($O161="Y",Cov_Bond_Mult,Bond_Mult)))))))</f>
        <v/>
      </c>
      <c r="AF161" s="53"/>
      <c r="AG161" s="122" t="str">
        <f t="array" ref="AG161">IF(OR($C161="",$E161="",$G161="",$I161="",$M161="",$O161="",$Q161="",$S161="",$G161&lt;&gt;"Unrated",$M161="Y"),"",MIN(1,IF(AND(U161&lt;E161,U161&gt;=E161*(1-(SUM((Range=$K161)*(Bond_Base_UR))+IF($I161&lt;1,1,$I161-$K161)*SUM((Range=$K161)*(Bond_Mult_UR))))),0.5*((SUM((Range=$K161)*(Bond_Base_UR))+IF($I161&lt;1,1,$I161-$K161)*SUM((Range=$K161)*(Bond_Mult_UR)))+((E161-U161)/E161)),IF(U161&gt;=E161,0.5,1)*(SUM((Range=$K161)*(Bond_Base_UR))+IF($I161&lt;1,1,$I161-$K161)*SUM((Range=$K161)*(Bond_Mult_UR))))))</f>
        <v/>
      </c>
      <c r="AH161" s="53"/>
      <c r="AI161" s="122" t="str">
        <f t="array" ref="AI161">IF(OR($C161="",$E161="",$G161="",$I161="",$M161="",$O161="",$Q161="",$S161="",$G161&lt;&gt;"Unrated",$M161&lt;&gt;"Y"),"",MIN(1,IF(OR($W161&lt;&gt;"Y",$AA161=$AC161),SUM((Range=$K161)*(CQS=IF($W161&lt;&gt;"Y",0,IF($AC161=196%,1,6)))*(IF($W161&lt;&gt;"Y",Bond_Base_MCR,Bond_Base)))+IF($I161&lt;1,1,$I161-$K161)*SUM((Range=$K161)*(CQS=IF($W161&lt;&gt;"Y",0,IF($AC161=196%,1,6)))*(IF($W161&lt;&gt;"Y",Bond_Mult_MCR,Bond_Mult))),((SUM((Range=$K161)*(CQS=HLOOKUP($AA161,Solv_Ratio_CQS_Map,2,0))*(Bond_Base))+IF($I161&lt;1,1,$I161-$K161)*SUM((Range=$K161)*(CQS=HLOOKUP($AA161,Solv_Ratio_CQS_Map,2,0))*(Bond_Mult)))*($AC161-$Y161)+(SUM((Range=$K161)*(CQS=HLOOKUP($AC161,Solv_Ratio_CQS_Map,2,0))*(Bond_Base))+IF($I161&lt;1,1,$I161-$K161)*SUM((Range=$K161)*(CQS=HLOOKUP($AC161,Solv_Ratio_CQS_Map,2,0))*(Bond_Mult)))*($Y161-$AA161))/($AC161-$AA161))))</f>
        <v/>
      </c>
      <c r="AJ161" s="53"/>
      <c r="AK161" s="121" t="str">
        <f t="shared" si="10"/>
        <v/>
      </c>
      <c r="AL161" s="53"/>
      <c r="AM161" s="123" t="str">
        <f t="shared" si="11"/>
        <v/>
      </c>
      <c r="AN161" s="115"/>
    </row>
    <row r="162" spans="2:40" x14ac:dyDescent="0.2">
      <c r="B162" s="116"/>
      <c r="C162" s="207"/>
      <c r="D162" s="53"/>
      <c r="E162" s="208"/>
      <c r="F162" s="53"/>
      <c r="G162" s="209"/>
      <c r="H162" s="53"/>
      <c r="I162" s="210"/>
      <c r="J162" s="53"/>
      <c r="K162" s="118" t="str">
        <f t="shared" si="9"/>
        <v/>
      </c>
      <c r="L162" s="53"/>
      <c r="M162" s="211"/>
      <c r="N162" s="53"/>
      <c r="O162" s="211"/>
      <c r="P162" s="53"/>
      <c r="Q162" s="211"/>
      <c r="R162" s="53"/>
      <c r="S162" s="211"/>
      <c r="T162" s="53"/>
      <c r="U162" s="117"/>
      <c r="V162" s="53"/>
      <c r="W162" s="119"/>
      <c r="X162" s="53"/>
      <c r="Y162" s="120"/>
      <c r="Z162" s="53"/>
      <c r="AA162" s="121" t="str">
        <f t="shared" si="16"/>
        <v/>
      </c>
      <c r="AB162" s="53"/>
      <c r="AC162" s="121" t="str">
        <f t="shared" si="17"/>
        <v/>
      </c>
      <c r="AD162" s="53"/>
      <c r="AE162" s="122" t="str">
        <f t="array" ref="AE162">IF(OR($C162="",$E162="",$G162="",$I162="",$M162="",$O162="",$Q162="",$S162="",$G162="Unrated"),"",IF($Q162="Y",0,MIN(1,SUM((IF($O162="Y",Cov_Range,Range)=$K162)*(IF($O162="Y",Cov_CQS,CQS)=$G162)*(IF($S162="Y",Gilt_Base,IF($O162="Y",Cov_Bond_Base,Bond_Base))))+IF($I162&lt;1,1,$I162-$K162)*SUM((IF($O162="Y",Cov_Range,Range)=$K162)*(IF($O162="Y",Cov_CQS,CQS)=$G162)*(IF($S162="Y",Gilt_Mult,IF($O162="Y",Cov_Bond_Mult,Bond_Mult)))))))</f>
        <v/>
      </c>
      <c r="AF162" s="53"/>
      <c r="AG162" s="122" t="str">
        <f t="array" ref="AG162">IF(OR($C162="",$E162="",$G162="",$I162="",$M162="",$O162="",$Q162="",$S162="",$G162&lt;&gt;"Unrated",$M162="Y"),"",MIN(1,IF(AND(U162&lt;E162,U162&gt;=E162*(1-(SUM((Range=$K162)*(Bond_Base_UR))+IF($I162&lt;1,1,$I162-$K162)*SUM((Range=$K162)*(Bond_Mult_UR))))),0.5*((SUM((Range=$K162)*(Bond_Base_UR))+IF($I162&lt;1,1,$I162-$K162)*SUM((Range=$K162)*(Bond_Mult_UR)))+((E162-U162)/E162)),IF(U162&gt;=E162,0.5,1)*(SUM((Range=$K162)*(Bond_Base_UR))+IF($I162&lt;1,1,$I162-$K162)*SUM((Range=$K162)*(Bond_Mult_UR))))))</f>
        <v/>
      </c>
      <c r="AH162" s="53"/>
      <c r="AI162" s="122" t="str">
        <f t="array" ref="AI162">IF(OR($C162="",$E162="",$G162="",$I162="",$M162="",$O162="",$Q162="",$S162="",$G162&lt;&gt;"Unrated",$M162&lt;&gt;"Y"),"",MIN(1,IF(OR($W162&lt;&gt;"Y",$AA162=$AC162),SUM((Range=$K162)*(CQS=IF($W162&lt;&gt;"Y",0,IF($AC162=196%,1,6)))*(IF($W162&lt;&gt;"Y",Bond_Base_MCR,Bond_Base)))+IF($I162&lt;1,1,$I162-$K162)*SUM((Range=$K162)*(CQS=IF($W162&lt;&gt;"Y",0,IF($AC162=196%,1,6)))*(IF($W162&lt;&gt;"Y",Bond_Mult_MCR,Bond_Mult))),((SUM((Range=$K162)*(CQS=HLOOKUP($AA162,Solv_Ratio_CQS_Map,2,0))*(Bond_Base))+IF($I162&lt;1,1,$I162-$K162)*SUM((Range=$K162)*(CQS=HLOOKUP($AA162,Solv_Ratio_CQS_Map,2,0))*(Bond_Mult)))*($AC162-$Y162)+(SUM((Range=$K162)*(CQS=HLOOKUP($AC162,Solv_Ratio_CQS_Map,2,0))*(Bond_Base))+IF($I162&lt;1,1,$I162-$K162)*SUM((Range=$K162)*(CQS=HLOOKUP($AC162,Solv_Ratio_CQS_Map,2,0))*(Bond_Mult)))*($Y162-$AA162))/($AC162-$AA162))))</f>
        <v/>
      </c>
      <c r="AJ162" s="53"/>
      <c r="AK162" s="121" t="str">
        <f t="shared" si="10"/>
        <v/>
      </c>
      <c r="AL162" s="53"/>
      <c r="AM162" s="123" t="str">
        <f t="shared" si="11"/>
        <v/>
      </c>
      <c r="AN162" s="115"/>
    </row>
    <row r="163" spans="2:40" x14ac:dyDescent="0.2">
      <c r="B163" s="116"/>
      <c r="C163" s="207"/>
      <c r="D163" s="53"/>
      <c r="E163" s="208"/>
      <c r="F163" s="53"/>
      <c r="G163" s="209"/>
      <c r="H163" s="53"/>
      <c r="I163" s="210"/>
      <c r="J163" s="53"/>
      <c r="K163" s="118" t="str">
        <f t="shared" ref="K163:K165" si="18">IF(I163="","",IF($O163="Y",IF($I163&lt;=5,0,5),IF(ROUNDUP($I163/5,0)-1&gt;4,4,ROUNDUP($I163/5,0)-1)*5))</f>
        <v/>
      </c>
      <c r="L163" s="53"/>
      <c r="M163" s="211"/>
      <c r="N163" s="53"/>
      <c r="O163" s="211"/>
      <c r="P163" s="53"/>
      <c r="Q163" s="211"/>
      <c r="R163" s="53"/>
      <c r="S163" s="211"/>
      <c r="T163" s="53"/>
      <c r="U163" s="117"/>
      <c r="V163" s="53"/>
      <c r="W163" s="119"/>
      <c r="X163" s="53"/>
      <c r="Y163" s="120"/>
      <c r="Z163" s="53"/>
      <c r="AA163" s="121" t="str">
        <f t="shared" si="16"/>
        <v/>
      </c>
      <c r="AB163" s="53"/>
      <c r="AC163" s="121" t="str">
        <f t="shared" si="17"/>
        <v/>
      </c>
      <c r="AD163" s="53"/>
      <c r="AE163" s="122" t="str">
        <f t="array" ref="AE163">IF(OR($C163="",$E163="",$G163="",$I163="",$M163="",$O163="",$Q163="",$S163="",$G163="Unrated"),"",IF($Q163="Y",0,MIN(1,SUM((IF($O163="Y",Cov_Range,Range)=$K163)*(IF($O163="Y",Cov_CQS,CQS)=$G163)*(IF($S163="Y",Gilt_Base,IF($O163="Y",Cov_Bond_Base,Bond_Base))))+IF($I163&lt;1,1,$I163-$K163)*SUM((IF($O163="Y",Cov_Range,Range)=$K163)*(IF($O163="Y",Cov_CQS,CQS)=$G163)*(IF($S163="Y",Gilt_Mult,IF($O163="Y",Cov_Bond_Mult,Bond_Mult)))))))</f>
        <v/>
      </c>
      <c r="AF163" s="53"/>
      <c r="AG163" s="122" t="str">
        <f t="array" ref="AG163">IF(OR($C163="",$E163="",$G163="",$I163="",$M163="",$O163="",$Q163="",$S163="",$G163&lt;&gt;"Unrated",$M163="Y"),"",MIN(1,IF(AND(U163&lt;E163,U163&gt;=E163*(1-(SUM((Range=$K163)*(Bond_Base_UR))+IF($I163&lt;1,1,$I163-$K163)*SUM((Range=$K163)*(Bond_Mult_UR))))),0.5*((SUM((Range=$K163)*(Bond_Base_UR))+IF($I163&lt;1,1,$I163-$K163)*SUM((Range=$K163)*(Bond_Mult_UR)))+((E163-U163)/E163)),IF(U163&gt;=E163,0.5,1)*(SUM((Range=$K163)*(Bond_Base_UR))+IF($I163&lt;1,1,$I163-$K163)*SUM((Range=$K163)*(Bond_Mult_UR))))))</f>
        <v/>
      </c>
      <c r="AH163" s="53"/>
      <c r="AI163" s="122" t="str">
        <f t="array" ref="AI163">IF(OR($C163="",$E163="",$G163="",$I163="",$M163="",$O163="",$Q163="",$S163="",$G163&lt;&gt;"Unrated",$M163&lt;&gt;"Y"),"",MIN(1,IF(OR($W163&lt;&gt;"Y",$AA163=$AC163),SUM((Range=$K163)*(CQS=IF($W163&lt;&gt;"Y",0,IF($AC163=196%,1,6)))*(IF($W163&lt;&gt;"Y",Bond_Base_MCR,Bond_Base)))+IF($I163&lt;1,1,$I163-$K163)*SUM((Range=$K163)*(CQS=IF($W163&lt;&gt;"Y",0,IF($AC163=196%,1,6)))*(IF($W163&lt;&gt;"Y",Bond_Mult_MCR,Bond_Mult))),((SUM((Range=$K163)*(CQS=HLOOKUP($AA163,Solv_Ratio_CQS_Map,2,0))*(Bond_Base))+IF($I163&lt;1,1,$I163-$K163)*SUM((Range=$K163)*(CQS=HLOOKUP($AA163,Solv_Ratio_CQS_Map,2,0))*(Bond_Mult)))*($AC163-$Y163)+(SUM((Range=$K163)*(CQS=HLOOKUP($AC163,Solv_Ratio_CQS_Map,2,0))*(Bond_Base))+IF($I163&lt;1,1,$I163-$K163)*SUM((Range=$K163)*(CQS=HLOOKUP($AC163,Solv_Ratio_CQS_Map,2,0))*(Bond_Mult)))*($Y163-$AA163))/($AC163-$AA163))))</f>
        <v/>
      </c>
      <c r="AJ163" s="53"/>
      <c r="AK163" s="121" t="str">
        <f t="shared" ref="AK163:AK165" si="19">IF(AND(AE163="",AG163="",AI163=""),"",SUM(AE163,AG163,AI163))</f>
        <v/>
      </c>
      <c r="AL163" s="53"/>
      <c r="AM163" s="123" t="str">
        <f t="shared" ref="AM163:AM165" si="20">IF(AK163="","",-$AK163*$E163)</f>
        <v/>
      </c>
      <c r="AN163" s="115"/>
    </row>
    <row r="164" spans="2:40" x14ac:dyDescent="0.2">
      <c r="B164" s="116"/>
      <c r="C164" s="207"/>
      <c r="D164" s="53"/>
      <c r="E164" s="208"/>
      <c r="F164" s="53"/>
      <c r="G164" s="209"/>
      <c r="H164" s="53"/>
      <c r="I164" s="210"/>
      <c r="J164" s="53"/>
      <c r="K164" s="118" t="str">
        <f t="shared" si="18"/>
        <v/>
      </c>
      <c r="L164" s="53"/>
      <c r="M164" s="211"/>
      <c r="N164" s="53"/>
      <c r="O164" s="211"/>
      <c r="P164" s="53"/>
      <c r="Q164" s="211"/>
      <c r="R164" s="53"/>
      <c r="S164" s="211"/>
      <c r="T164" s="53"/>
      <c r="U164" s="117"/>
      <c r="V164" s="53"/>
      <c r="W164" s="119"/>
      <c r="X164" s="53"/>
      <c r="Y164" s="120"/>
      <c r="Z164" s="53"/>
      <c r="AA164" s="121" t="str">
        <f t="shared" si="16"/>
        <v/>
      </c>
      <c r="AB164" s="53"/>
      <c r="AC164" s="121" t="str">
        <f t="shared" si="17"/>
        <v/>
      </c>
      <c r="AD164" s="53"/>
      <c r="AE164" s="122" t="str">
        <f t="array" ref="AE164">IF(OR($C164="",$E164="",$G164="",$I164="",$M164="",$O164="",$Q164="",$S164="",$G164="Unrated"),"",IF($Q164="Y",0,MIN(1,SUM((IF($O164="Y",Cov_Range,Range)=$K164)*(IF($O164="Y",Cov_CQS,CQS)=$G164)*(IF($S164="Y",Gilt_Base,IF($O164="Y",Cov_Bond_Base,Bond_Base))))+IF($I164&lt;1,1,$I164-$K164)*SUM((IF($O164="Y",Cov_Range,Range)=$K164)*(IF($O164="Y",Cov_CQS,CQS)=$G164)*(IF($S164="Y",Gilt_Mult,IF($O164="Y",Cov_Bond_Mult,Bond_Mult)))))))</f>
        <v/>
      </c>
      <c r="AF164" s="53"/>
      <c r="AG164" s="122" t="str">
        <f t="array" ref="AG164">IF(OR($C164="",$E164="",$G164="",$I164="",$M164="",$O164="",$Q164="",$S164="",$G164&lt;&gt;"Unrated",$M164="Y"),"",MIN(1,IF(AND(U164&lt;E164,U164&gt;=E164*(1-(SUM((Range=$K164)*(Bond_Base_UR))+IF($I164&lt;1,1,$I164-$K164)*SUM((Range=$K164)*(Bond_Mult_UR))))),0.5*((SUM((Range=$K164)*(Bond_Base_UR))+IF($I164&lt;1,1,$I164-$K164)*SUM((Range=$K164)*(Bond_Mult_UR)))+((E164-U164)/E164)),IF(U164&gt;=E164,0.5,1)*(SUM((Range=$K164)*(Bond_Base_UR))+IF($I164&lt;1,1,$I164-$K164)*SUM((Range=$K164)*(Bond_Mult_UR))))))</f>
        <v/>
      </c>
      <c r="AH164" s="53"/>
      <c r="AI164" s="122" t="str">
        <f t="array" ref="AI164">IF(OR($C164="",$E164="",$G164="",$I164="",$M164="",$O164="",$Q164="",$S164="",$G164&lt;&gt;"Unrated",$M164&lt;&gt;"Y"),"",MIN(1,IF(OR($W164&lt;&gt;"Y",$AA164=$AC164),SUM((Range=$K164)*(CQS=IF($W164&lt;&gt;"Y",0,IF($AC164=196%,1,6)))*(IF($W164&lt;&gt;"Y",Bond_Base_MCR,Bond_Base)))+IF($I164&lt;1,1,$I164-$K164)*SUM((Range=$K164)*(CQS=IF($W164&lt;&gt;"Y",0,IF($AC164=196%,1,6)))*(IF($W164&lt;&gt;"Y",Bond_Mult_MCR,Bond_Mult))),((SUM((Range=$K164)*(CQS=HLOOKUP($AA164,Solv_Ratio_CQS_Map,2,0))*(Bond_Base))+IF($I164&lt;1,1,$I164-$K164)*SUM((Range=$K164)*(CQS=HLOOKUP($AA164,Solv_Ratio_CQS_Map,2,0))*(Bond_Mult)))*($AC164-$Y164)+(SUM((Range=$K164)*(CQS=HLOOKUP($AC164,Solv_Ratio_CQS_Map,2,0))*(Bond_Base))+IF($I164&lt;1,1,$I164-$K164)*SUM((Range=$K164)*(CQS=HLOOKUP($AC164,Solv_Ratio_CQS_Map,2,0))*(Bond_Mult)))*($Y164-$AA164))/($AC164-$AA164))))</f>
        <v/>
      </c>
      <c r="AJ164" s="53"/>
      <c r="AK164" s="121" t="str">
        <f t="shared" si="19"/>
        <v/>
      </c>
      <c r="AL164" s="53"/>
      <c r="AM164" s="123" t="str">
        <f t="shared" si="20"/>
        <v/>
      </c>
      <c r="AN164" s="115"/>
    </row>
    <row r="165" spans="2:40" x14ac:dyDescent="0.2">
      <c r="B165" s="116"/>
      <c r="C165" s="207"/>
      <c r="D165" s="53"/>
      <c r="E165" s="208"/>
      <c r="F165" s="53"/>
      <c r="G165" s="209"/>
      <c r="H165" s="53"/>
      <c r="I165" s="210"/>
      <c r="J165" s="53"/>
      <c r="K165" s="118" t="str">
        <f t="shared" si="18"/>
        <v/>
      </c>
      <c r="L165" s="53"/>
      <c r="M165" s="211"/>
      <c r="N165" s="53"/>
      <c r="O165" s="211"/>
      <c r="P165" s="53"/>
      <c r="Q165" s="211"/>
      <c r="R165" s="53"/>
      <c r="S165" s="211"/>
      <c r="T165" s="53"/>
      <c r="U165" s="117"/>
      <c r="V165" s="53"/>
      <c r="W165" s="119"/>
      <c r="X165" s="53"/>
      <c r="Y165" s="120"/>
      <c r="Z165" s="53"/>
      <c r="AA165" s="121" t="str">
        <f t="shared" si="16"/>
        <v/>
      </c>
      <c r="AB165" s="53"/>
      <c r="AC165" s="121" t="str">
        <f t="shared" si="17"/>
        <v/>
      </c>
      <c r="AD165" s="53"/>
      <c r="AE165" s="122" t="str">
        <f t="array" ref="AE165">IF(OR($C165="",$E165="",$G165="",$I165="",$M165="",$O165="",$Q165="",$S165="",$G165="Unrated"),"",IF($Q165="Y",0,MIN(1,SUM((IF($O165="Y",Cov_Range,Range)=$K165)*(IF($O165="Y",Cov_CQS,CQS)=$G165)*(IF($S165="Y",Gilt_Base,IF($O165="Y",Cov_Bond_Base,Bond_Base))))+IF($I165&lt;1,1,$I165-$K165)*SUM((IF($O165="Y",Cov_Range,Range)=$K165)*(IF($O165="Y",Cov_CQS,CQS)=$G165)*(IF($S165="Y",Gilt_Mult,IF($O165="Y",Cov_Bond_Mult,Bond_Mult)))))))</f>
        <v/>
      </c>
      <c r="AF165" s="53"/>
      <c r="AG165" s="122" t="str">
        <f t="array" ref="AG165">IF(OR($C165="",$E165="",$G165="",$I165="",$M165="",$O165="",$Q165="",$S165="",$G165&lt;&gt;"Unrated",$M165="Y"),"",MIN(1,IF(AND(U165&lt;E165,U165&gt;=E165*(1-(SUM((Range=$K165)*(Bond_Base_UR))+IF($I165&lt;1,1,$I165-$K165)*SUM((Range=$K165)*(Bond_Mult_UR))))),0.5*((SUM((Range=$K165)*(Bond_Base_UR))+IF($I165&lt;1,1,$I165-$K165)*SUM((Range=$K165)*(Bond_Mult_UR)))+((E165-U165)/E165)),IF(U165&gt;=E165,0.5,1)*(SUM((Range=$K165)*(Bond_Base_UR))+IF($I165&lt;1,1,$I165-$K165)*SUM((Range=$K165)*(Bond_Mult_UR))))))</f>
        <v/>
      </c>
      <c r="AH165" s="53"/>
      <c r="AI165" s="122" t="str">
        <f t="array" ref="AI165">IF(OR($C165="",$E165="",$G165="",$I165="",$M165="",$O165="",$Q165="",$S165="",$G165&lt;&gt;"Unrated",$M165&lt;&gt;"Y"),"",MIN(1,IF(OR($W165&lt;&gt;"Y",$AA165=$AC165),SUM((Range=$K165)*(CQS=IF($W165&lt;&gt;"Y",0,IF($AC165=196%,1,6)))*(IF($W165&lt;&gt;"Y",Bond_Base_MCR,Bond_Base)))+IF($I165&lt;1,1,$I165-$K165)*SUM((Range=$K165)*(CQS=IF($W165&lt;&gt;"Y",0,IF($AC165=196%,1,6)))*(IF($W165&lt;&gt;"Y",Bond_Mult_MCR,Bond_Mult))),((SUM((Range=$K165)*(CQS=HLOOKUP($AA165,Solv_Ratio_CQS_Map,2,0))*(Bond_Base))+IF($I165&lt;1,1,$I165-$K165)*SUM((Range=$K165)*(CQS=HLOOKUP($AA165,Solv_Ratio_CQS_Map,2,0))*(Bond_Mult)))*($AC165-$Y165)+(SUM((Range=$K165)*(CQS=HLOOKUP($AC165,Solv_Ratio_CQS_Map,2,0))*(Bond_Base))+IF($I165&lt;1,1,$I165-$K165)*SUM((Range=$K165)*(CQS=HLOOKUP($AC165,Solv_Ratio_CQS_Map,2,0))*(Bond_Mult)))*($Y165-$AA165))/($AC165-$AA165))))</f>
        <v/>
      </c>
      <c r="AJ165" s="53"/>
      <c r="AK165" s="121" t="str">
        <f t="shared" si="19"/>
        <v/>
      </c>
      <c r="AL165" s="53"/>
      <c r="AM165" s="123" t="str">
        <f t="shared" si="20"/>
        <v/>
      </c>
      <c r="AN165" s="115"/>
    </row>
    <row r="166" spans="2:40" x14ac:dyDescent="0.2">
      <c r="B166" s="116"/>
      <c r="C166" s="207"/>
      <c r="D166" s="53"/>
      <c r="E166" s="208"/>
      <c r="F166" s="53"/>
      <c r="G166" s="209"/>
      <c r="H166" s="53"/>
      <c r="I166" s="210"/>
      <c r="J166" s="53"/>
      <c r="K166" s="118" t="str">
        <f t="shared" si="9"/>
        <v/>
      </c>
      <c r="L166" s="53"/>
      <c r="M166" s="211"/>
      <c r="N166" s="53"/>
      <c r="O166" s="211"/>
      <c r="P166" s="53"/>
      <c r="Q166" s="211"/>
      <c r="R166" s="53"/>
      <c r="S166" s="211"/>
      <c r="T166" s="53"/>
      <c r="U166" s="117"/>
      <c r="V166" s="53"/>
      <c r="W166" s="119"/>
      <c r="X166" s="53"/>
      <c r="Y166" s="120"/>
      <c r="Z166" s="53"/>
      <c r="AA166" s="121" t="str">
        <f t="shared" si="16"/>
        <v/>
      </c>
      <c r="AB166" s="53"/>
      <c r="AC166" s="121" t="str">
        <f t="shared" si="17"/>
        <v/>
      </c>
      <c r="AD166" s="53"/>
      <c r="AE166" s="122" t="str">
        <f t="array" ref="AE166">IF(OR($C166="",$E166="",$G166="",$I166="",$M166="",$O166="",$Q166="",$S166="",$G166="Unrated"),"",IF($Q166="Y",0,MIN(1,SUM((IF($O166="Y",Cov_Range,Range)=$K166)*(IF($O166="Y",Cov_CQS,CQS)=$G166)*(IF($S166="Y",Gilt_Base,IF($O166="Y",Cov_Bond_Base,Bond_Base))))+IF($I166&lt;1,1,$I166-$K166)*SUM((IF($O166="Y",Cov_Range,Range)=$K166)*(IF($O166="Y",Cov_CQS,CQS)=$G166)*(IF($S166="Y",Gilt_Mult,IF($O166="Y",Cov_Bond_Mult,Bond_Mult)))))))</f>
        <v/>
      </c>
      <c r="AF166" s="53"/>
      <c r="AG166" s="122" t="str">
        <f t="array" ref="AG166">IF(OR($C166="",$E166="",$G166="",$I166="",$M166="",$O166="",$Q166="",$S166="",$G166&lt;&gt;"Unrated",$M166="Y"),"",MIN(1,IF(AND(U166&lt;E166,U166&gt;=E166*(1-(SUM((Range=$K166)*(Bond_Base_UR))+IF($I166&lt;1,1,$I166-$K166)*SUM((Range=$K166)*(Bond_Mult_UR))))),0.5*((SUM((Range=$K166)*(Bond_Base_UR))+IF($I166&lt;1,1,$I166-$K166)*SUM((Range=$K166)*(Bond_Mult_UR)))+((E166-U166)/E166)),IF(U166&gt;=E166,0.5,1)*(SUM((Range=$K166)*(Bond_Base_UR))+IF($I166&lt;1,1,$I166-$K166)*SUM((Range=$K166)*(Bond_Mult_UR))))))</f>
        <v/>
      </c>
      <c r="AH166" s="53"/>
      <c r="AI166" s="122" t="str">
        <f t="array" ref="AI166">IF(OR($C166="",$E166="",$G166="",$I166="",$M166="",$O166="",$Q166="",$S166="",$G166&lt;&gt;"Unrated",$M166&lt;&gt;"Y"),"",MIN(1,IF(OR($W166&lt;&gt;"Y",$AA166=$AC166),SUM((Range=$K166)*(CQS=IF($W166&lt;&gt;"Y",0,IF($AC166=196%,1,6)))*(IF($W166&lt;&gt;"Y",Bond_Base_MCR,Bond_Base)))+IF($I166&lt;1,1,$I166-$K166)*SUM((Range=$K166)*(CQS=IF($W166&lt;&gt;"Y",0,IF($AC166=196%,1,6)))*(IF($W166&lt;&gt;"Y",Bond_Mult_MCR,Bond_Mult))),((SUM((Range=$K166)*(CQS=HLOOKUP($AA166,Solv_Ratio_CQS_Map,2,0))*(Bond_Base))+IF($I166&lt;1,1,$I166-$K166)*SUM((Range=$K166)*(CQS=HLOOKUP($AA166,Solv_Ratio_CQS_Map,2,0))*(Bond_Mult)))*($AC166-$Y166)+(SUM((Range=$K166)*(CQS=HLOOKUP($AC166,Solv_Ratio_CQS_Map,2,0))*(Bond_Base))+IF($I166&lt;1,1,$I166-$K166)*SUM((Range=$K166)*(CQS=HLOOKUP($AC166,Solv_Ratio_CQS_Map,2,0))*(Bond_Mult)))*($Y166-$AA166))/($AC166-$AA166))))</f>
        <v/>
      </c>
      <c r="AJ166" s="53"/>
      <c r="AK166" s="121" t="str">
        <f t="shared" si="10"/>
        <v/>
      </c>
      <c r="AL166" s="53"/>
      <c r="AM166" s="123" t="str">
        <f t="shared" si="11"/>
        <v/>
      </c>
      <c r="AN166" s="115"/>
    </row>
    <row r="167" spans="2:40" x14ac:dyDescent="0.2">
      <c r="B167" s="116"/>
      <c r="C167" s="207"/>
      <c r="D167" s="53"/>
      <c r="E167" s="208"/>
      <c r="F167" s="53"/>
      <c r="G167" s="209"/>
      <c r="H167" s="53"/>
      <c r="I167" s="210"/>
      <c r="J167" s="53"/>
      <c r="K167" s="118" t="str">
        <f t="shared" si="9"/>
        <v/>
      </c>
      <c r="L167" s="53"/>
      <c r="M167" s="211"/>
      <c r="N167" s="53"/>
      <c r="O167" s="211"/>
      <c r="P167" s="53"/>
      <c r="Q167" s="211"/>
      <c r="R167" s="53"/>
      <c r="S167" s="211"/>
      <c r="T167" s="53"/>
      <c r="U167" s="117"/>
      <c r="V167" s="53"/>
      <c r="W167" s="119"/>
      <c r="X167" s="53"/>
      <c r="Y167" s="120"/>
      <c r="Z167" s="53"/>
      <c r="AA167" s="121" t="str">
        <f t="shared" si="16"/>
        <v/>
      </c>
      <c r="AB167" s="53"/>
      <c r="AC167" s="121" t="str">
        <f t="shared" si="17"/>
        <v/>
      </c>
      <c r="AD167" s="53"/>
      <c r="AE167" s="122" t="str">
        <f t="array" ref="AE167">IF(OR($C167="",$E167="",$G167="",$I167="",$M167="",$O167="",$Q167="",$S167="",$G167="Unrated"),"",IF($Q167="Y",0,MIN(1,SUM((IF($O167="Y",Cov_Range,Range)=$K167)*(IF($O167="Y",Cov_CQS,CQS)=$G167)*(IF($S167="Y",Gilt_Base,IF($O167="Y",Cov_Bond_Base,Bond_Base))))+IF($I167&lt;1,1,$I167-$K167)*SUM((IF($O167="Y",Cov_Range,Range)=$K167)*(IF($O167="Y",Cov_CQS,CQS)=$G167)*(IF($S167="Y",Gilt_Mult,IF($O167="Y",Cov_Bond_Mult,Bond_Mult)))))))</f>
        <v/>
      </c>
      <c r="AF167" s="53"/>
      <c r="AG167" s="122" t="str">
        <f t="array" ref="AG167">IF(OR($C167="",$E167="",$G167="",$I167="",$M167="",$O167="",$Q167="",$S167="",$G167&lt;&gt;"Unrated",$M167="Y"),"",MIN(1,IF(AND(U167&lt;E167,U167&gt;=E167*(1-(SUM((Range=$K167)*(Bond_Base_UR))+IF($I167&lt;1,1,$I167-$K167)*SUM((Range=$K167)*(Bond_Mult_UR))))),0.5*((SUM((Range=$K167)*(Bond_Base_UR))+IF($I167&lt;1,1,$I167-$K167)*SUM((Range=$K167)*(Bond_Mult_UR)))+((E167-U167)/E167)),IF(U167&gt;=E167,0.5,1)*(SUM((Range=$K167)*(Bond_Base_UR))+IF($I167&lt;1,1,$I167-$K167)*SUM((Range=$K167)*(Bond_Mult_UR))))))</f>
        <v/>
      </c>
      <c r="AH167" s="53"/>
      <c r="AI167" s="122" t="str">
        <f t="array" ref="AI167">IF(OR($C167="",$E167="",$G167="",$I167="",$M167="",$O167="",$Q167="",$S167="",$G167&lt;&gt;"Unrated",$M167&lt;&gt;"Y"),"",MIN(1,IF(OR($W167&lt;&gt;"Y",$AA167=$AC167),SUM((Range=$K167)*(CQS=IF($W167&lt;&gt;"Y",0,IF($AC167=196%,1,6)))*(IF($W167&lt;&gt;"Y",Bond_Base_MCR,Bond_Base)))+IF($I167&lt;1,1,$I167-$K167)*SUM((Range=$K167)*(CQS=IF($W167&lt;&gt;"Y",0,IF($AC167=196%,1,6)))*(IF($W167&lt;&gt;"Y",Bond_Mult_MCR,Bond_Mult))),((SUM((Range=$K167)*(CQS=HLOOKUP($AA167,Solv_Ratio_CQS_Map,2,0))*(Bond_Base))+IF($I167&lt;1,1,$I167-$K167)*SUM((Range=$K167)*(CQS=HLOOKUP($AA167,Solv_Ratio_CQS_Map,2,0))*(Bond_Mult)))*($AC167-$Y167)+(SUM((Range=$K167)*(CQS=HLOOKUP($AC167,Solv_Ratio_CQS_Map,2,0))*(Bond_Base))+IF($I167&lt;1,1,$I167-$K167)*SUM((Range=$K167)*(CQS=HLOOKUP($AC167,Solv_Ratio_CQS_Map,2,0))*(Bond_Mult)))*($Y167-$AA167))/($AC167-$AA167))))</f>
        <v/>
      </c>
      <c r="AJ167" s="53"/>
      <c r="AK167" s="121" t="str">
        <f t="shared" si="10"/>
        <v/>
      </c>
      <c r="AL167" s="53"/>
      <c r="AM167" s="123" t="str">
        <f t="shared" si="11"/>
        <v/>
      </c>
      <c r="AN167" s="115"/>
    </row>
    <row r="168" spans="2:40" x14ac:dyDescent="0.2">
      <c r="B168" s="116"/>
      <c r="C168" s="207"/>
      <c r="D168" s="53"/>
      <c r="E168" s="208"/>
      <c r="F168" s="53"/>
      <c r="G168" s="209"/>
      <c r="H168" s="53"/>
      <c r="I168" s="210"/>
      <c r="J168" s="53"/>
      <c r="K168" s="118" t="str">
        <f t="shared" si="9"/>
        <v/>
      </c>
      <c r="L168" s="53"/>
      <c r="M168" s="211"/>
      <c r="N168" s="53"/>
      <c r="O168" s="211"/>
      <c r="P168" s="53"/>
      <c r="Q168" s="211"/>
      <c r="R168" s="53"/>
      <c r="S168" s="211"/>
      <c r="T168" s="53"/>
      <c r="U168" s="117"/>
      <c r="V168" s="53"/>
      <c r="W168" s="119"/>
      <c r="X168" s="53"/>
      <c r="Y168" s="120"/>
      <c r="Z168" s="53"/>
      <c r="AA168" s="121" t="str">
        <f t="shared" si="16"/>
        <v/>
      </c>
      <c r="AB168" s="53"/>
      <c r="AC168" s="121" t="str">
        <f t="shared" si="17"/>
        <v/>
      </c>
      <c r="AD168" s="53"/>
      <c r="AE168" s="122" t="str">
        <f t="array" ref="AE168">IF(OR($C168="",$E168="",$G168="",$I168="",$M168="",$O168="",$Q168="",$S168="",$G168="Unrated"),"",IF($Q168="Y",0,MIN(1,SUM((IF($O168="Y",Cov_Range,Range)=$K168)*(IF($O168="Y",Cov_CQS,CQS)=$G168)*(IF($S168="Y",Gilt_Base,IF($O168="Y",Cov_Bond_Base,Bond_Base))))+IF($I168&lt;1,1,$I168-$K168)*SUM((IF($O168="Y",Cov_Range,Range)=$K168)*(IF($O168="Y",Cov_CQS,CQS)=$G168)*(IF($S168="Y",Gilt_Mult,IF($O168="Y",Cov_Bond_Mult,Bond_Mult)))))))</f>
        <v/>
      </c>
      <c r="AF168" s="53"/>
      <c r="AG168" s="122" t="str">
        <f t="array" ref="AG168">IF(OR($C168="",$E168="",$G168="",$I168="",$M168="",$O168="",$Q168="",$S168="",$G168&lt;&gt;"Unrated",$M168="Y"),"",MIN(1,IF(AND(U168&lt;E168,U168&gt;=E168*(1-(SUM((Range=$K168)*(Bond_Base_UR))+IF($I168&lt;1,1,$I168-$K168)*SUM((Range=$K168)*(Bond_Mult_UR))))),0.5*((SUM((Range=$K168)*(Bond_Base_UR))+IF($I168&lt;1,1,$I168-$K168)*SUM((Range=$K168)*(Bond_Mult_UR)))+((E168-U168)/E168)),IF(U168&gt;=E168,0.5,1)*(SUM((Range=$K168)*(Bond_Base_UR))+IF($I168&lt;1,1,$I168-$K168)*SUM((Range=$K168)*(Bond_Mult_UR))))))</f>
        <v/>
      </c>
      <c r="AH168" s="53"/>
      <c r="AI168" s="122" t="str">
        <f t="array" ref="AI168">IF(OR($C168="",$E168="",$G168="",$I168="",$M168="",$O168="",$Q168="",$S168="",$G168&lt;&gt;"Unrated",$M168&lt;&gt;"Y"),"",MIN(1,IF(OR($W168&lt;&gt;"Y",$AA168=$AC168),SUM((Range=$K168)*(CQS=IF($W168&lt;&gt;"Y",0,IF($AC168=196%,1,6)))*(IF($W168&lt;&gt;"Y",Bond_Base_MCR,Bond_Base)))+IF($I168&lt;1,1,$I168-$K168)*SUM((Range=$K168)*(CQS=IF($W168&lt;&gt;"Y",0,IF($AC168=196%,1,6)))*(IF($W168&lt;&gt;"Y",Bond_Mult_MCR,Bond_Mult))),((SUM((Range=$K168)*(CQS=HLOOKUP($AA168,Solv_Ratio_CQS_Map,2,0))*(Bond_Base))+IF($I168&lt;1,1,$I168-$K168)*SUM((Range=$K168)*(CQS=HLOOKUP($AA168,Solv_Ratio_CQS_Map,2,0))*(Bond_Mult)))*($AC168-$Y168)+(SUM((Range=$K168)*(CQS=HLOOKUP($AC168,Solv_Ratio_CQS_Map,2,0))*(Bond_Base))+IF($I168&lt;1,1,$I168-$K168)*SUM((Range=$K168)*(CQS=HLOOKUP($AC168,Solv_Ratio_CQS_Map,2,0))*(Bond_Mult)))*($Y168-$AA168))/($AC168-$AA168))))</f>
        <v/>
      </c>
      <c r="AJ168" s="53"/>
      <c r="AK168" s="121" t="str">
        <f t="shared" si="10"/>
        <v/>
      </c>
      <c r="AL168" s="53"/>
      <c r="AM168" s="123" t="str">
        <f t="shared" si="11"/>
        <v/>
      </c>
      <c r="AN168" s="115"/>
    </row>
    <row r="169" spans="2:40" ht="6" customHeight="1" thickBot="1" x14ac:dyDescent="0.25"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124"/>
      <c r="AN169" s="125"/>
    </row>
    <row r="170" spans="2:40" x14ac:dyDescent="0.2"/>
    <row r="171" spans="2:40" ht="6" customHeight="1" x14ac:dyDescent="0.2"/>
  </sheetData>
  <sheetProtection algorithmName="SHA-512" hashValue="aImR/pW34I5ARsXDRYBTDob26QmZabqaM5MRUMEPcgIXKEJTMU4mAcYFlgMgUG8/YzlMvmoNqftSmDOmFUIr7Q==" saltValue="2qnMbEUcSW/6eiPOjtQtxA==" spinCount="100000" sheet="1" objects="1" scenarios="1"/>
  <protectedRanges>
    <protectedRange sqref="C44:C168 E44:E168 G44:G168 I44:I168 M44:M168 O44:O168 Q44:Q168 S44:S168" name="Range2"/>
    <protectedRange sqref="I13" name="Range1"/>
  </protectedRanges>
  <mergeCells count="41">
    <mergeCell ref="F26:Q26"/>
    <mergeCell ref="F27:Q27"/>
    <mergeCell ref="F29:Q29"/>
    <mergeCell ref="F30:Q30"/>
    <mergeCell ref="F31:Q31"/>
    <mergeCell ref="F36:Q36"/>
    <mergeCell ref="F28:Q28"/>
    <mergeCell ref="F37:Q37"/>
    <mergeCell ref="F38:Q38"/>
    <mergeCell ref="F39:Q39"/>
    <mergeCell ref="F33:Q33"/>
    <mergeCell ref="F34:Q34"/>
    <mergeCell ref="F35:Q35"/>
    <mergeCell ref="F32:Q32"/>
    <mergeCell ref="F20:Q20"/>
    <mergeCell ref="F21:Q21"/>
    <mergeCell ref="F22:Q22"/>
    <mergeCell ref="B24:D24"/>
    <mergeCell ref="B25:D25"/>
    <mergeCell ref="F23:Q23"/>
    <mergeCell ref="F24:Q24"/>
    <mergeCell ref="F25:Q25"/>
    <mergeCell ref="B26:D26"/>
    <mergeCell ref="B27:D27"/>
    <mergeCell ref="B28:D28"/>
    <mergeCell ref="B17:C17"/>
    <mergeCell ref="B20:D20"/>
    <mergeCell ref="B21:D21"/>
    <mergeCell ref="B22:D22"/>
    <mergeCell ref="B23:D23"/>
    <mergeCell ref="B39:D39"/>
    <mergeCell ref="B29:D29"/>
    <mergeCell ref="B30:D30"/>
    <mergeCell ref="B31:D31"/>
    <mergeCell ref="B32:D32"/>
    <mergeCell ref="B33:D33"/>
    <mergeCell ref="B37:D37"/>
    <mergeCell ref="B38:D38"/>
    <mergeCell ref="B34:D34"/>
    <mergeCell ref="B35:D35"/>
    <mergeCell ref="B36:D36"/>
  </mergeCells>
  <conditionalFormatting sqref="AA44:AA162 AC44:AC162 AC166:AC168 AA166:AA168">
    <cfRule type="expression" dxfId="49" priority="121">
      <formula>OR($M44="N",$G44&lt;&gt;"Unrated",$W44="N")</formula>
    </cfRule>
  </conditionalFormatting>
  <conditionalFormatting sqref="AC146:AC147 AA146:AA147">
    <cfRule type="expression" dxfId="48" priority="80">
      <formula>OR($M146="N",$G146&lt;&gt;"Unrated",$W146="N")</formula>
    </cfRule>
  </conditionalFormatting>
  <conditionalFormatting sqref="AC148:AC155 AA148:AA155">
    <cfRule type="expression" dxfId="47" priority="73">
      <formula>OR($M148="N",$G148&lt;&gt;"Unrated",$W148="N")</formula>
    </cfRule>
  </conditionalFormatting>
  <conditionalFormatting sqref="AC156:AC157 AA156:AA157">
    <cfRule type="expression" dxfId="46" priority="66">
      <formula>OR($M156="N",$G156&lt;&gt;"Unrated",$W156="N")</formula>
    </cfRule>
  </conditionalFormatting>
  <conditionalFormatting sqref="U44:U162 U166:U168">
    <cfRule type="expression" dxfId="45" priority="56">
      <formula>OR($G44&lt;&gt;"Unrated",$M44&lt;&gt;"N")</formula>
    </cfRule>
  </conditionalFormatting>
  <conditionalFormatting sqref="Y44:Y162 Y166:Y168">
    <cfRule type="expression" dxfId="44" priority="57">
      <formula>OR($M44="N",$G44&lt;&gt;"Unrated",$W44="N")</formula>
    </cfRule>
  </conditionalFormatting>
  <conditionalFormatting sqref="W44:W162 W166:W168">
    <cfRule type="expression" dxfId="43" priority="58">
      <formula>IF(OR($M44&lt;&gt;"Y",$W44="n/a"),TRUE,FALSE)</formula>
    </cfRule>
  </conditionalFormatting>
  <conditionalFormatting sqref="AC158:AC162 AA158:AA162 AA166:AA168 AC166:AC168">
    <cfRule type="expression" dxfId="42" priority="59">
      <formula>OR($M158="N",$G158&lt;&gt;"Unrated",$W158="N")</formula>
    </cfRule>
  </conditionalFormatting>
  <conditionalFormatting sqref="M44:M162 M166:M168">
    <cfRule type="expression" dxfId="41" priority="45">
      <formula>IF(AND($M44="Y",OR($O44="Y",$Q44="Y",$S44="Y")),TRUE,FALSE)</formula>
    </cfRule>
  </conditionalFormatting>
  <conditionalFormatting sqref="M44:S162 M166:S168">
    <cfRule type="cellIs" dxfId="40" priority="46" operator="equal">
      <formula>"N"</formula>
    </cfRule>
  </conditionalFormatting>
  <conditionalFormatting sqref="O44:O162 O166:O168">
    <cfRule type="expression" dxfId="39" priority="44">
      <formula>IF(AND($O44="Y",OR($M44="Y",$Q44="Y",$S44="Y")),TRUE,FALSE)</formula>
    </cfRule>
  </conditionalFormatting>
  <conditionalFormatting sqref="Q44:Q162 Q166:Q168">
    <cfRule type="expression" dxfId="38" priority="43">
      <formula>IF(AND($Q44="Y",OR($M44="Y",$O44="Y",$S44="Y")),TRUE,FALSE)</formula>
    </cfRule>
  </conditionalFormatting>
  <conditionalFormatting sqref="S44:S162 S166:S168">
    <cfRule type="expression" dxfId="37" priority="42">
      <formula>IF(AND($S44="Y",OR($M44="Y",$O44="Y",$Q44="Y")),TRUE,FALSE)</formula>
    </cfRule>
  </conditionalFormatting>
  <conditionalFormatting sqref="AE44:AE162 AE166:AE168">
    <cfRule type="expression" dxfId="36" priority="28">
      <formula>IF($G44="Unrated",TRUE,FALSE)</formula>
    </cfRule>
  </conditionalFormatting>
  <conditionalFormatting sqref="AG44:AG162 AG166:AG168">
    <cfRule type="expression" dxfId="35" priority="27">
      <formula>OR($G44&lt;&gt;"Unrated",$M44&lt;&gt;"N")</formula>
    </cfRule>
  </conditionalFormatting>
  <conditionalFormatting sqref="AI44:AI162 AI166:AI168">
    <cfRule type="expression" dxfId="34" priority="26">
      <formula>OR($G44&lt;&gt;"Unrated",$M44&lt;&gt;"Y")</formula>
    </cfRule>
  </conditionalFormatting>
  <conditionalFormatting sqref="G18 U17">
    <cfRule type="cellIs" dxfId="33" priority="24" operator="equal">
      <formula>"ERROR"</formula>
    </cfRule>
    <cfRule type="cellIs" dxfId="32" priority="25" operator="equal">
      <formula>"OK"</formula>
    </cfRule>
  </conditionalFormatting>
  <conditionalFormatting sqref="U7">
    <cfRule type="cellIs" dxfId="31" priority="20" operator="equal">
      <formula>"OK"</formula>
    </cfRule>
    <cfRule type="cellIs" dxfId="30" priority="21" operator="equal">
      <formula>"ERROR"</formula>
    </cfRule>
  </conditionalFormatting>
  <conditionalFormatting sqref="U13">
    <cfRule type="cellIs" dxfId="29" priority="18" operator="equal">
      <formula>"OK"</formula>
    </cfRule>
    <cfRule type="cellIs" dxfId="28" priority="19" operator="equal">
      <formula>"ERROR"</formula>
    </cfRule>
  </conditionalFormatting>
  <conditionalFormatting sqref="AP3:AP162 AP166:AP1048576">
    <cfRule type="cellIs" dxfId="27" priority="16" operator="equal">
      <formula>"ERROR"</formula>
    </cfRule>
    <cfRule type="cellIs" dxfId="26" priority="17" operator="equal">
      <formula>"OK"</formula>
    </cfRule>
  </conditionalFormatting>
  <conditionalFormatting sqref="AC163:AC165 AA163:AA165">
    <cfRule type="expression" dxfId="25" priority="15">
      <formula>OR($M163="N",$G163&lt;&gt;"Unrated",$W163="N")</formula>
    </cfRule>
  </conditionalFormatting>
  <conditionalFormatting sqref="U163:U165">
    <cfRule type="expression" dxfId="24" priority="11">
      <formula>OR($G163&lt;&gt;"Unrated",$M163&lt;&gt;"N")</formula>
    </cfRule>
  </conditionalFormatting>
  <conditionalFormatting sqref="Y163:Y165">
    <cfRule type="expression" dxfId="23" priority="12">
      <formula>OR($M163="N",$G163&lt;&gt;"Unrated",$W163="N")</formula>
    </cfRule>
  </conditionalFormatting>
  <conditionalFormatting sqref="W163:W165">
    <cfRule type="expression" dxfId="22" priority="13">
      <formula>IF(OR($M163&lt;&gt;"Y",$W163="n/a"),TRUE,FALSE)</formula>
    </cfRule>
  </conditionalFormatting>
  <conditionalFormatting sqref="AA163:AA165 AC163:AC165">
    <cfRule type="expression" dxfId="21" priority="14">
      <formula>OR($M163="N",$G163&lt;&gt;"Unrated",$W163="N")</formula>
    </cfRule>
  </conditionalFormatting>
  <conditionalFormatting sqref="M163:M165">
    <cfRule type="expression" dxfId="20" priority="9">
      <formula>IF(AND($M163="Y",OR($O163="Y",$Q163="Y",$S163="Y")),TRUE,FALSE)</formula>
    </cfRule>
  </conditionalFormatting>
  <conditionalFormatting sqref="M163:S165">
    <cfRule type="cellIs" dxfId="19" priority="10" operator="equal">
      <formula>"N"</formula>
    </cfRule>
  </conditionalFormatting>
  <conditionalFormatting sqref="O163:O165">
    <cfRule type="expression" dxfId="18" priority="8">
      <formula>IF(AND($O163="Y",OR($M163="Y",$Q163="Y",$S163="Y")),TRUE,FALSE)</formula>
    </cfRule>
  </conditionalFormatting>
  <conditionalFormatting sqref="Q163:Q165">
    <cfRule type="expression" dxfId="17" priority="7">
      <formula>IF(AND($Q163="Y",OR($M163="Y",$O163="Y",$S163="Y")),TRUE,FALSE)</formula>
    </cfRule>
  </conditionalFormatting>
  <conditionalFormatting sqref="S163:S165">
    <cfRule type="expression" dxfId="16" priority="6">
      <formula>IF(AND($S163="Y",OR($M163="Y",$O163="Y",$Q163="Y")),TRUE,FALSE)</formula>
    </cfRule>
  </conditionalFormatting>
  <conditionalFormatting sqref="AE163:AE165">
    <cfRule type="expression" dxfId="15" priority="5">
      <formula>IF($G163="Unrated",TRUE,FALSE)</formula>
    </cfRule>
  </conditionalFormatting>
  <conditionalFormatting sqref="AG163:AG165">
    <cfRule type="expression" dxfId="14" priority="4">
      <formula>OR($G163&lt;&gt;"Unrated",$M163&lt;&gt;"N")</formula>
    </cfRule>
  </conditionalFormatting>
  <conditionalFormatting sqref="AI163:AI165">
    <cfRule type="expression" dxfId="13" priority="3">
      <formula>OR($G163&lt;&gt;"Unrated",$M163&lt;&gt;"Y")</formula>
    </cfRule>
  </conditionalFormatting>
  <conditionalFormatting sqref="AP163:AP165">
    <cfRule type="cellIs" dxfId="12" priority="1" operator="equal">
      <formula>"ERROR"</formula>
    </cfRule>
    <cfRule type="cellIs" dxfId="11" priority="2" operator="equal">
      <formula>"OK"</formula>
    </cfRule>
  </conditionalFormatting>
  <dataValidations count="3">
    <dataValidation type="list" allowBlank="1" showInputMessage="1" showErrorMessage="1" sqref="M44:M168 S44:S168 Q44:Q168 O44:O168">
      <formula1>"Y,N,n/a"</formula1>
    </dataValidation>
    <dataValidation type="list" allowBlank="1" showInputMessage="1" showErrorMessage="1" sqref="G44:G168">
      <formula1>"0,1,2,3,4,5,6, Unrated"</formula1>
    </dataValidation>
    <dataValidation type="list" allowBlank="1" showInputMessage="1" showErrorMessage="1" sqref="W44:W168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zoomScale="85" zoomScaleNormal="85" workbookViewId="0">
      <pane ySplit="30" topLeftCell="A31" activePane="bottomLeft" state="frozen"/>
      <selection pane="bottomLeft" activeCell="I17" sqref="I17"/>
    </sheetView>
  </sheetViews>
  <sheetFormatPr defaultColWidth="0" defaultRowHeight="14.25" zeroHeight="1" x14ac:dyDescent="0.2"/>
  <cols>
    <col min="1" max="2" width="1.875" style="91" customWidth="1"/>
    <col min="3" max="3" width="27.875" style="91" customWidth="1"/>
    <col min="4" max="4" width="1.875" style="91" customWidth="1"/>
    <col min="5" max="5" width="11.5" style="91" customWidth="1"/>
    <col min="6" max="6" width="1.875" style="91" customWidth="1"/>
    <col min="7" max="7" width="11.5" style="91" customWidth="1"/>
    <col min="8" max="8" width="1.875" style="91" customWidth="1"/>
    <col min="9" max="9" width="11.5" style="91" customWidth="1"/>
    <col min="10" max="10" width="1.875" style="91" customWidth="1"/>
    <col min="11" max="11" width="11.5" style="91" customWidth="1"/>
    <col min="12" max="12" width="1.875" style="91" customWidth="1"/>
    <col min="13" max="13" width="11.5" style="91" customWidth="1"/>
    <col min="14" max="14" width="1.875" style="91" customWidth="1"/>
    <col min="15" max="15" width="11.5" style="92" customWidth="1"/>
    <col min="16" max="16" width="1.875" style="91" customWidth="1"/>
    <col min="17" max="17" width="11.5" style="91" customWidth="1"/>
    <col min="18" max="19" width="1.875" style="91" customWidth="1"/>
    <col min="20" max="20" width="9" style="92" customWidth="1"/>
    <col min="21" max="21" width="1.875" style="92" customWidth="1"/>
    <col min="22" max="16384" width="9" style="91" hidden="1"/>
  </cols>
  <sheetData>
    <row r="1" spans="1:21" s="38" customFormat="1" ht="15.75" x14ac:dyDescent="0.25">
      <c r="A1" s="35" t="str">
        <f ca="1">RIGHT(CELL("filename",$A$1),LEN(CELL("filename",$A$1))-FIND("]",CELL("filename",$A$1)))</f>
        <v>Securitisations</v>
      </c>
      <c r="B1" s="36"/>
      <c r="C1" s="37"/>
      <c r="D1" s="37"/>
      <c r="E1" s="35"/>
      <c r="F1" s="37"/>
      <c r="G1" s="35"/>
      <c r="H1" s="37"/>
      <c r="I1" s="37"/>
    </row>
    <row r="2" spans="1:21" s="41" customFormat="1" ht="12.75" x14ac:dyDescent="0.2">
      <c r="A2" s="39"/>
      <c r="B2" s="39"/>
      <c r="C2" s="39"/>
      <c r="D2" s="39"/>
      <c r="E2" s="39"/>
      <c r="F2" s="40"/>
      <c r="G2" s="39"/>
      <c r="I2" s="39"/>
    </row>
    <row r="3" spans="1:21" x14ac:dyDescent="0.2"/>
    <row r="4" spans="1:21" ht="15" thickBot="1" x14ac:dyDescent="0.25"/>
    <row r="5" spans="1:21" ht="15" thickBot="1" x14ac:dyDescent="0.25">
      <c r="B5" s="82" t="s">
        <v>31</v>
      </c>
      <c r="C5" s="83"/>
      <c r="D5" s="84"/>
      <c r="E5" s="85" t="s">
        <v>32</v>
      </c>
      <c r="F5" s="84"/>
      <c r="G5" s="45" t="s">
        <v>87</v>
      </c>
      <c r="H5" s="84"/>
      <c r="I5" s="45" t="s">
        <v>88</v>
      </c>
      <c r="J5" s="86"/>
      <c r="K5" s="45" t="s">
        <v>33</v>
      </c>
      <c r="L5" s="86"/>
      <c r="M5" s="45" t="s">
        <v>85</v>
      </c>
      <c r="N5" s="87"/>
      <c r="O5" s="88"/>
      <c r="P5" s="88"/>
      <c r="Q5" s="88"/>
      <c r="R5" s="42"/>
      <c r="S5" s="42"/>
      <c r="T5" s="88"/>
      <c r="U5" s="90"/>
    </row>
    <row r="6" spans="1:21" ht="6" customHeight="1" x14ac:dyDescent="0.2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88"/>
      <c r="P6" s="88"/>
      <c r="Q6" s="88"/>
      <c r="R6" s="42"/>
      <c r="S6" s="42"/>
      <c r="T6" s="88"/>
      <c r="U6" s="90"/>
    </row>
    <row r="7" spans="1:21" x14ac:dyDescent="0.2">
      <c r="B7" s="51"/>
      <c r="C7" s="53" t="s">
        <v>34</v>
      </c>
      <c r="D7" s="53"/>
      <c r="E7" s="89">
        <f>Base_Assets</f>
        <v>0</v>
      </c>
      <c r="F7" s="53"/>
      <c r="G7" s="89">
        <f>Base_VGB</f>
        <v>0</v>
      </c>
      <c r="H7" s="53"/>
      <c r="I7" s="89">
        <f>Base_VDB</f>
        <v>0</v>
      </c>
      <c r="J7" s="53"/>
      <c r="K7" s="89">
        <f>$E7-$G7-$I7</f>
        <v>0</v>
      </c>
      <c r="L7" s="53"/>
      <c r="M7" s="89">
        <f>$E7-$G7-$I7</f>
        <v>0</v>
      </c>
      <c r="N7" s="52"/>
      <c r="O7" s="88"/>
      <c r="P7" s="88"/>
      <c r="Q7" s="88"/>
      <c r="R7" s="42"/>
      <c r="S7" s="42"/>
      <c r="T7" s="90"/>
    </row>
    <row r="8" spans="1:21" ht="6" customHeight="1" thickBot="1" x14ac:dyDescent="0.25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88"/>
      <c r="P8" s="88"/>
      <c r="Q8" s="88"/>
      <c r="R8" s="42"/>
      <c r="S8" s="42"/>
      <c r="T8" s="88"/>
      <c r="U8" s="90"/>
    </row>
    <row r="9" spans="1:21" x14ac:dyDescent="0.2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88"/>
      <c r="P9" s="88"/>
      <c r="Q9" s="88"/>
      <c r="R9" s="42"/>
      <c r="S9" s="42"/>
      <c r="T9" s="88"/>
      <c r="U9" s="90"/>
    </row>
    <row r="10" spans="1:21" ht="6" customHeight="1" thickBot="1" x14ac:dyDescent="0.25"/>
    <row r="11" spans="1:21" ht="15" thickBot="1" x14ac:dyDescent="0.25">
      <c r="B11" s="82" t="s">
        <v>29</v>
      </c>
      <c r="C11" s="83"/>
      <c r="D11" s="84"/>
      <c r="E11" s="45" t="s">
        <v>32</v>
      </c>
      <c r="F11" s="84"/>
      <c r="G11" s="45" t="s">
        <v>87</v>
      </c>
      <c r="H11" s="84"/>
      <c r="I11" s="45" t="s">
        <v>88</v>
      </c>
      <c r="J11" s="86"/>
      <c r="K11" s="45" t="s">
        <v>33</v>
      </c>
      <c r="L11" s="86"/>
      <c r="M11" s="45" t="s">
        <v>85</v>
      </c>
      <c r="N11" s="45"/>
      <c r="O11" s="45" t="s">
        <v>36</v>
      </c>
      <c r="P11" s="45"/>
      <c r="Q11" s="45" t="s">
        <v>86</v>
      </c>
      <c r="R11" s="87"/>
      <c r="S11" s="93"/>
      <c r="T11" s="88"/>
      <c r="U11" s="90"/>
    </row>
    <row r="12" spans="1:21" ht="6" customHeight="1" x14ac:dyDescent="0.2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T12" s="88"/>
      <c r="U12" s="90"/>
    </row>
    <row r="13" spans="1:21" ht="15.75" x14ac:dyDescent="0.3">
      <c r="B13" s="94"/>
      <c r="C13" s="95" t="s">
        <v>91</v>
      </c>
      <c r="D13" s="53"/>
      <c r="E13" s="89">
        <f>$E$7+BOF_Sec</f>
        <v>0</v>
      </c>
      <c r="F13" s="53"/>
      <c r="G13" s="89">
        <f>$G$7</f>
        <v>0</v>
      </c>
      <c r="H13" s="53"/>
      <c r="I13" s="212"/>
      <c r="J13" s="53"/>
      <c r="K13" s="89">
        <f>$E13-$G13-$I$7</f>
        <v>0</v>
      </c>
      <c r="L13" s="53"/>
      <c r="M13" s="89">
        <f>$E13-$G13-$I13</f>
        <v>0</v>
      </c>
      <c r="N13" s="53"/>
      <c r="O13" s="89">
        <f>MAX(0,-(K$13-K$7))</f>
        <v>0</v>
      </c>
      <c r="P13" s="53"/>
      <c r="Q13" s="89">
        <f>MAX(0,-(M$13-M$7))</f>
        <v>0</v>
      </c>
      <c r="R13" s="52"/>
      <c r="S13" s="47"/>
      <c r="T13" s="90"/>
      <c r="U13" s="90"/>
    </row>
    <row r="14" spans="1:21" ht="6" customHeight="1" thickBot="1" x14ac:dyDescent="0.2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47"/>
      <c r="T14" s="88"/>
      <c r="U14" s="90"/>
    </row>
    <row r="15" spans="1:21" x14ac:dyDescent="0.2"/>
    <row r="16" spans="1:21" ht="6" customHeight="1" thickBot="1" x14ac:dyDescent="0.25"/>
    <row r="17" spans="2:21" ht="15" customHeight="1" thickBot="1" x14ac:dyDescent="0.25">
      <c r="B17" s="221" t="s">
        <v>94</v>
      </c>
      <c r="C17" s="235"/>
      <c r="D17" s="222"/>
      <c r="E17" s="128">
        <f>SUM(O32:O1048576)</f>
        <v>0</v>
      </c>
      <c r="O17" s="91"/>
      <c r="T17" s="129"/>
      <c r="U17" s="91"/>
    </row>
    <row r="18" spans="2:21" x14ac:dyDescent="0.2">
      <c r="C18" s="97"/>
      <c r="D18" s="130"/>
      <c r="E18" s="131"/>
      <c r="O18" s="91"/>
      <c r="T18" s="91"/>
      <c r="U18" s="91"/>
    </row>
    <row r="19" spans="2:21" ht="6" customHeight="1" thickBot="1" x14ac:dyDescent="0.25"/>
    <row r="20" spans="2:21" ht="15" customHeight="1" thickBot="1" x14ac:dyDescent="0.25">
      <c r="B20" s="223" t="s">
        <v>43</v>
      </c>
      <c r="C20" s="224"/>
      <c r="D20" s="224"/>
      <c r="E20" s="101" t="s">
        <v>44</v>
      </c>
      <c r="F20" s="132"/>
      <c r="G20" s="227" t="s">
        <v>45</v>
      </c>
      <c r="H20" s="227"/>
      <c r="I20" s="227"/>
      <c r="J20" s="227"/>
      <c r="K20" s="227"/>
      <c r="L20" s="227"/>
      <c r="M20" s="227"/>
      <c r="N20" s="227"/>
      <c r="O20" s="227"/>
      <c r="P20" s="228"/>
      <c r="T20" s="91"/>
      <c r="U20" s="91"/>
    </row>
    <row r="21" spans="2:21" x14ac:dyDescent="0.2">
      <c r="B21" s="243" t="s">
        <v>0</v>
      </c>
      <c r="C21" s="229"/>
      <c r="D21" s="229"/>
      <c r="E21" s="102" t="s">
        <v>48</v>
      </c>
      <c r="F21" s="133"/>
      <c r="G21" s="229" t="s">
        <v>66</v>
      </c>
      <c r="H21" s="229"/>
      <c r="I21" s="229"/>
      <c r="J21" s="229"/>
      <c r="K21" s="229"/>
      <c r="L21" s="229"/>
      <c r="M21" s="229"/>
      <c r="N21" s="229"/>
      <c r="O21" s="229"/>
      <c r="P21" s="230"/>
      <c r="T21" s="91"/>
      <c r="U21" s="91"/>
    </row>
    <row r="22" spans="2:21" x14ac:dyDescent="0.2">
      <c r="B22" s="238" t="s">
        <v>1</v>
      </c>
      <c r="C22" s="231"/>
      <c r="D22" s="231"/>
      <c r="E22" s="103" t="s">
        <v>49</v>
      </c>
      <c r="F22" s="134"/>
      <c r="G22" s="231" t="s">
        <v>111</v>
      </c>
      <c r="H22" s="231"/>
      <c r="I22" s="231"/>
      <c r="J22" s="231"/>
      <c r="K22" s="231"/>
      <c r="L22" s="231"/>
      <c r="M22" s="231"/>
      <c r="N22" s="231"/>
      <c r="O22" s="231"/>
      <c r="P22" s="232"/>
      <c r="T22" s="91"/>
      <c r="U22" s="91"/>
    </row>
    <row r="23" spans="2:21" x14ac:dyDescent="0.2">
      <c r="B23" s="238" t="s">
        <v>2</v>
      </c>
      <c r="C23" s="231"/>
      <c r="D23" s="231"/>
      <c r="E23" s="103" t="s">
        <v>50</v>
      </c>
      <c r="F23" s="134"/>
      <c r="G23" s="231" t="s">
        <v>75</v>
      </c>
      <c r="H23" s="231"/>
      <c r="I23" s="231"/>
      <c r="J23" s="231"/>
      <c r="K23" s="231"/>
      <c r="L23" s="231"/>
      <c r="M23" s="231"/>
      <c r="N23" s="231"/>
      <c r="O23" s="231"/>
      <c r="P23" s="232"/>
      <c r="T23" s="91"/>
      <c r="U23" s="91"/>
    </row>
    <row r="24" spans="2:21" x14ac:dyDescent="0.2">
      <c r="B24" s="238" t="s">
        <v>3</v>
      </c>
      <c r="C24" s="231"/>
      <c r="D24" s="231"/>
      <c r="E24" s="103" t="s">
        <v>51</v>
      </c>
      <c r="F24" s="134"/>
      <c r="G24" s="231" t="s">
        <v>76</v>
      </c>
      <c r="H24" s="231"/>
      <c r="I24" s="231"/>
      <c r="J24" s="231"/>
      <c r="K24" s="231"/>
      <c r="L24" s="231"/>
      <c r="M24" s="231"/>
      <c r="N24" s="231"/>
      <c r="O24" s="231"/>
      <c r="P24" s="232"/>
      <c r="T24" s="91"/>
      <c r="U24" s="91"/>
    </row>
    <row r="25" spans="2:21" ht="26.25" customHeight="1" x14ac:dyDescent="0.2">
      <c r="B25" s="239" t="s">
        <v>84</v>
      </c>
      <c r="C25" s="240"/>
      <c r="D25" s="240"/>
      <c r="E25" s="135" t="s">
        <v>52</v>
      </c>
      <c r="F25" s="136"/>
      <c r="G25" s="236" t="s">
        <v>133</v>
      </c>
      <c r="H25" s="236"/>
      <c r="I25" s="236"/>
      <c r="J25" s="236"/>
      <c r="K25" s="236"/>
      <c r="L25" s="236"/>
      <c r="M25" s="236"/>
      <c r="N25" s="236"/>
      <c r="O25" s="236"/>
      <c r="P25" s="237"/>
      <c r="T25" s="91"/>
      <c r="U25" s="91"/>
    </row>
    <row r="26" spans="2:21" x14ac:dyDescent="0.2">
      <c r="B26" s="238" t="s">
        <v>93</v>
      </c>
      <c r="C26" s="231"/>
      <c r="D26" s="231"/>
      <c r="E26" s="103" t="s">
        <v>53</v>
      </c>
      <c r="F26" s="134"/>
      <c r="G26" s="231" t="s">
        <v>82</v>
      </c>
      <c r="H26" s="231"/>
      <c r="I26" s="231"/>
      <c r="J26" s="231"/>
      <c r="K26" s="231"/>
      <c r="L26" s="231"/>
      <c r="M26" s="231"/>
      <c r="N26" s="231"/>
      <c r="O26" s="231"/>
      <c r="P26" s="232"/>
      <c r="T26" s="91"/>
      <c r="U26" s="91"/>
    </row>
    <row r="27" spans="2:21" ht="15" customHeight="1" thickBot="1" x14ac:dyDescent="0.25">
      <c r="B27" s="241" t="s">
        <v>94</v>
      </c>
      <c r="C27" s="242"/>
      <c r="D27" s="242"/>
      <c r="E27" s="137" t="s">
        <v>54</v>
      </c>
      <c r="F27" s="138"/>
      <c r="G27" s="244" t="s">
        <v>83</v>
      </c>
      <c r="H27" s="244"/>
      <c r="I27" s="244"/>
      <c r="J27" s="244"/>
      <c r="K27" s="244"/>
      <c r="L27" s="244"/>
      <c r="M27" s="244"/>
      <c r="N27" s="244"/>
      <c r="O27" s="244"/>
      <c r="P27" s="245"/>
      <c r="T27" s="91"/>
      <c r="U27" s="91"/>
    </row>
    <row r="28" spans="2:21" x14ac:dyDescent="0.2"/>
    <row r="29" spans="2:21" ht="6" customHeight="1" thickBot="1" x14ac:dyDescent="0.25"/>
    <row r="30" spans="2:21" ht="26.25" thickBot="1" x14ac:dyDescent="0.25">
      <c r="B30" s="107"/>
      <c r="C30" s="108" t="s">
        <v>0</v>
      </c>
      <c r="D30" s="109"/>
      <c r="E30" s="110" t="s">
        <v>1</v>
      </c>
      <c r="F30" s="111"/>
      <c r="G30" s="110" t="s">
        <v>2</v>
      </c>
      <c r="H30" s="111"/>
      <c r="I30" s="110" t="s">
        <v>3</v>
      </c>
      <c r="J30" s="110"/>
      <c r="K30" s="110" t="s">
        <v>30</v>
      </c>
      <c r="L30" s="110"/>
      <c r="M30" s="110" t="s">
        <v>89</v>
      </c>
      <c r="N30" s="111"/>
      <c r="O30" s="112" t="s">
        <v>94</v>
      </c>
      <c r="P30" s="113"/>
      <c r="Q30" s="139"/>
      <c r="T30" s="140"/>
      <c r="U30" s="91"/>
    </row>
    <row r="31" spans="2:21" ht="6" customHeight="1" x14ac:dyDescent="0.2">
      <c r="B31" s="5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14"/>
      <c r="P31" s="115"/>
      <c r="Q31" s="141"/>
      <c r="T31" s="140"/>
      <c r="U31" s="91"/>
    </row>
    <row r="32" spans="2:21" x14ac:dyDescent="0.2">
      <c r="B32" s="116"/>
      <c r="C32" s="207"/>
      <c r="D32" s="53"/>
      <c r="E32" s="208"/>
      <c r="F32" s="53"/>
      <c r="G32" s="209"/>
      <c r="H32" s="53"/>
      <c r="I32" s="210"/>
      <c r="J32" s="53"/>
      <c r="K32" s="211"/>
      <c r="L32" s="53"/>
      <c r="M32" s="122" t="str">
        <f t="array" ref="M32">IF(OR($C32="",$E32="",$G32="",$I32="",$K32=""),"",IF($G32="Unrated",1,MIN(1,$I32*SUM((Sec_Type=IF(AND($K32="Type 1",$G32&gt;3),"Type 2",$K32))*(CQS=$G32)*(Sec_Mult)))))</f>
        <v/>
      </c>
      <c r="N32" s="53"/>
      <c r="O32" s="123" t="str">
        <f>IF($M32="","",-$M32*$E32)</f>
        <v/>
      </c>
      <c r="P32" s="115"/>
      <c r="Q32" s="141"/>
      <c r="T32" s="90"/>
      <c r="U32" s="91"/>
    </row>
    <row r="33" spans="2:21" x14ac:dyDescent="0.2">
      <c r="B33" s="116"/>
      <c r="C33" s="207"/>
      <c r="D33" s="53"/>
      <c r="E33" s="208"/>
      <c r="F33" s="53"/>
      <c r="G33" s="209"/>
      <c r="H33" s="53"/>
      <c r="I33" s="210"/>
      <c r="J33" s="53"/>
      <c r="K33" s="211"/>
      <c r="L33" s="53"/>
      <c r="M33" s="122" t="str">
        <f t="array" ref="M33">IF(OR($C33="",$E33="",$G33="",$I33="",$K33=""),"",IF($G33="Unrated",1,MIN(1,$I33*SUM((Sec_Type=IF(AND($K33="Type 1",$G33&gt;3),"Type 2",$K33))*(CQS=$G33)*(Sec_Mult)))))</f>
        <v/>
      </c>
      <c r="N33" s="53"/>
      <c r="O33" s="123" t="str">
        <f t="shared" ref="O33:O96" si="0">IF($M33="","",-$M33*$E33)</f>
        <v/>
      </c>
      <c r="P33" s="115"/>
      <c r="Q33" s="141"/>
      <c r="T33" s="90"/>
      <c r="U33" s="91"/>
    </row>
    <row r="34" spans="2:21" x14ac:dyDescent="0.2">
      <c r="B34" s="116"/>
      <c r="C34" s="207"/>
      <c r="D34" s="53"/>
      <c r="E34" s="208"/>
      <c r="F34" s="53"/>
      <c r="G34" s="209"/>
      <c r="H34" s="53"/>
      <c r="I34" s="210"/>
      <c r="J34" s="53"/>
      <c r="K34" s="211"/>
      <c r="L34" s="53"/>
      <c r="M34" s="122" t="str">
        <f t="array" ref="M34">IF(OR($C34="",$E34="",$G34="",$I34="",$K34=""),"",IF($G34="Unrated",1,MIN(1,$I34*SUM((Sec_Type=IF(AND($K34="Type 1",$G34&gt;3),"Type 2",$K34))*(CQS=$G34)*(Sec_Mult)))))</f>
        <v/>
      </c>
      <c r="N34" s="53"/>
      <c r="O34" s="123" t="str">
        <f t="shared" si="0"/>
        <v/>
      </c>
      <c r="P34" s="115"/>
      <c r="Q34" s="141"/>
      <c r="T34" s="90"/>
      <c r="U34" s="91"/>
    </row>
    <row r="35" spans="2:21" x14ac:dyDescent="0.2">
      <c r="B35" s="116"/>
      <c r="C35" s="207"/>
      <c r="D35" s="53"/>
      <c r="E35" s="208"/>
      <c r="F35" s="53"/>
      <c r="G35" s="209"/>
      <c r="H35" s="53"/>
      <c r="I35" s="210"/>
      <c r="J35" s="53"/>
      <c r="K35" s="211"/>
      <c r="L35" s="53"/>
      <c r="M35" s="122" t="str">
        <f t="array" ref="M35">IF(OR($C35="",$E35="",$G35="",$I35="",$K35=""),"",IF($G35="Unrated",1,MIN(1,$I35*SUM((Sec_Type=IF(AND($K35="Type 1",$G35&gt;3),"Type 2",$K35))*(CQS=$G35)*(Sec_Mult)))))</f>
        <v/>
      </c>
      <c r="N35" s="53"/>
      <c r="O35" s="123" t="str">
        <f t="shared" si="0"/>
        <v/>
      </c>
      <c r="P35" s="115"/>
      <c r="Q35" s="141"/>
      <c r="T35" s="90"/>
      <c r="U35" s="91"/>
    </row>
    <row r="36" spans="2:21" x14ac:dyDescent="0.2">
      <c r="B36" s="116"/>
      <c r="C36" s="207"/>
      <c r="D36" s="53"/>
      <c r="E36" s="208"/>
      <c r="F36" s="53"/>
      <c r="G36" s="209"/>
      <c r="H36" s="53"/>
      <c r="I36" s="210"/>
      <c r="J36" s="53"/>
      <c r="K36" s="211"/>
      <c r="L36" s="53"/>
      <c r="M36" s="122" t="str">
        <f t="array" ref="M36">IF(OR($C36="",$E36="",$G36="",$I36="",$K36=""),"",IF($G36="Unrated",1,MIN(1,$I36*SUM((Sec_Type=IF(AND($K36="Type 1",$G36&gt;3),"Type 2",$K36))*(CQS=$G36)*(Sec_Mult)))))</f>
        <v/>
      </c>
      <c r="N36" s="53"/>
      <c r="O36" s="123" t="str">
        <f t="shared" si="0"/>
        <v/>
      </c>
      <c r="P36" s="115"/>
      <c r="Q36" s="141"/>
      <c r="T36" s="90"/>
      <c r="U36" s="91"/>
    </row>
    <row r="37" spans="2:21" x14ac:dyDescent="0.2">
      <c r="B37" s="116"/>
      <c r="C37" s="207"/>
      <c r="D37" s="53"/>
      <c r="E37" s="208"/>
      <c r="F37" s="53"/>
      <c r="G37" s="209"/>
      <c r="H37" s="53"/>
      <c r="I37" s="210"/>
      <c r="J37" s="53"/>
      <c r="K37" s="211"/>
      <c r="L37" s="53"/>
      <c r="M37" s="122" t="str">
        <f t="array" ref="M37">IF(OR($C37="",$E37="",$G37="",$I37="",$K37=""),"",IF($G37="Unrated",1,MIN(1,$I37*SUM((Sec_Type=IF(AND($K37="Type 1",$G37&gt;3),"Type 2",$K37))*(CQS=$G37)*(Sec_Mult)))))</f>
        <v/>
      </c>
      <c r="N37" s="53"/>
      <c r="O37" s="123" t="str">
        <f t="shared" si="0"/>
        <v/>
      </c>
      <c r="P37" s="115"/>
      <c r="Q37" s="141"/>
      <c r="T37" s="90"/>
      <c r="U37" s="91"/>
    </row>
    <row r="38" spans="2:21" x14ac:dyDescent="0.2">
      <c r="B38" s="116"/>
      <c r="C38" s="207"/>
      <c r="D38" s="53"/>
      <c r="E38" s="208"/>
      <c r="F38" s="53"/>
      <c r="G38" s="209"/>
      <c r="H38" s="53"/>
      <c r="I38" s="210"/>
      <c r="J38" s="53"/>
      <c r="K38" s="211"/>
      <c r="L38" s="53"/>
      <c r="M38" s="122" t="str">
        <f t="array" ref="M38">IF(OR($C38="",$E38="",$G38="",$I38="",$K38=""),"",IF($G38="Unrated",1,MIN(1,$I38*SUM((Sec_Type=IF(AND($K38="Type 1",$G38&gt;3),"Type 2",$K38))*(CQS=$G38)*(Sec_Mult)))))</f>
        <v/>
      </c>
      <c r="N38" s="53"/>
      <c r="O38" s="123" t="str">
        <f t="shared" si="0"/>
        <v/>
      </c>
      <c r="P38" s="115"/>
      <c r="Q38" s="141"/>
      <c r="T38" s="90"/>
      <c r="U38" s="91"/>
    </row>
    <row r="39" spans="2:21" x14ac:dyDescent="0.2">
      <c r="B39" s="116"/>
      <c r="C39" s="207"/>
      <c r="D39" s="53"/>
      <c r="E39" s="208"/>
      <c r="F39" s="53"/>
      <c r="G39" s="209"/>
      <c r="H39" s="53"/>
      <c r="I39" s="210"/>
      <c r="J39" s="53"/>
      <c r="K39" s="211"/>
      <c r="L39" s="53"/>
      <c r="M39" s="122" t="str">
        <f t="array" ref="M39">IF(OR($C39="",$E39="",$G39="",$I39="",$K39=""),"",IF($G39="Unrated",1,MIN(1,$I39*SUM((Sec_Type=IF(AND($K39="Type 1",$G39&gt;3),"Type 2",$K39))*(CQS=$G39)*(Sec_Mult)))))</f>
        <v/>
      </c>
      <c r="N39" s="53"/>
      <c r="O39" s="123" t="str">
        <f t="shared" si="0"/>
        <v/>
      </c>
      <c r="P39" s="115"/>
      <c r="Q39" s="141"/>
      <c r="T39" s="90"/>
      <c r="U39" s="91"/>
    </row>
    <row r="40" spans="2:21" x14ac:dyDescent="0.2">
      <c r="B40" s="116"/>
      <c r="C40" s="207"/>
      <c r="D40" s="53"/>
      <c r="E40" s="208"/>
      <c r="F40" s="53"/>
      <c r="G40" s="209"/>
      <c r="H40" s="53"/>
      <c r="I40" s="210"/>
      <c r="J40" s="53"/>
      <c r="K40" s="211"/>
      <c r="L40" s="53"/>
      <c r="M40" s="122" t="str">
        <f t="array" ref="M40">IF(OR($C40="",$E40="",$G40="",$I40="",$K40=""),"",IF($G40="Unrated",1,MIN(1,$I40*SUM((Sec_Type=IF(AND($K40="Type 1",$G40&gt;3),"Type 2",$K40))*(CQS=$G40)*(Sec_Mult)))))</f>
        <v/>
      </c>
      <c r="N40" s="53"/>
      <c r="O40" s="123" t="str">
        <f t="shared" si="0"/>
        <v/>
      </c>
      <c r="P40" s="115"/>
      <c r="Q40" s="141"/>
      <c r="T40" s="90"/>
      <c r="U40" s="91"/>
    </row>
    <row r="41" spans="2:21" x14ac:dyDescent="0.2">
      <c r="B41" s="116"/>
      <c r="C41" s="207"/>
      <c r="D41" s="53"/>
      <c r="E41" s="208"/>
      <c r="F41" s="53"/>
      <c r="G41" s="209"/>
      <c r="H41" s="53"/>
      <c r="I41" s="210"/>
      <c r="J41" s="53"/>
      <c r="K41" s="211"/>
      <c r="L41" s="53"/>
      <c r="M41" s="122" t="str">
        <f t="array" ref="M41">IF(OR($C41="",$E41="",$G41="",$I41="",$K41=""),"",IF($G41="Unrated",1,MIN(1,$I41*SUM((Sec_Type=IF(AND($K41="Type 1",$G41&gt;3),"Type 2",$K41))*(CQS=$G41)*(Sec_Mult)))))</f>
        <v/>
      </c>
      <c r="N41" s="53"/>
      <c r="O41" s="123" t="str">
        <f t="shared" si="0"/>
        <v/>
      </c>
      <c r="P41" s="115"/>
      <c r="Q41" s="141"/>
      <c r="T41" s="90"/>
      <c r="U41" s="91"/>
    </row>
    <row r="42" spans="2:21" x14ac:dyDescent="0.2">
      <c r="B42" s="116"/>
      <c r="C42" s="207"/>
      <c r="D42" s="53"/>
      <c r="E42" s="208"/>
      <c r="F42" s="53"/>
      <c r="G42" s="209"/>
      <c r="H42" s="53"/>
      <c r="I42" s="210"/>
      <c r="J42" s="53"/>
      <c r="K42" s="211"/>
      <c r="L42" s="53"/>
      <c r="M42" s="122" t="str">
        <f t="array" ref="M42">IF(OR($C42="",$E42="",$G42="",$I42="",$K42=""),"",IF($G42="Unrated",1,MIN(1,$I42*SUM((Sec_Type=IF(AND($K42="Type 1",$G42&gt;3),"Type 2",$K42))*(CQS=$G42)*(Sec_Mult)))))</f>
        <v/>
      </c>
      <c r="N42" s="53"/>
      <c r="O42" s="123" t="str">
        <f t="shared" si="0"/>
        <v/>
      </c>
      <c r="P42" s="115"/>
      <c r="Q42" s="141"/>
      <c r="T42" s="90"/>
      <c r="U42" s="91"/>
    </row>
    <row r="43" spans="2:21" x14ac:dyDescent="0.2">
      <c r="B43" s="116"/>
      <c r="C43" s="207"/>
      <c r="D43" s="53"/>
      <c r="E43" s="208"/>
      <c r="F43" s="53"/>
      <c r="G43" s="209"/>
      <c r="H43" s="53"/>
      <c r="I43" s="210"/>
      <c r="J43" s="53"/>
      <c r="K43" s="211"/>
      <c r="L43" s="53"/>
      <c r="M43" s="122" t="str">
        <f t="array" ref="M43">IF(OR($C43="",$E43="",$G43="",$I43="",$K43=""),"",IF($G43="Unrated",1,MIN(1,$I43*SUM((Sec_Type=IF(AND($K43="Type 1",$G43&gt;3),"Type 2",$K43))*(CQS=$G43)*(Sec_Mult)))))</f>
        <v/>
      </c>
      <c r="N43" s="53"/>
      <c r="O43" s="123" t="str">
        <f t="shared" si="0"/>
        <v/>
      </c>
      <c r="P43" s="115"/>
      <c r="Q43" s="141"/>
      <c r="T43" s="90"/>
      <c r="U43" s="91"/>
    </row>
    <row r="44" spans="2:21" x14ac:dyDescent="0.2">
      <c r="B44" s="116"/>
      <c r="C44" s="207"/>
      <c r="D44" s="53"/>
      <c r="E44" s="208"/>
      <c r="F44" s="53"/>
      <c r="G44" s="209"/>
      <c r="H44" s="53"/>
      <c r="I44" s="210"/>
      <c r="J44" s="53"/>
      <c r="K44" s="211"/>
      <c r="L44" s="53"/>
      <c r="M44" s="122" t="str">
        <f t="array" ref="M44">IF(OR($C44="",$E44="",$G44="",$I44="",$K44=""),"",IF($G44="Unrated",1,MIN(1,$I44*SUM((Sec_Type=IF(AND($K44="Type 1",$G44&gt;3),"Type 2",$K44))*(CQS=$G44)*(Sec_Mult)))))</f>
        <v/>
      </c>
      <c r="N44" s="53"/>
      <c r="O44" s="123" t="str">
        <f t="shared" si="0"/>
        <v/>
      </c>
      <c r="P44" s="115"/>
      <c r="Q44" s="141"/>
      <c r="T44" s="90"/>
      <c r="U44" s="91"/>
    </row>
    <row r="45" spans="2:21" x14ac:dyDescent="0.2">
      <c r="B45" s="116"/>
      <c r="C45" s="207"/>
      <c r="D45" s="53"/>
      <c r="E45" s="208"/>
      <c r="F45" s="53"/>
      <c r="G45" s="209"/>
      <c r="H45" s="53"/>
      <c r="I45" s="210"/>
      <c r="J45" s="53"/>
      <c r="K45" s="211"/>
      <c r="L45" s="53"/>
      <c r="M45" s="122" t="str">
        <f t="array" ref="M45">IF(OR($C45="",$E45="",$G45="",$I45="",$K45=""),"",IF($G45="Unrated",1,MIN(1,$I45*SUM((Sec_Type=IF(AND($K45="Type 1",$G45&gt;3),"Type 2",$K45))*(CQS=$G45)*(Sec_Mult)))))</f>
        <v/>
      </c>
      <c r="N45" s="53"/>
      <c r="O45" s="123" t="str">
        <f t="shared" si="0"/>
        <v/>
      </c>
      <c r="P45" s="115"/>
      <c r="Q45" s="141"/>
      <c r="T45" s="90"/>
      <c r="U45" s="91"/>
    </row>
    <row r="46" spans="2:21" x14ac:dyDescent="0.2">
      <c r="B46" s="116"/>
      <c r="C46" s="207"/>
      <c r="D46" s="53"/>
      <c r="E46" s="208"/>
      <c r="F46" s="53"/>
      <c r="G46" s="209"/>
      <c r="H46" s="53"/>
      <c r="I46" s="210"/>
      <c r="J46" s="53"/>
      <c r="K46" s="211"/>
      <c r="L46" s="53"/>
      <c r="M46" s="122" t="str">
        <f t="array" ref="M46">IF(OR($C46="",$E46="",$G46="",$I46="",$K46=""),"",IF($G46="Unrated",1,MIN(1,$I46*SUM((Sec_Type=IF(AND($K46="Type 1",$G46&gt;3),"Type 2",$K46))*(CQS=$G46)*(Sec_Mult)))))</f>
        <v/>
      </c>
      <c r="N46" s="53"/>
      <c r="O46" s="123" t="str">
        <f t="shared" si="0"/>
        <v/>
      </c>
      <c r="P46" s="115"/>
      <c r="Q46" s="141"/>
      <c r="T46" s="90"/>
      <c r="U46" s="91"/>
    </row>
    <row r="47" spans="2:21" x14ac:dyDescent="0.2">
      <c r="B47" s="116"/>
      <c r="C47" s="207"/>
      <c r="D47" s="53"/>
      <c r="E47" s="208"/>
      <c r="F47" s="53"/>
      <c r="G47" s="209"/>
      <c r="H47" s="53"/>
      <c r="I47" s="210"/>
      <c r="J47" s="53"/>
      <c r="K47" s="211"/>
      <c r="L47" s="53"/>
      <c r="M47" s="122" t="str">
        <f t="array" ref="M47">IF(OR($C47="",$E47="",$G47="",$I47="",$K47=""),"",IF($G47="Unrated",1,MIN(1,$I47*SUM((Sec_Type=IF(AND($K47="Type 1",$G47&gt;3),"Type 2",$K47))*(CQS=$G47)*(Sec_Mult)))))</f>
        <v/>
      </c>
      <c r="N47" s="53"/>
      <c r="O47" s="123" t="str">
        <f t="shared" si="0"/>
        <v/>
      </c>
      <c r="P47" s="115"/>
      <c r="Q47" s="141"/>
      <c r="T47" s="90"/>
      <c r="U47" s="91"/>
    </row>
    <row r="48" spans="2:21" x14ac:dyDescent="0.2">
      <c r="B48" s="116"/>
      <c r="C48" s="207"/>
      <c r="D48" s="53"/>
      <c r="E48" s="208"/>
      <c r="F48" s="53"/>
      <c r="G48" s="209"/>
      <c r="H48" s="53"/>
      <c r="I48" s="210"/>
      <c r="J48" s="53"/>
      <c r="K48" s="211"/>
      <c r="L48" s="53"/>
      <c r="M48" s="122" t="str">
        <f t="array" ref="M48">IF(OR($C48="",$E48="",$G48="",$I48="",$K48=""),"",IF($G48="Unrated",1,MIN(1,$I48*SUM((Sec_Type=IF(AND($K48="Type 1",$G48&gt;3),"Type 2",$K48))*(CQS=$G48)*(Sec_Mult)))))</f>
        <v/>
      </c>
      <c r="N48" s="53"/>
      <c r="O48" s="123" t="str">
        <f t="shared" si="0"/>
        <v/>
      </c>
      <c r="P48" s="115"/>
      <c r="Q48" s="141"/>
      <c r="T48" s="90"/>
      <c r="U48" s="91"/>
    </row>
    <row r="49" spans="2:21" x14ac:dyDescent="0.2">
      <c r="B49" s="116"/>
      <c r="C49" s="207"/>
      <c r="D49" s="53"/>
      <c r="E49" s="208"/>
      <c r="F49" s="53"/>
      <c r="G49" s="209"/>
      <c r="H49" s="53"/>
      <c r="I49" s="210"/>
      <c r="J49" s="53"/>
      <c r="K49" s="211"/>
      <c r="L49" s="53"/>
      <c r="M49" s="122" t="str">
        <f t="array" ref="M49">IF(OR($C49="",$E49="",$G49="",$I49="",$K49=""),"",IF($G49="Unrated",1,MIN(1,$I49*SUM((Sec_Type=IF(AND($K49="Type 1",$G49&gt;3),"Type 2",$K49))*(CQS=$G49)*(Sec_Mult)))))</f>
        <v/>
      </c>
      <c r="N49" s="53"/>
      <c r="O49" s="123" t="str">
        <f t="shared" si="0"/>
        <v/>
      </c>
      <c r="P49" s="115"/>
      <c r="Q49" s="141"/>
      <c r="T49" s="90"/>
      <c r="U49" s="91"/>
    </row>
    <row r="50" spans="2:21" x14ac:dyDescent="0.2">
      <c r="B50" s="116"/>
      <c r="C50" s="207"/>
      <c r="D50" s="53"/>
      <c r="E50" s="208"/>
      <c r="F50" s="53"/>
      <c r="G50" s="209"/>
      <c r="H50" s="53"/>
      <c r="I50" s="210"/>
      <c r="J50" s="53"/>
      <c r="K50" s="211"/>
      <c r="L50" s="53"/>
      <c r="M50" s="122" t="str">
        <f t="array" ref="M50">IF(OR($C50="",$E50="",$G50="",$I50="",$K50=""),"",IF($G50="Unrated",1,MIN(1,$I50*SUM((Sec_Type=IF(AND($K50="Type 1",$G50&gt;3),"Type 2",$K50))*(CQS=$G50)*(Sec_Mult)))))</f>
        <v/>
      </c>
      <c r="N50" s="53"/>
      <c r="O50" s="123" t="str">
        <f t="shared" si="0"/>
        <v/>
      </c>
      <c r="P50" s="115"/>
      <c r="Q50" s="141"/>
      <c r="T50" s="90"/>
      <c r="U50" s="91"/>
    </row>
    <row r="51" spans="2:21" x14ac:dyDescent="0.2">
      <c r="B51" s="116"/>
      <c r="C51" s="207"/>
      <c r="D51" s="53"/>
      <c r="E51" s="208"/>
      <c r="F51" s="53"/>
      <c r="G51" s="209"/>
      <c r="H51" s="53"/>
      <c r="I51" s="210"/>
      <c r="J51" s="53"/>
      <c r="K51" s="211"/>
      <c r="L51" s="53"/>
      <c r="M51" s="122" t="str">
        <f t="array" ref="M51">IF(OR($C51="",$E51="",$G51="",$I51="",$K51=""),"",IF($G51="Unrated",1,MIN(1,$I51*SUM((Sec_Type=IF(AND($K51="Type 1",$G51&gt;3),"Type 2",$K51))*(CQS=$G51)*(Sec_Mult)))))</f>
        <v/>
      </c>
      <c r="N51" s="53"/>
      <c r="O51" s="123" t="str">
        <f t="shared" si="0"/>
        <v/>
      </c>
      <c r="P51" s="115"/>
      <c r="Q51" s="141"/>
      <c r="T51" s="90"/>
      <c r="U51" s="91"/>
    </row>
    <row r="52" spans="2:21" x14ac:dyDescent="0.2">
      <c r="B52" s="116"/>
      <c r="C52" s="207"/>
      <c r="D52" s="53"/>
      <c r="E52" s="208"/>
      <c r="F52" s="53"/>
      <c r="G52" s="209"/>
      <c r="H52" s="53"/>
      <c r="I52" s="210"/>
      <c r="J52" s="53"/>
      <c r="K52" s="211"/>
      <c r="L52" s="53"/>
      <c r="M52" s="122" t="str">
        <f t="array" ref="M52">IF(OR($C52="",$E52="",$G52="",$I52="",$K52=""),"",IF($G52="Unrated",1,MIN(1,$I52*SUM((Sec_Type=IF(AND($K52="Type 1",$G52&gt;3),"Type 2",$K52))*(CQS=$G52)*(Sec_Mult)))))</f>
        <v/>
      </c>
      <c r="N52" s="53"/>
      <c r="O52" s="123" t="str">
        <f t="shared" si="0"/>
        <v/>
      </c>
      <c r="P52" s="115"/>
      <c r="Q52" s="141"/>
      <c r="T52" s="90"/>
      <c r="U52" s="91"/>
    </row>
    <row r="53" spans="2:21" x14ac:dyDescent="0.2">
      <c r="B53" s="116"/>
      <c r="C53" s="207"/>
      <c r="D53" s="53"/>
      <c r="E53" s="208"/>
      <c r="F53" s="53"/>
      <c r="G53" s="209"/>
      <c r="H53" s="53"/>
      <c r="I53" s="210"/>
      <c r="J53" s="53"/>
      <c r="K53" s="211"/>
      <c r="L53" s="53"/>
      <c r="M53" s="122" t="str">
        <f t="array" ref="M53">IF(OR($C53="",$E53="",$G53="",$I53="",$K53=""),"",IF($G53="Unrated",1,MIN(1,$I53*SUM((Sec_Type=IF(AND($K53="Type 1",$G53&gt;3),"Type 2",$K53))*(CQS=$G53)*(Sec_Mult)))))</f>
        <v/>
      </c>
      <c r="N53" s="53"/>
      <c r="O53" s="123" t="str">
        <f t="shared" si="0"/>
        <v/>
      </c>
      <c r="P53" s="115"/>
      <c r="Q53" s="141"/>
      <c r="T53" s="90"/>
      <c r="U53" s="91"/>
    </row>
    <row r="54" spans="2:21" x14ac:dyDescent="0.2">
      <c r="B54" s="116"/>
      <c r="C54" s="207"/>
      <c r="D54" s="53"/>
      <c r="E54" s="208"/>
      <c r="F54" s="53"/>
      <c r="G54" s="209"/>
      <c r="H54" s="53"/>
      <c r="I54" s="210"/>
      <c r="J54" s="53"/>
      <c r="K54" s="211"/>
      <c r="L54" s="53"/>
      <c r="M54" s="122" t="str">
        <f t="array" ref="M54">IF(OR($C54="",$E54="",$G54="",$I54="",$K54=""),"",IF($G54="Unrated",1,MIN(1,$I54*SUM((Sec_Type=IF(AND($K54="Type 1",$G54&gt;3),"Type 2",$K54))*(CQS=$G54)*(Sec_Mult)))))</f>
        <v/>
      </c>
      <c r="N54" s="53"/>
      <c r="O54" s="123" t="str">
        <f t="shared" si="0"/>
        <v/>
      </c>
      <c r="P54" s="115"/>
      <c r="Q54" s="141"/>
      <c r="T54" s="90"/>
      <c r="U54" s="91"/>
    </row>
    <row r="55" spans="2:21" x14ac:dyDescent="0.2">
      <c r="B55" s="116"/>
      <c r="C55" s="207"/>
      <c r="D55" s="53"/>
      <c r="E55" s="208"/>
      <c r="F55" s="53"/>
      <c r="G55" s="209"/>
      <c r="H55" s="53"/>
      <c r="I55" s="210"/>
      <c r="J55" s="53"/>
      <c r="K55" s="211"/>
      <c r="L55" s="53"/>
      <c r="M55" s="122" t="str">
        <f t="array" ref="M55">IF(OR($C55="",$E55="",$G55="",$I55="",$K55=""),"",IF($G55="Unrated",1,MIN(1,$I55*SUM((Sec_Type=IF(AND($K55="Type 1",$G55&gt;3),"Type 2",$K55))*(CQS=$G55)*(Sec_Mult)))))</f>
        <v/>
      </c>
      <c r="N55" s="53"/>
      <c r="O55" s="123" t="str">
        <f t="shared" si="0"/>
        <v/>
      </c>
      <c r="P55" s="115"/>
      <c r="Q55" s="141"/>
      <c r="T55" s="90"/>
      <c r="U55" s="91"/>
    </row>
    <row r="56" spans="2:21" x14ac:dyDescent="0.2">
      <c r="B56" s="116"/>
      <c r="C56" s="207"/>
      <c r="D56" s="53"/>
      <c r="E56" s="208"/>
      <c r="F56" s="53"/>
      <c r="G56" s="209"/>
      <c r="H56" s="53"/>
      <c r="I56" s="210"/>
      <c r="J56" s="53"/>
      <c r="K56" s="211"/>
      <c r="L56" s="53"/>
      <c r="M56" s="122" t="str">
        <f t="array" ref="M56">IF(OR($C56="",$E56="",$G56="",$I56="",$K56=""),"",IF($G56="Unrated",1,MIN(1,$I56*SUM((Sec_Type=IF(AND($K56="Type 1",$G56&gt;3),"Type 2",$K56))*(CQS=$G56)*(Sec_Mult)))))</f>
        <v/>
      </c>
      <c r="N56" s="53"/>
      <c r="O56" s="123" t="str">
        <f t="shared" si="0"/>
        <v/>
      </c>
      <c r="P56" s="115"/>
      <c r="Q56" s="141"/>
      <c r="T56" s="90"/>
      <c r="U56" s="91"/>
    </row>
    <row r="57" spans="2:21" x14ac:dyDescent="0.2">
      <c r="B57" s="116"/>
      <c r="C57" s="207"/>
      <c r="D57" s="53"/>
      <c r="E57" s="208"/>
      <c r="F57" s="53"/>
      <c r="G57" s="209"/>
      <c r="H57" s="53"/>
      <c r="I57" s="210"/>
      <c r="J57" s="53"/>
      <c r="K57" s="211"/>
      <c r="L57" s="53"/>
      <c r="M57" s="122" t="str">
        <f t="array" ref="M57">IF(OR($C57="",$E57="",$G57="",$I57="",$K57=""),"",IF($G57="Unrated",1,MIN(1,$I57*SUM((Sec_Type=IF(AND($K57="Type 1",$G57&gt;3),"Type 2",$K57))*(CQS=$G57)*(Sec_Mult)))))</f>
        <v/>
      </c>
      <c r="N57" s="53"/>
      <c r="O57" s="123" t="str">
        <f t="shared" si="0"/>
        <v/>
      </c>
      <c r="P57" s="115"/>
      <c r="Q57" s="141"/>
      <c r="T57" s="90"/>
      <c r="U57" s="91"/>
    </row>
    <row r="58" spans="2:21" x14ac:dyDescent="0.2">
      <c r="B58" s="116"/>
      <c r="C58" s="207"/>
      <c r="D58" s="53"/>
      <c r="E58" s="208"/>
      <c r="F58" s="53"/>
      <c r="G58" s="209"/>
      <c r="H58" s="53"/>
      <c r="I58" s="210"/>
      <c r="J58" s="53"/>
      <c r="K58" s="211"/>
      <c r="L58" s="53"/>
      <c r="M58" s="122" t="str">
        <f t="array" ref="M58">IF(OR($C58="",$E58="",$G58="",$I58="",$K58=""),"",IF($G58="Unrated",1,MIN(1,$I58*SUM((Sec_Type=IF(AND($K58="Type 1",$G58&gt;3),"Type 2",$K58))*(CQS=$G58)*(Sec_Mult)))))</f>
        <v/>
      </c>
      <c r="N58" s="53"/>
      <c r="O58" s="123" t="str">
        <f t="shared" si="0"/>
        <v/>
      </c>
      <c r="P58" s="115"/>
      <c r="Q58" s="141"/>
      <c r="T58" s="90"/>
      <c r="U58" s="91"/>
    </row>
    <row r="59" spans="2:21" x14ac:dyDescent="0.2">
      <c r="B59" s="116"/>
      <c r="C59" s="207"/>
      <c r="D59" s="53"/>
      <c r="E59" s="208"/>
      <c r="F59" s="53"/>
      <c r="G59" s="209"/>
      <c r="H59" s="53"/>
      <c r="I59" s="210"/>
      <c r="J59" s="53"/>
      <c r="K59" s="211"/>
      <c r="L59" s="53"/>
      <c r="M59" s="122" t="str">
        <f t="array" ref="M59">IF(OR($C59="",$E59="",$G59="",$I59="",$K59=""),"",IF($G59="Unrated",1,MIN(1,$I59*SUM((Sec_Type=IF(AND($K59="Type 1",$G59&gt;3),"Type 2",$K59))*(CQS=$G59)*(Sec_Mult)))))</f>
        <v/>
      </c>
      <c r="N59" s="53"/>
      <c r="O59" s="123" t="str">
        <f t="shared" si="0"/>
        <v/>
      </c>
      <c r="P59" s="115"/>
      <c r="Q59" s="141"/>
      <c r="T59" s="90"/>
      <c r="U59" s="91"/>
    </row>
    <row r="60" spans="2:21" x14ac:dyDescent="0.2">
      <c r="B60" s="116"/>
      <c r="C60" s="207"/>
      <c r="D60" s="53"/>
      <c r="E60" s="208"/>
      <c r="F60" s="53"/>
      <c r="G60" s="209"/>
      <c r="H60" s="53"/>
      <c r="I60" s="210"/>
      <c r="J60" s="53"/>
      <c r="K60" s="211"/>
      <c r="L60" s="53"/>
      <c r="M60" s="122" t="str">
        <f t="array" ref="M60">IF(OR($C60="",$E60="",$G60="",$I60="",$K60=""),"",IF($G60="Unrated",1,MIN(1,$I60*SUM((Sec_Type=IF(AND($K60="Type 1",$G60&gt;3),"Type 2",$K60))*(CQS=$G60)*(Sec_Mult)))))</f>
        <v/>
      </c>
      <c r="N60" s="53"/>
      <c r="O60" s="123" t="str">
        <f t="shared" si="0"/>
        <v/>
      </c>
      <c r="P60" s="115"/>
      <c r="Q60" s="141"/>
      <c r="T60" s="90"/>
      <c r="U60" s="91"/>
    </row>
    <row r="61" spans="2:21" x14ac:dyDescent="0.2">
      <c r="B61" s="116"/>
      <c r="C61" s="207"/>
      <c r="D61" s="53"/>
      <c r="E61" s="208"/>
      <c r="F61" s="53"/>
      <c r="G61" s="209"/>
      <c r="H61" s="53"/>
      <c r="I61" s="210"/>
      <c r="J61" s="53"/>
      <c r="K61" s="211"/>
      <c r="L61" s="53"/>
      <c r="M61" s="122" t="str">
        <f t="array" ref="M61">IF(OR($C61="",$E61="",$G61="",$I61="",$K61=""),"",IF($G61="Unrated",1,MIN(1,$I61*SUM((Sec_Type=IF(AND($K61="Type 1",$G61&gt;3),"Type 2",$K61))*(CQS=$G61)*(Sec_Mult)))))</f>
        <v/>
      </c>
      <c r="N61" s="53"/>
      <c r="O61" s="123" t="str">
        <f t="shared" si="0"/>
        <v/>
      </c>
      <c r="P61" s="115"/>
      <c r="Q61" s="141"/>
      <c r="T61" s="90"/>
      <c r="U61" s="91"/>
    </row>
    <row r="62" spans="2:21" x14ac:dyDescent="0.2">
      <c r="B62" s="116"/>
      <c r="C62" s="207"/>
      <c r="D62" s="53"/>
      <c r="E62" s="208"/>
      <c r="F62" s="53"/>
      <c r="G62" s="209"/>
      <c r="H62" s="53"/>
      <c r="I62" s="210"/>
      <c r="J62" s="53"/>
      <c r="K62" s="211"/>
      <c r="L62" s="53"/>
      <c r="M62" s="122" t="str">
        <f t="array" ref="M62">IF(OR($C62="",$E62="",$G62="",$I62="",$K62=""),"",IF($G62="Unrated",1,MIN(1,$I62*SUM((Sec_Type=IF(AND($K62="Type 1",$G62&gt;3),"Type 2",$K62))*(CQS=$G62)*(Sec_Mult)))))</f>
        <v/>
      </c>
      <c r="N62" s="53"/>
      <c r="O62" s="123" t="str">
        <f t="shared" si="0"/>
        <v/>
      </c>
      <c r="P62" s="115"/>
      <c r="Q62" s="141"/>
      <c r="T62" s="90"/>
      <c r="U62" s="91"/>
    </row>
    <row r="63" spans="2:21" x14ac:dyDescent="0.2">
      <c r="B63" s="116"/>
      <c r="C63" s="207"/>
      <c r="D63" s="53"/>
      <c r="E63" s="208"/>
      <c r="F63" s="53"/>
      <c r="G63" s="209"/>
      <c r="H63" s="53"/>
      <c r="I63" s="210"/>
      <c r="J63" s="53"/>
      <c r="K63" s="211"/>
      <c r="L63" s="53"/>
      <c r="M63" s="122" t="str">
        <f t="array" ref="M63">IF(OR($C63="",$E63="",$G63="",$I63="",$K63=""),"",IF($G63="Unrated",1,MIN(1,$I63*SUM((Sec_Type=IF(AND($K63="Type 1",$G63&gt;3),"Type 2",$K63))*(CQS=$G63)*(Sec_Mult)))))</f>
        <v/>
      </c>
      <c r="N63" s="53"/>
      <c r="O63" s="123" t="str">
        <f t="shared" si="0"/>
        <v/>
      </c>
      <c r="P63" s="115"/>
      <c r="Q63" s="141"/>
      <c r="T63" s="90"/>
      <c r="U63" s="91"/>
    </row>
    <row r="64" spans="2:21" x14ac:dyDescent="0.2">
      <c r="B64" s="116"/>
      <c r="C64" s="207"/>
      <c r="D64" s="53"/>
      <c r="E64" s="208"/>
      <c r="F64" s="53"/>
      <c r="G64" s="209"/>
      <c r="H64" s="53"/>
      <c r="I64" s="210"/>
      <c r="J64" s="53"/>
      <c r="K64" s="211"/>
      <c r="L64" s="53"/>
      <c r="M64" s="122" t="str">
        <f t="array" ref="M64">IF(OR($C64="",$E64="",$G64="",$I64="",$K64=""),"",IF($G64="Unrated",1,MIN(1,$I64*SUM((Sec_Type=IF(AND($K64="Type 1",$G64&gt;3),"Type 2",$K64))*(CQS=$G64)*(Sec_Mult)))))</f>
        <v/>
      </c>
      <c r="N64" s="53"/>
      <c r="O64" s="123" t="str">
        <f t="shared" si="0"/>
        <v/>
      </c>
      <c r="P64" s="115"/>
      <c r="Q64" s="141"/>
      <c r="T64" s="90"/>
      <c r="U64" s="91"/>
    </row>
    <row r="65" spans="2:21" x14ac:dyDescent="0.2">
      <c r="B65" s="116"/>
      <c r="C65" s="207"/>
      <c r="D65" s="53"/>
      <c r="E65" s="208"/>
      <c r="F65" s="53"/>
      <c r="G65" s="209"/>
      <c r="H65" s="53"/>
      <c r="I65" s="210"/>
      <c r="J65" s="53"/>
      <c r="K65" s="211"/>
      <c r="L65" s="53"/>
      <c r="M65" s="122" t="str">
        <f t="array" ref="M65">IF(OR($C65="",$E65="",$G65="",$I65="",$K65=""),"",IF($G65="Unrated",1,MIN(1,$I65*SUM((Sec_Type=IF(AND($K65="Type 1",$G65&gt;3),"Type 2",$K65))*(CQS=$G65)*(Sec_Mult)))))</f>
        <v/>
      </c>
      <c r="N65" s="53"/>
      <c r="O65" s="123" t="str">
        <f t="shared" si="0"/>
        <v/>
      </c>
      <c r="P65" s="115"/>
      <c r="Q65" s="141"/>
      <c r="T65" s="90"/>
      <c r="U65" s="91"/>
    </row>
    <row r="66" spans="2:21" x14ac:dyDescent="0.2">
      <c r="B66" s="116"/>
      <c r="C66" s="207"/>
      <c r="D66" s="53"/>
      <c r="E66" s="208"/>
      <c r="F66" s="53"/>
      <c r="G66" s="209"/>
      <c r="H66" s="53"/>
      <c r="I66" s="210"/>
      <c r="J66" s="53"/>
      <c r="K66" s="211"/>
      <c r="L66" s="53"/>
      <c r="M66" s="122" t="str">
        <f t="array" ref="M66">IF(OR($C66="",$E66="",$G66="",$I66="",$K66=""),"",IF($G66="Unrated",1,MIN(1,$I66*SUM((Sec_Type=IF(AND($K66="Type 1",$G66&gt;3),"Type 2",$K66))*(CQS=$G66)*(Sec_Mult)))))</f>
        <v/>
      </c>
      <c r="N66" s="53"/>
      <c r="O66" s="123" t="str">
        <f t="shared" si="0"/>
        <v/>
      </c>
      <c r="P66" s="115"/>
      <c r="Q66" s="141"/>
      <c r="T66" s="90"/>
      <c r="U66" s="91"/>
    </row>
    <row r="67" spans="2:21" x14ac:dyDescent="0.2">
      <c r="B67" s="116"/>
      <c r="C67" s="207"/>
      <c r="D67" s="53"/>
      <c r="E67" s="208"/>
      <c r="F67" s="53"/>
      <c r="G67" s="209"/>
      <c r="H67" s="53"/>
      <c r="I67" s="210"/>
      <c r="J67" s="53"/>
      <c r="K67" s="211"/>
      <c r="L67" s="53"/>
      <c r="M67" s="122" t="str">
        <f t="array" ref="M67">IF(OR($C67="",$E67="",$G67="",$I67="",$K67=""),"",IF($G67="Unrated",1,MIN(1,$I67*SUM((Sec_Type=IF(AND($K67="Type 1",$G67&gt;3),"Type 2",$K67))*(CQS=$G67)*(Sec_Mult)))))</f>
        <v/>
      </c>
      <c r="N67" s="53"/>
      <c r="O67" s="123" t="str">
        <f t="shared" si="0"/>
        <v/>
      </c>
      <c r="P67" s="115"/>
      <c r="Q67" s="141"/>
      <c r="T67" s="90"/>
      <c r="U67" s="91"/>
    </row>
    <row r="68" spans="2:21" x14ac:dyDescent="0.2">
      <c r="B68" s="116"/>
      <c r="C68" s="207"/>
      <c r="D68" s="53"/>
      <c r="E68" s="208"/>
      <c r="F68" s="53"/>
      <c r="G68" s="209"/>
      <c r="H68" s="53"/>
      <c r="I68" s="210"/>
      <c r="J68" s="53"/>
      <c r="K68" s="211"/>
      <c r="L68" s="53"/>
      <c r="M68" s="122" t="str">
        <f t="array" ref="M68">IF(OR($C68="",$E68="",$G68="",$I68="",$K68=""),"",IF($G68="Unrated",1,MIN(1,$I68*SUM((Sec_Type=IF(AND($K68="Type 1",$G68&gt;3),"Type 2",$K68))*(CQS=$G68)*(Sec_Mult)))))</f>
        <v/>
      </c>
      <c r="N68" s="53"/>
      <c r="O68" s="123" t="str">
        <f t="shared" si="0"/>
        <v/>
      </c>
      <c r="P68" s="115"/>
      <c r="Q68" s="141"/>
      <c r="T68" s="90"/>
      <c r="U68" s="91"/>
    </row>
    <row r="69" spans="2:21" x14ac:dyDescent="0.2">
      <c r="B69" s="116"/>
      <c r="C69" s="207"/>
      <c r="D69" s="53"/>
      <c r="E69" s="208"/>
      <c r="F69" s="53"/>
      <c r="G69" s="209"/>
      <c r="H69" s="53"/>
      <c r="I69" s="210"/>
      <c r="J69" s="53"/>
      <c r="K69" s="211"/>
      <c r="L69" s="53"/>
      <c r="M69" s="122" t="str">
        <f t="array" ref="M69">IF(OR($C69="",$E69="",$G69="",$I69="",$K69=""),"",IF($G69="Unrated",1,MIN(1,$I69*SUM((Sec_Type=IF(AND($K69="Type 1",$G69&gt;3),"Type 2",$K69))*(CQS=$G69)*(Sec_Mult)))))</f>
        <v/>
      </c>
      <c r="N69" s="53"/>
      <c r="O69" s="123" t="str">
        <f t="shared" si="0"/>
        <v/>
      </c>
      <c r="P69" s="115"/>
      <c r="Q69" s="141"/>
      <c r="T69" s="90"/>
      <c r="U69" s="91"/>
    </row>
    <row r="70" spans="2:21" x14ac:dyDescent="0.2">
      <c r="B70" s="116"/>
      <c r="C70" s="207"/>
      <c r="D70" s="53"/>
      <c r="E70" s="208"/>
      <c r="F70" s="53"/>
      <c r="G70" s="209"/>
      <c r="H70" s="53"/>
      <c r="I70" s="210"/>
      <c r="J70" s="53"/>
      <c r="K70" s="211"/>
      <c r="L70" s="53"/>
      <c r="M70" s="122" t="str">
        <f t="array" ref="M70">IF(OR($C70="",$E70="",$G70="",$I70="",$K70=""),"",IF($G70="Unrated",1,MIN(1,$I70*SUM((Sec_Type=IF(AND($K70="Type 1",$G70&gt;3),"Type 2",$K70))*(CQS=$G70)*(Sec_Mult)))))</f>
        <v/>
      </c>
      <c r="N70" s="53"/>
      <c r="O70" s="123" t="str">
        <f t="shared" si="0"/>
        <v/>
      </c>
      <c r="P70" s="115"/>
      <c r="Q70" s="141"/>
      <c r="T70" s="90"/>
      <c r="U70" s="91"/>
    </row>
    <row r="71" spans="2:21" x14ac:dyDescent="0.2">
      <c r="B71" s="116"/>
      <c r="C71" s="207"/>
      <c r="D71" s="53"/>
      <c r="E71" s="208"/>
      <c r="F71" s="53"/>
      <c r="G71" s="209"/>
      <c r="H71" s="53"/>
      <c r="I71" s="210"/>
      <c r="J71" s="53"/>
      <c r="K71" s="211"/>
      <c r="L71" s="53"/>
      <c r="M71" s="122" t="str">
        <f t="array" ref="M71">IF(OR($C71="",$E71="",$G71="",$I71="",$K71=""),"",IF($G71="Unrated",1,MIN(1,$I71*SUM((Sec_Type=IF(AND($K71="Type 1",$G71&gt;3),"Type 2",$K71))*(CQS=$G71)*(Sec_Mult)))))</f>
        <v/>
      </c>
      <c r="N71" s="53"/>
      <c r="O71" s="123" t="str">
        <f t="shared" si="0"/>
        <v/>
      </c>
      <c r="P71" s="115"/>
      <c r="Q71" s="141"/>
      <c r="T71" s="90"/>
      <c r="U71" s="91"/>
    </row>
    <row r="72" spans="2:21" x14ac:dyDescent="0.2">
      <c r="B72" s="116"/>
      <c r="C72" s="207"/>
      <c r="D72" s="53"/>
      <c r="E72" s="208"/>
      <c r="F72" s="53"/>
      <c r="G72" s="209"/>
      <c r="H72" s="53"/>
      <c r="I72" s="210"/>
      <c r="J72" s="53"/>
      <c r="K72" s="211"/>
      <c r="L72" s="53"/>
      <c r="M72" s="122" t="str">
        <f t="array" ref="M72">IF(OR($C72="",$E72="",$G72="",$I72="",$K72=""),"",IF($G72="Unrated",1,MIN(1,$I72*SUM((Sec_Type=IF(AND($K72="Type 1",$G72&gt;3),"Type 2",$K72))*(CQS=$G72)*(Sec_Mult)))))</f>
        <v/>
      </c>
      <c r="N72" s="53"/>
      <c r="O72" s="123" t="str">
        <f t="shared" si="0"/>
        <v/>
      </c>
      <c r="P72" s="115"/>
      <c r="Q72" s="141"/>
      <c r="T72" s="90"/>
      <c r="U72" s="91"/>
    </row>
    <row r="73" spans="2:21" x14ac:dyDescent="0.2">
      <c r="B73" s="116"/>
      <c r="C73" s="207"/>
      <c r="D73" s="53"/>
      <c r="E73" s="208"/>
      <c r="F73" s="53"/>
      <c r="G73" s="209"/>
      <c r="H73" s="53"/>
      <c r="I73" s="210"/>
      <c r="J73" s="53"/>
      <c r="K73" s="211"/>
      <c r="L73" s="53"/>
      <c r="M73" s="122" t="str">
        <f t="array" ref="M73">IF(OR($C73="",$E73="",$G73="",$I73="",$K73=""),"",IF($G73="Unrated",1,MIN(1,$I73*SUM((Sec_Type=IF(AND($K73="Type 1",$G73&gt;3),"Type 2",$K73))*(CQS=$G73)*(Sec_Mult)))))</f>
        <v/>
      </c>
      <c r="N73" s="53"/>
      <c r="O73" s="123" t="str">
        <f t="shared" si="0"/>
        <v/>
      </c>
      <c r="P73" s="115"/>
      <c r="Q73" s="141"/>
      <c r="T73" s="90"/>
      <c r="U73" s="91"/>
    </row>
    <row r="74" spans="2:21" x14ac:dyDescent="0.2">
      <c r="B74" s="116"/>
      <c r="C74" s="207"/>
      <c r="D74" s="53"/>
      <c r="E74" s="208"/>
      <c r="F74" s="53"/>
      <c r="G74" s="209"/>
      <c r="H74" s="53"/>
      <c r="I74" s="210"/>
      <c r="J74" s="53"/>
      <c r="K74" s="211"/>
      <c r="L74" s="53"/>
      <c r="M74" s="122" t="str">
        <f t="array" ref="M74">IF(OR($C74="",$E74="",$G74="",$I74="",$K74=""),"",IF($G74="Unrated",1,MIN(1,$I74*SUM((Sec_Type=IF(AND($K74="Type 1",$G74&gt;3),"Type 2",$K74))*(CQS=$G74)*(Sec_Mult)))))</f>
        <v/>
      </c>
      <c r="N74" s="53"/>
      <c r="O74" s="123" t="str">
        <f t="shared" si="0"/>
        <v/>
      </c>
      <c r="P74" s="115"/>
      <c r="Q74" s="141"/>
      <c r="T74" s="90"/>
      <c r="U74" s="91"/>
    </row>
    <row r="75" spans="2:21" x14ac:dyDescent="0.2">
      <c r="B75" s="116"/>
      <c r="C75" s="207"/>
      <c r="D75" s="53"/>
      <c r="E75" s="208"/>
      <c r="F75" s="53"/>
      <c r="G75" s="209"/>
      <c r="H75" s="53"/>
      <c r="I75" s="210"/>
      <c r="J75" s="53"/>
      <c r="K75" s="211"/>
      <c r="L75" s="53"/>
      <c r="M75" s="122" t="str">
        <f t="array" ref="M75">IF(OR($C75="",$E75="",$G75="",$I75="",$K75=""),"",IF($G75="Unrated",1,MIN(1,$I75*SUM((Sec_Type=IF(AND($K75="Type 1",$G75&gt;3),"Type 2",$K75))*(CQS=$G75)*(Sec_Mult)))))</f>
        <v/>
      </c>
      <c r="N75" s="53"/>
      <c r="O75" s="123" t="str">
        <f t="shared" si="0"/>
        <v/>
      </c>
      <c r="P75" s="115"/>
      <c r="Q75" s="141"/>
      <c r="T75" s="90"/>
      <c r="U75" s="91"/>
    </row>
    <row r="76" spans="2:21" x14ac:dyDescent="0.2">
      <c r="B76" s="116"/>
      <c r="C76" s="207"/>
      <c r="D76" s="53"/>
      <c r="E76" s="208"/>
      <c r="F76" s="53"/>
      <c r="G76" s="209"/>
      <c r="H76" s="53"/>
      <c r="I76" s="210"/>
      <c r="J76" s="53"/>
      <c r="K76" s="211"/>
      <c r="L76" s="53"/>
      <c r="M76" s="122" t="str">
        <f t="array" ref="M76">IF(OR($C76="",$E76="",$G76="",$I76="",$K76=""),"",IF($G76="Unrated",1,MIN(1,$I76*SUM((Sec_Type=IF(AND($K76="Type 1",$G76&gt;3),"Type 2",$K76))*(CQS=$G76)*(Sec_Mult)))))</f>
        <v/>
      </c>
      <c r="N76" s="53"/>
      <c r="O76" s="123" t="str">
        <f t="shared" si="0"/>
        <v/>
      </c>
      <c r="P76" s="115"/>
      <c r="Q76" s="141"/>
      <c r="T76" s="90"/>
      <c r="U76" s="91"/>
    </row>
    <row r="77" spans="2:21" x14ac:dyDescent="0.2">
      <c r="B77" s="116"/>
      <c r="C77" s="207"/>
      <c r="D77" s="53"/>
      <c r="E77" s="208"/>
      <c r="F77" s="53"/>
      <c r="G77" s="209"/>
      <c r="H77" s="53"/>
      <c r="I77" s="210"/>
      <c r="J77" s="53"/>
      <c r="K77" s="211"/>
      <c r="L77" s="53"/>
      <c r="M77" s="122" t="str">
        <f t="array" ref="M77">IF(OR($C77="",$E77="",$G77="",$I77="",$K77=""),"",IF($G77="Unrated",1,MIN(1,$I77*SUM((Sec_Type=IF(AND($K77="Type 1",$G77&gt;3),"Type 2",$K77))*(CQS=$G77)*(Sec_Mult)))))</f>
        <v/>
      </c>
      <c r="N77" s="53"/>
      <c r="O77" s="123" t="str">
        <f t="shared" si="0"/>
        <v/>
      </c>
      <c r="P77" s="115"/>
      <c r="Q77" s="141"/>
      <c r="T77" s="90"/>
      <c r="U77" s="91"/>
    </row>
    <row r="78" spans="2:21" x14ac:dyDescent="0.2">
      <c r="B78" s="116"/>
      <c r="C78" s="207"/>
      <c r="D78" s="53"/>
      <c r="E78" s="208"/>
      <c r="F78" s="53"/>
      <c r="G78" s="209"/>
      <c r="H78" s="53"/>
      <c r="I78" s="210"/>
      <c r="J78" s="53"/>
      <c r="K78" s="211"/>
      <c r="L78" s="53"/>
      <c r="M78" s="122" t="str">
        <f t="array" ref="M78">IF(OR($C78="",$E78="",$G78="",$I78="",$K78=""),"",IF($G78="Unrated",1,MIN(1,$I78*SUM((Sec_Type=IF(AND($K78="Type 1",$G78&gt;3),"Type 2",$K78))*(CQS=$G78)*(Sec_Mult)))))</f>
        <v/>
      </c>
      <c r="N78" s="53"/>
      <c r="O78" s="123" t="str">
        <f t="shared" si="0"/>
        <v/>
      </c>
      <c r="P78" s="115"/>
      <c r="Q78" s="141"/>
      <c r="T78" s="90"/>
      <c r="U78" s="91"/>
    </row>
    <row r="79" spans="2:21" x14ac:dyDescent="0.2">
      <c r="B79" s="116"/>
      <c r="C79" s="207"/>
      <c r="D79" s="53"/>
      <c r="E79" s="208"/>
      <c r="F79" s="53"/>
      <c r="G79" s="209"/>
      <c r="H79" s="53"/>
      <c r="I79" s="210"/>
      <c r="J79" s="53"/>
      <c r="K79" s="211"/>
      <c r="L79" s="53"/>
      <c r="M79" s="122" t="str">
        <f t="array" ref="M79">IF(OR($C79="",$E79="",$G79="",$I79="",$K79=""),"",IF($G79="Unrated",1,MIN(1,$I79*SUM((Sec_Type=IF(AND($K79="Type 1",$G79&gt;3),"Type 2",$K79))*(CQS=$G79)*(Sec_Mult)))))</f>
        <v/>
      </c>
      <c r="N79" s="53"/>
      <c r="O79" s="123" t="str">
        <f t="shared" si="0"/>
        <v/>
      </c>
      <c r="P79" s="115"/>
      <c r="Q79" s="141"/>
      <c r="T79" s="90"/>
      <c r="U79" s="91"/>
    </row>
    <row r="80" spans="2:21" x14ac:dyDescent="0.2">
      <c r="B80" s="116"/>
      <c r="C80" s="207"/>
      <c r="D80" s="53"/>
      <c r="E80" s="208"/>
      <c r="F80" s="53"/>
      <c r="G80" s="209"/>
      <c r="H80" s="53"/>
      <c r="I80" s="210"/>
      <c r="J80" s="53"/>
      <c r="K80" s="211"/>
      <c r="L80" s="53"/>
      <c r="M80" s="122" t="str">
        <f t="array" ref="M80">IF(OR($C80="",$E80="",$G80="",$I80="",$K80=""),"",IF($G80="Unrated",1,MIN(1,$I80*SUM((Sec_Type=IF(AND($K80="Type 1",$G80&gt;3),"Type 2",$K80))*(CQS=$G80)*(Sec_Mult)))))</f>
        <v/>
      </c>
      <c r="N80" s="53"/>
      <c r="O80" s="123" t="str">
        <f t="shared" si="0"/>
        <v/>
      </c>
      <c r="P80" s="115"/>
      <c r="Q80" s="141"/>
      <c r="T80" s="90"/>
      <c r="U80" s="91"/>
    </row>
    <row r="81" spans="2:21" x14ac:dyDescent="0.2">
      <c r="B81" s="116"/>
      <c r="C81" s="207"/>
      <c r="D81" s="53"/>
      <c r="E81" s="208"/>
      <c r="F81" s="53"/>
      <c r="G81" s="209"/>
      <c r="H81" s="53"/>
      <c r="I81" s="210"/>
      <c r="J81" s="53"/>
      <c r="K81" s="211"/>
      <c r="L81" s="53"/>
      <c r="M81" s="122" t="str">
        <f t="array" ref="M81">IF(OR($C81="",$E81="",$G81="",$I81="",$K81=""),"",IF($G81="Unrated",1,MIN(1,$I81*SUM((Sec_Type=IF(AND($K81="Type 1",$G81&gt;3),"Type 2",$K81))*(CQS=$G81)*(Sec_Mult)))))</f>
        <v/>
      </c>
      <c r="N81" s="53"/>
      <c r="O81" s="123" t="str">
        <f t="shared" si="0"/>
        <v/>
      </c>
      <c r="P81" s="115"/>
      <c r="Q81" s="141"/>
      <c r="T81" s="90"/>
      <c r="U81" s="91"/>
    </row>
    <row r="82" spans="2:21" x14ac:dyDescent="0.2">
      <c r="B82" s="116"/>
      <c r="C82" s="207"/>
      <c r="D82" s="53"/>
      <c r="E82" s="208"/>
      <c r="F82" s="53"/>
      <c r="G82" s="209"/>
      <c r="H82" s="53"/>
      <c r="I82" s="210"/>
      <c r="J82" s="53"/>
      <c r="K82" s="211"/>
      <c r="L82" s="53"/>
      <c r="M82" s="122" t="str">
        <f t="array" ref="M82">IF(OR($C82="",$E82="",$G82="",$I82="",$K82=""),"",IF($G82="Unrated",1,MIN(1,$I82*SUM((Sec_Type=IF(AND($K82="Type 1",$G82&gt;3),"Type 2",$K82))*(CQS=$G82)*(Sec_Mult)))))</f>
        <v/>
      </c>
      <c r="N82" s="53"/>
      <c r="O82" s="123" t="str">
        <f t="shared" si="0"/>
        <v/>
      </c>
      <c r="P82" s="115"/>
      <c r="Q82" s="141"/>
      <c r="T82" s="90"/>
      <c r="U82" s="91"/>
    </row>
    <row r="83" spans="2:21" x14ac:dyDescent="0.2">
      <c r="B83" s="116"/>
      <c r="C83" s="207"/>
      <c r="D83" s="53"/>
      <c r="E83" s="208"/>
      <c r="F83" s="53"/>
      <c r="G83" s="209"/>
      <c r="H83" s="53"/>
      <c r="I83" s="210"/>
      <c r="J83" s="53"/>
      <c r="K83" s="211"/>
      <c r="L83" s="53"/>
      <c r="M83" s="122" t="str">
        <f t="array" ref="M83">IF(OR($C83="",$E83="",$G83="",$I83="",$K83=""),"",IF($G83="Unrated",1,MIN(1,$I83*SUM((Sec_Type=IF(AND($K83="Type 1",$G83&gt;3),"Type 2",$K83))*(CQS=$G83)*(Sec_Mult)))))</f>
        <v/>
      </c>
      <c r="N83" s="53"/>
      <c r="O83" s="123" t="str">
        <f t="shared" si="0"/>
        <v/>
      </c>
      <c r="P83" s="115"/>
      <c r="Q83" s="141"/>
      <c r="T83" s="90"/>
      <c r="U83" s="91"/>
    </row>
    <row r="84" spans="2:21" x14ac:dyDescent="0.2">
      <c r="B84" s="116"/>
      <c r="C84" s="207"/>
      <c r="D84" s="53"/>
      <c r="E84" s="208"/>
      <c r="F84" s="53"/>
      <c r="G84" s="209"/>
      <c r="H84" s="53"/>
      <c r="I84" s="210"/>
      <c r="J84" s="53"/>
      <c r="K84" s="211"/>
      <c r="L84" s="53"/>
      <c r="M84" s="122" t="str">
        <f t="array" ref="M84">IF(OR($C84="",$E84="",$G84="",$I84="",$K84=""),"",IF($G84="Unrated",1,MIN(1,$I84*SUM((Sec_Type=IF(AND($K84="Type 1",$G84&gt;3),"Type 2",$K84))*(CQS=$G84)*(Sec_Mult)))))</f>
        <v/>
      </c>
      <c r="N84" s="53"/>
      <c r="O84" s="123" t="str">
        <f t="shared" si="0"/>
        <v/>
      </c>
      <c r="P84" s="115"/>
      <c r="Q84" s="141"/>
      <c r="T84" s="90"/>
      <c r="U84" s="91"/>
    </row>
    <row r="85" spans="2:21" x14ac:dyDescent="0.2">
      <c r="B85" s="116"/>
      <c r="C85" s="207"/>
      <c r="D85" s="53"/>
      <c r="E85" s="208"/>
      <c r="F85" s="53"/>
      <c r="G85" s="209"/>
      <c r="H85" s="53"/>
      <c r="I85" s="210"/>
      <c r="J85" s="53"/>
      <c r="K85" s="211"/>
      <c r="L85" s="53"/>
      <c r="M85" s="122" t="str">
        <f t="array" ref="M85">IF(OR($C85="",$E85="",$G85="",$I85="",$K85=""),"",IF($G85="Unrated",1,MIN(1,$I85*SUM((Sec_Type=IF(AND($K85="Type 1",$G85&gt;3),"Type 2",$K85))*(CQS=$G85)*(Sec_Mult)))))</f>
        <v/>
      </c>
      <c r="N85" s="53"/>
      <c r="O85" s="123" t="str">
        <f t="shared" si="0"/>
        <v/>
      </c>
      <c r="P85" s="115"/>
      <c r="Q85" s="141"/>
      <c r="T85" s="90"/>
      <c r="U85" s="91"/>
    </row>
    <row r="86" spans="2:21" x14ac:dyDescent="0.2">
      <c r="B86" s="116"/>
      <c r="C86" s="207"/>
      <c r="D86" s="53"/>
      <c r="E86" s="208"/>
      <c r="F86" s="53"/>
      <c r="G86" s="209"/>
      <c r="H86" s="53"/>
      <c r="I86" s="210"/>
      <c r="J86" s="53"/>
      <c r="K86" s="211"/>
      <c r="L86" s="53"/>
      <c r="M86" s="122" t="str">
        <f t="array" ref="M86">IF(OR($C86="",$E86="",$G86="",$I86="",$K86=""),"",IF($G86="Unrated",1,MIN(1,$I86*SUM((Sec_Type=IF(AND($K86="Type 1",$G86&gt;3),"Type 2",$K86))*(CQS=$G86)*(Sec_Mult)))))</f>
        <v/>
      </c>
      <c r="N86" s="53"/>
      <c r="O86" s="123" t="str">
        <f t="shared" si="0"/>
        <v/>
      </c>
      <c r="P86" s="115"/>
      <c r="Q86" s="141"/>
      <c r="T86" s="90"/>
      <c r="U86" s="91"/>
    </row>
    <row r="87" spans="2:21" x14ac:dyDescent="0.2">
      <c r="B87" s="116"/>
      <c r="C87" s="207"/>
      <c r="D87" s="53"/>
      <c r="E87" s="208"/>
      <c r="F87" s="53"/>
      <c r="G87" s="209"/>
      <c r="H87" s="53"/>
      <c r="I87" s="210"/>
      <c r="J87" s="53"/>
      <c r="K87" s="211"/>
      <c r="L87" s="53"/>
      <c r="M87" s="122" t="str">
        <f t="array" ref="M87">IF(OR($C87="",$E87="",$G87="",$I87="",$K87=""),"",IF($G87="Unrated",1,MIN(1,$I87*SUM((Sec_Type=IF(AND($K87="Type 1",$G87&gt;3),"Type 2",$K87))*(CQS=$G87)*(Sec_Mult)))))</f>
        <v/>
      </c>
      <c r="N87" s="53"/>
      <c r="O87" s="123" t="str">
        <f t="shared" si="0"/>
        <v/>
      </c>
      <c r="P87" s="115"/>
      <c r="Q87" s="141"/>
      <c r="T87" s="90"/>
      <c r="U87" s="91"/>
    </row>
    <row r="88" spans="2:21" x14ac:dyDescent="0.2">
      <c r="B88" s="116"/>
      <c r="C88" s="207"/>
      <c r="D88" s="53"/>
      <c r="E88" s="208"/>
      <c r="F88" s="53"/>
      <c r="G88" s="209"/>
      <c r="H88" s="53"/>
      <c r="I88" s="210"/>
      <c r="J88" s="53"/>
      <c r="K88" s="211"/>
      <c r="L88" s="53"/>
      <c r="M88" s="122" t="str">
        <f t="array" ref="M88">IF(OR($C88="",$E88="",$G88="",$I88="",$K88=""),"",IF($G88="Unrated",1,MIN(1,$I88*SUM((Sec_Type=IF(AND($K88="Type 1",$G88&gt;3),"Type 2",$K88))*(CQS=$G88)*(Sec_Mult)))))</f>
        <v/>
      </c>
      <c r="N88" s="53"/>
      <c r="O88" s="123" t="str">
        <f t="shared" si="0"/>
        <v/>
      </c>
      <c r="P88" s="115"/>
      <c r="Q88" s="141"/>
      <c r="T88" s="90"/>
      <c r="U88" s="91"/>
    </row>
    <row r="89" spans="2:21" x14ac:dyDescent="0.2">
      <c r="B89" s="116"/>
      <c r="C89" s="207"/>
      <c r="D89" s="53"/>
      <c r="E89" s="208"/>
      <c r="F89" s="53"/>
      <c r="G89" s="209"/>
      <c r="H89" s="53"/>
      <c r="I89" s="210"/>
      <c r="J89" s="53"/>
      <c r="K89" s="211"/>
      <c r="L89" s="53"/>
      <c r="M89" s="122" t="str">
        <f t="array" ref="M89">IF(OR($C89="",$E89="",$G89="",$I89="",$K89=""),"",IF($G89="Unrated",1,MIN(1,$I89*SUM((Sec_Type=IF(AND($K89="Type 1",$G89&gt;3),"Type 2",$K89))*(CQS=$G89)*(Sec_Mult)))))</f>
        <v/>
      </c>
      <c r="N89" s="53"/>
      <c r="O89" s="123" t="str">
        <f t="shared" si="0"/>
        <v/>
      </c>
      <c r="P89" s="115"/>
      <c r="Q89" s="141"/>
      <c r="T89" s="90"/>
      <c r="U89" s="91"/>
    </row>
    <row r="90" spans="2:21" x14ac:dyDescent="0.2">
      <c r="B90" s="116"/>
      <c r="C90" s="207"/>
      <c r="D90" s="53"/>
      <c r="E90" s="208"/>
      <c r="F90" s="53"/>
      <c r="G90" s="209"/>
      <c r="H90" s="53"/>
      <c r="I90" s="210"/>
      <c r="J90" s="53"/>
      <c r="K90" s="211"/>
      <c r="L90" s="53"/>
      <c r="M90" s="122" t="str">
        <f t="array" ref="M90">IF(OR($C90="",$E90="",$G90="",$I90="",$K90=""),"",IF($G90="Unrated",1,MIN(1,$I90*SUM((Sec_Type=IF(AND($K90="Type 1",$G90&gt;3),"Type 2",$K90))*(CQS=$G90)*(Sec_Mult)))))</f>
        <v/>
      </c>
      <c r="N90" s="53"/>
      <c r="O90" s="123" t="str">
        <f t="shared" si="0"/>
        <v/>
      </c>
      <c r="P90" s="115"/>
      <c r="Q90" s="141"/>
      <c r="T90" s="90"/>
      <c r="U90" s="91"/>
    </row>
    <row r="91" spans="2:21" x14ac:dyDescent="0.2">
      <c r="B91" s="116"/>
      <c r="C91" s="207"/>
      <c r="D91" s="53"/>
      <c r="E91" s="208"/>
      <c r="F91" s="53"/>
      <c r="G91" s="209"/>
      <c r="H91" s="53"/>
      <c r="I91" s="210"/>
      <c r="J91" s="53"/>
      <c r="K91" s="211"/>
      <c r="L91" s="53"/>
      <c r="M91" s="122" t="str">
        <f t="array" ref="M91">IF(OR($C91="",$E91="",$G91="",$I91="",$K91=""),"",IF($G91="Unrated",1,MIN(1,$I91*SUM((Sec_Type=IF(AND($K91="Type 1",$G91&gt;3),"Type 2",$K91))*(CQS=$G91)*(Sec_Mult)))))</f>
        <v/>
      </c>
      <c r="N91" s="53"/>
      <c r="O91" s="123" t="str">
        <f t="shared" si="0"/>
        <v/>
      </c>
      <c r="P91" s="115"/>
      <c r="Q91" s="141"/>
      <c r="T91" s="90"/>
      <c r="U91" s="91"/>
    </row>
    <row r="92" spans="2:21" x14ac:dyDescent="0.2">
      <c r="B92" s="116"/>
      <c r="C92" s="207"/>
      <c r="D92" s="53"/>
      <c r="E92" s="208"/>
      <c r="F92" s="53"/>
      <c r="G92" s="209"/>
      <c r="H92" s="53"/>
      <c r="I92" s="210"/>
      <c r="J92" s="53"/>
      <c r="K92" s="211"/>
      <c r="L92" s="53"/>
      <c r="M92" s="122" t="str">
        <f t="array" ref="M92">IF(OR($C92="",$E92="",$G92="",$I92="",$K92=""),"",IF($G92="Unrated",1,MIN(1,$I92*SUM((Sec_Type=IF(AND($K92="Type 1",$G92&gt;3),"Type 2",$K92))*(CQS=$G92)*(Sec_Mult)))))</f>
        <v/>
      </c>
      <c r="N92" s="53"/>
      <c r="O92" s="123" t="str">
        <f t="shared" si="0"/>
        <v/>
      </c>
      <c r="P92" s="115"/>
      <c r="Q92" s="141"/>
      <c r="T92" s="90"/>
      <c r="U92" s="91"/>
    </row>
    <row r="93" spans="2:21" x14ac:dyDescent="0.2">
      <c r="B93" s="116"/>
      <c r="C93" s="207"/>
      <c r="D93" s="53"/>
      <c r="E93" s="208"/>
      <c r="F93" s="53"/>
      <c r="G93" s="209"/>
      <c r="H93" s="53"/>
      <c r="I93" s="210"/>
      <c r="J93" s="53"/>
      <c r="K93" s="211"/>
      <c r="L93" s="53"/>
      <c r="M93" s="122" t="str">
        <f t="array" ref="M93">IF(OR($C93="",$E93="",$G93="",$I93="",$K93=""),"",IF($G93="Unrated",1,MIN(1,$I93*SUM((Sec_Type=IF(AND($K93="Type 1",$G93&gt;3),"Type 2",$K93))*(CQS=$G93)*(Sec_Mult)))))</f>
        <v/>
      </c>
      <c r="N93" s="53"/>
      <c r="O93" s="123" t="str">
        <f t="shared" si="0"/>
        <v/>
      </c>
      <c r="P93" s="115"/>
      <c r="Q93" s="141"/>
      <c r="T93" s="90"/>
      <c r="U93" s="91"/>
    </row>
    <row r="94" spans="2:21" x14ac:dyDescent="0.2">
      <c r="B94" s="116"/>
      <c r="C94" s="207"/>
      <c r="D94" s="53"/>
      <c r="E94" s="208"/>
      <c r="F94" s="53"/>
      <c r="G94" s="209"/>
      <c r="H94" s="53"/>
      <c r="I94" s="210"/>
      <c r="J94" s="53"/>
      <c r="K94" s="211"/>
      <c r="L94" s="53"/>
      <c r="M94" s="122" t="str">
        <f t="array" ref="M94">IF(OR($C94="",$E94="",$G94="",$I94="",$K94=""),"",IF($G94="Unrated",1,MIN(1,$I94*SUM((Sec_Type=IF(AND($K94="Type 1",$G94&gt;3),"Type 2",$K94))*(CQS=$G94)*(Sec_Mult)))))</f>
        <v/>
      </c>
      <c r="N94" s="53"/>
      <c r="O94" s="123" t="str">
        <f t="shared" si="0"/>
        <v/>
      </c>
      <c r="P94" s="115"/>
      <c r="Q94" s="141"/>
      <c r="T94" s="90"/>
      <c r="U94" s="91"/>
    </row>
    <row r="95" spans="2:21" x14ac:dyDescent="0.2">
      <c r="B95" s="116"/>
      <c r="C95" s="207"/>
      <c r="D95" s="53"/>
      <c r="E95" s="208"/>
      <c r="F95" s="53"/>
      <c r="G95" s="209"/>
      <c r="H95" s="53"/>
      <c r="I95" s="210"/>
      <c r="J95" s="53"/>
      <c r="K95" s="211"/>
      <c r="L95" s="53"/>
      <c r="M95" s="122" t="str">
        <f t="array" ref="M95">IF(OR($C95="",$E95="",$G95="",$I95="",$K95=""),"",IF($G95="Unrated",1,MIN(1,$I95*SUM((Sec_Type=IF(AND($K95="Type 1",$G95&gt;3),"Type 2",$K95))*(CQS=$G95)*(Sec_Mult)))))</f>
        <v/>
      </c>
      <c r="N95" s="53"/>
      <c r="O95" s="123" t="str">
        <f t="shared" si="0"/>
        <v/>
      </c>
      <c r="P95" s="115"/>
      <c r="Q95" s="141"/>
      <c r="T95" s="90"/>
      <c r="U95" s="91"/>
    </row>
    <row r="96" spans="2:21" x14ac:dyDescent="0.2">
      <c r="B96" s="116"/>
      <c r="C96" s="207"/>
      <c r="D96" s="53"/>
      <c r="E96" s="208"/>
      <c r="F96" s="53"/>
      <c r="G96" s="209"/>
      <c r="H96" s="53"/>
      <c r="I96" s="210"/>
      <c r="J96" s="53"/>
      <c r="K96" s="211"/>
      <c r="L96" s="53"/>
      <c r="M96" s="122" t="str">
        <f t="array" ref="M96">IF(OR($C96="",$E96="",$G96="",$I96="",$K96=""),"",IF($G96="Unrated",1,MIN(1,$I96*SUM((Sec_Type=IF(AND($K96="Type 1",$G96&gt;3),"Type 2",$K96))*(CQS=$G96)*(Sec_Mult)))))</f>
        <v/>
      </c>
      <c r="N96" s="53"/>
      <c r="O96" s="123" t="str">
        <f t="shared" si="0"/>
        <v/>
      </c>
      <c r="P96" s="115"/>
      <c r="Q96" s="141"/>
      <c r="T96" s="90"/>
      <c r="U96" s="91"/>
    </row>
    <row r="97" spans="2:21" x14ac:dyDescent="0.2">
      <c r="B97" s="116"/>
      <c r="C97" s="207"/>
      <c r="D97" s="53"/>
      <c r="E97" s="208"/>
      <c r="F97" s="53"/>
      <c r="G97" s="209"/>
      <c r="H97" s="53"/>
      <c r="I97" s="210"/>
      <c r="J97" s="53"/>
      <c r="K97" s="211"/>
      <c r="L97" s="53"/>
      <c r="M97" s="122" t="str">
        <f t="array" ref="M97">IF(OR($C97="",$E97="",$G97="",$I97="",$K97=""),"",IF($G97="Unrated",1,MIN(1,$I97*SUM((Sec_Type=IF(AND($K97="Type 1",$G97&gt;3),"Type 2",$K97))*(CQS=$G97)*(Sec_Mult)))))</f>
        <v/>
      </c>
      <c r="N97" s="53"/>
      <c r="O97" s="123" t="str">
        <f t="shared" ref="O97:O156" si="1">IF($M97="","",-$M97*$E97)</f>
        <v/>
      </c>
      <c r="P97" s="115"/>
      <c r="Q97" s="141"/>
      <c r="T97" s="90"/>
      <c r="U97" s="91"/>
    </row>
    <row r="98" spans="2:21" x14ac:dyDescent="0.2">
      <c r="B98" s="116"/>
      <c r="C98" s="207"/>
      <c r="D98" s="53"/>
      <c r="E98" s="208"/>
      <c r="F98" s="53"/>
      <c r="G98" s="209"/>
      <c r="H98" s="53"/>
      <c r="I98" s="210"/>
      <c r="J98" s="53"/>
      <c r="K98" s="211"/>
      <c r="L98" s="53"/>
      <c r="M98" s="122" t="str">
        <f t="array" ref="M98">IF(OR($C98="",$E98="",$G98="",$I98="",$K98=""),"",IF($G98="Unrated",1,MIN(1,$I98*SUM((Sec_Type=IF(AND($K98="Type 1",$G98&gt;3),"Type 2",$K98))*(CQS=$G98)*(Sec_Mult)))))</f>
        <v/>
      </c>
      <c r="N98" s="53"/>
      <c r="O98" s="123" t="str">
        <f t="shared" si="1"/>
        <v/>
      </c>
      <c r="P98" s="115"/>
      <c r="Q98" s="141"/>
      <c r="T98" s="90"/>
      <c r="U98" s="91"/>
    </row>
    <row r="99" spans="2:21" x14ac:dyDescent="0.2">
      <c r="B99" s="116"/>
      <c r="C99" s="207"/>
      <c r="D99" s="53"/>
      <c r="E99" s="208"/>
      <c r="F99" s="53"/>
      <c r="G99" s="209"/>
      <c r="H99" s="53"/>
      <c r="I99" s="210"/>
      <c r="J99" s="53"/>
      <c r="K99" s="211"/>
      <c r="L99" s="53"/>
      <c r="M99" s="122" t="str">
        <f t="array" ref="M99">IF(OR($C99="",$E99="",$G99="",$I99="",$K99=""),"",IF($G99="Unrated",1,MIN(1,$I99*SUM((Sec_Type=IF(AND($K99="Type 1",$G99&gt;3),"Type 2",$K99))*(CQS=$G99)*(Sec_Mult)))))</f>
        <v/>
      </c>
      <c r="N99" s="53"/>
      <c r="O99" s="123" t="str">
        <f t="shared" si="1"/>
        <v/>
      </c>
      <c r="P99" s="115"/>
      <c r="Q99" s="141"/>
      <c r="T99" s="90"/>
      <c r="U99" s="91"/>
    </row>
    <row r="100" spans="2:21" x14ac:dyDescent="0.2">
      <c r="B100" s="116"/>
      <c r="C100" s="207"/>
      <c r="D100" s="53"/>
      <c r="E100" s="208"/>
      <c r="F100" s="53"/>
      <c r="G100" s="209"/>
      <c r="H100" s="53"/>
      <c r="I100" s="210"/>
      <c r="J100" s="53"/>
      <c r="K100" s="211"/>
      <c r="L100" s="53"/>
      <c r="M100" s="122" t="str">
        <f t="array" ref="M100">IF(OR($C100="",$E100="",$G100="",$I100="",$K100=""),"",IF($G100="Unrated",1,MIN(1,$I100*SUM((Sec_Type=IF(AND($K100="Type 1",$G100&gt;3),"Type 2",$K100))*(CQS=$G100)*(Sec_Mult)))))</f>
        <v/>
      </c>
      <c r="N100" s="53"/>
      <c r="O100" s="123" t="str">
        <f t="shared" si="1"/>
        <v/>
      </c>
      <c r="P100" s="115"/>
      <c r="Q100" s="141"/>
      <c r="T100" s="90"/>
      <c r="U100" s="91"/>
    </row>
    <row r="101" spans="2:21" x14ac:dyDescent="0.2">
      <c r="B101" s="116"/>
      <c r="C101" s="207"/>
      <c r="D101" s="53"/>
      <c r="E101" s="208"/>
      <c r="F101" s="53"/>
      <c r="G101" s="209"/>
      <c r="H101" s="53"/>
      <c r="I101" s="210"/>
      <c r="J101" s="53"/>
      <c r="K101" s="211"/>
      <c r="L101" s="53"/>
      <c r="M101" s="122" t="str">
        <f t="array" ref="M101">IF(OR($C101="",$E101="",$G101="",$I101="",$K101=""),"",IF($G101="Unrated",1,MIN(1,$I101*SUM((Sec_Type=IF(AND($K101="Type 1",$G101&gt;3),"Type 2",$K101))*(CQS=$G101)*(Sec_Mult)))))</f>
        <v/>
      </c>
      <c r="N101" s="53"/>
      <c r="O101" s="123" t="str">
        <f t="shared" si="1"/>
        <v/>
      </c>
      <c r="P101" s="115"/>
      <c r="Q101" s="141"/>
      <c r="T101" s="90"/>
      <c r="U101" s="91"/>
    </row>
    <row r="102" spans="2:21" x14ac:dyDescent="0.2">
      <c r="B102" s="116"/>
      <c r="C102" s="207"/>
      <c r="D102" s="53"/>
      <c r="E102" s="208"/>
      <c r="F102" s="53"/>
      <c r="G102" s="209"/>
      <c r="H102" s="53"/>
      <c r="I102" s="210"/>
      <c r="J102" s="53"/>
      <c r="K102" s="211"/>
      <c r="L102" s="53"/>
      <c r="M102" s="122" t="str">
        <f t="array" ref="M102">IF(OR($C102="",$E102="",$G102="",$I102="",$K102=""),"",IF($G102="Unrated",1,MIN(1,$I102*SUM((Sec_Type=IF(AND($K102="Type 1",$G102&gt;3),"Type 2",$K102))*(CQS=$G102)*(Sec_Mult)))))</f>
        <v/>
      </c>
      <c r="N102" s="53"/>
      <c r="O102" s="123" t="str">
        <f t="shared" si="1"/>
        <v/>
      </c>
      <c r="P102" s="115"/>
      <c r="Q102" s="141"/>
      <c r="T102" s="90"/>
      <c r="U102" s="91"/>
    </row>
    <row r="103" spans="2:21" x14ac:dyDescent="0.2">
      <c r="B103" s="116"/>
      <c r="C103" s="207"/>
      <c r="D103" s="53"/>
      <c r="E103" s="208"/>
      <c r="F103" s="53"/>
      <c r="G103" s="209"/>
      <c r="H103" s="53"/>
      <c r="I103" s="210"/>
      <c r="J103" s="53"/>
      <c r="K103" s="211"/>
      <c r="L103" s="53"/>
      <c r="M103" s="122" t="str">
        <f t="array" ref="M103">IF(OR($C103="",$E103="",$G103="",$I103="",$K103=""),"",IF($G103="Unrated",1,MIN(1,$I103*SUM((Sec_Type=IF(AND($K103="Type 1",$G103&gt;3),"Type 2",$K103))*(CQS=$G103)*(Sec_Mult)))))</f>
        <v/>
      </c>
      <c r="N103" s="53"/>
      <c r="O103" s="123" t="str">
        <f t="shared" si="1"/>
        <v/>
      </c>
      <c r="P103" s="115"/>
      <c r="Q103" s="141"/>
      <c r="T103" s="90"/>
      <c r="U103" s="91"/>
    </row>
    <row r="104" spans="2:21" x14ac:dyDescent="0.2">
      <c r="B104" s="116"/>
      <c r="C104" s="207"/>
      <c r="D104" s="53"/>
      <c r="E104" s="208"/>
      <c r="F104" s="53"/>
      <c r="G104" s="209"/>
      <c r="H104" s="53"/>
      <c r="I104" s="210"/>
      <c r="J104" s="53"/>
      <c r="K104" s="211"/>
      <c r="L104" s="53"/>
      <c r="M104" s="122" t="str">
        <f t="array" ref="M104">IF(OR($C104="",$E104="",$G104="",$I104="",$K104=""),"",IF($G104="Unrated",1,MIN(1,$I104*SUM((Sec_Type=IF(AND($K104="Type 1",$G104&gt;3),"Type 2",$K104))*(CQS=$G104)*(Sec_Mult)))))</f>
        <v/>
      </c>
      <c r="N104" s="53"/>
      <c r="O104" s="123" t="str">
        <f t="shared" si="1"/>
        <v/>
      </c>
      <c r="P104" s="115"/>
      <c r="Q104" s="141"/>
      <c r="T104" s="90"/>
      <c r="U104" s="91"/>
    </row>
    <row r="105" spans="2:21" x14ac:dyDescent="0.2">
      <c r="B105" s="116"/>
      <c r="C105" s="207"/>
      <c r="D105" s="53"/>
      <c r="E105" s="208"/>
      <c r="F105" s="53"/>
      <c r="G105" s="209"/>
      <c r="H105" s="53"/>
      <c r="I105" s="210"/>
      <c r="J105" s="53"/>
      <c r="K105" s="211"/>
      <c r="L105" s="53"/>
      <c r="M105" s="122" t="str">
        <f t="array" ref="M105">IF(OR($C105="",$E105="",$G105="",$I105="",$K105=""),"",IF($G105="Unrated",1,MIN(1,$I105*SUM((Sec_Type=IF(AND($K105="Type 1",$G105&gt;3),"Type 2",$K105))*(CQS=$G105)*(Sec_Mult)))))</f>
        <v/>
      </c>
      <c r="N105" s="53"/>
      <c r="O105" s="123" t="str">
        <f t="shared" si="1"/>
        <v/>
      </c>
      <c r="P105" s="115"/>
      <c r="Q105" s="141"/>
      <c r="T105" s="90"/>
      <c r="U105" s="91"/>
    </row>
    <row r="106" spans="2:21" x14ac:dyDescent="0.2">
      <c r="B106" s="116"/>
      <c r="C106" s="207"/>
      <c r="D106" s="53"/>
      <c r="E106" s="208"/>
      <c r="F106" s="53"/>
      <c r="G106" s="209"/>
      <c r="H106" s="53"/>
      <c r="I106" s="210"/>
      <c r="J106" s="53"/>
      <c r="K106" s="211"/>
      <c r="L106" s="53"/>
      <c r="M106" s="122" t="str">
        <f t="array" ref="M106">IF(OR($C106="",$E106="",$G106="",$I106="",$K106=""),"",IF($G106="Unrated",1,MIN(1,$I106*SUM((Sec_Type=IF(AND($K106="Type 1",$G106&gt;3),"Type 2",$K106))*(CQS=$G106)*(Sec_Mult)))))</f>
        <v/>
      </c>
      <c r="N106" s="53"/>
      <c r="O106" s="123" t="str">
        <f t="shared" si="1"/>
        <v/>
      </c>
      <c r="P106" s="115"/>
      <c r="Q106" s="141"/>
      <c r="T106" s="90"/>
      <c r="U106" s="91"/>
    </row>
    <row r="107" spans="2:21" x14ac:dyDescent="0.2">
      <c r="B107" s="116"/>
      <c r="C107" s="207"/>
      <c r="D107" s="53"/>
      <c r="E107" s="208"/>
      <c r="F107" s="53"/>
      <c r="G107" s="209"/>
      <c r="H107" s="53"/>
      <c r="I107" s="210"/>
      <c r="J107" s="53"/>
      <c r="K107" s="211"/>
      <c r="L107" s="53"/>
      <c r="M107" s="122" t="str">
        <f t="array" ref="M107">IF(OR($C107="",$E107="",$G107="",$I107="",$K107=""),"",IF($G107="Unrated",1,MIN(1,$I107*SUM((Sec_Type=IF(AND($K107="Type 1",$G107&gt;3),"Type 2",$K107))*(CQS=$G107)*(Sec_Mult)))))</f>
        <v/>
      </c>
      <c r="N107" s="53"/>
      <c r="O107" s="123" t="str">
        <f t="shared" si="1"/>
        <v/>
      </c>
      <c r="P107" s="115"/>
      <c r="Q107" s="141"/>
      <c r="T107" s="90"/>
      <c r="U107" s="91"/>
    </row>
    <row r="108" spans="2:21" x14ac:dyDescent="0.2">
      <c r="B108" s="116"/>
      <c r="C108" s="207"/>
      <c r="D108" s="53"/>
      <c r="E108" s="208"/>
      <c r="F108" s="53"/>
      <c r="G108" s="209"/>
      <c r="H108" s="53"/>
      <c r="I108" s="210"/>
      <c r="J108" s="53"/>
      <c r="K108" s="211"/>
      <c r="L108" s="53"/>
      <c r="M108" s="122" t="str">
        <f t="array" ref="M108">IF(OR($C108="",$E108="",$G108="",$I108="",$K108=""),"",IF($G108="Unrated",1,MIN(1,$I108*SUM((Sec_Type=IF(AND($K108="Type 1",$G108&gt;3),"Type 2",$K108))*(CQS=$G108)*(Sec_Mult)))))</f>
        <v/>
      </c>
      <c r="N108" s="53"/>
      <c r="O108" s="123" t="str">
        <f t="shared" si="1"/>
        <v/>
      </c>
      <c r="P108" s="115"/>
      <c r="Q108" s="141"/>
      <c r="T108" s="90"/>
      <c r="U108" s="91"/>
    </row>
    <row r="109" spans="2:21" x14ac:dyDescent="0.2">
      <c r="B109" s="116"/>
      <c r="C109" s="207"/>
      <c r="D109" s="53"/>
      <c r="E109" s="208"/>
      <c r="F109" s="53"/>
      <c r="G109" s="209"/>
      <c r="H109" s="53"/>
      <c r="I109" s="210"/>
      <c r="J109" s="53"/>
      <c r="K109" s="211"/>
      <c r="L109" s="53"/>
      <c r="M109" s="122" t="str">
        <f t="array" ref="M109">IF(OR($C109="",$E109="",$G109="",$I109="",$K109=""),"",IF($G109="Unrated",1,MIN(1,$I109*SUM((Sec_Type=IF(AND($K109="Type 1",$G109&gt;3),"Type 2",$K109))*(CQS=$G109)*(Sec_Mult)))))</f>
        <v/>
      </c>
      <c r="N109" s="53"/>
      <c r="O109" s="123" t="str">
        <f t="shared" si="1"/>
        <v/>
      </c>
      <c r="P109" s="115"/>
      <c r="Q109" s="141"/>
      <c r="T109" s="90"/>
      <c r="U109" s="91"/>
    </row>
    <row r="110" spans="2:21" x14ac:dyDescent="0.2">
      <c r="B110" s="116"/>
      <c r="C110" s="207"/>
      <c r="D110" s="53"/>
      <c r="E110" s="208"/>
      <c r="F110" s="53"/>
      <c r="G110" s="209"/>
      <c r="H110" s="53"/>
      <c r="I110" s="210"/>
      <c r="J110" s="53"/>
      <c r="K110" s="211"/>
      <c r="L110" s="53"/>
      <c r="M110" s="122" t="str">
        <f t="array" ref="M110">IF(OR($C110="",$E110="",$G110="",$I110="",$K110=""),"",IF($G110="Unrated",1,MIN(1,$I110*SUM((Sec_Type=IF(AND($K110="Type 1",$G110&gt;3),"Type 2",$K110))*(CQS=$G110)*(Sec_Mult)))))</f>
        <v/>
      </c>
      <c r="N110" s="53"/>
      <c r="O110" s="123" t="str">
        <f t="shared" si="1"/>
        <v/>
      </c>
      <c r="P110" s="115"/>
      <c r="Q110" s="141"/>
      <c r="T110" s="90"/>
      <c r="U110" s="91"/>
    </row>
    <row r="111" spans="2:21" x14ac:dyDescent="0.2">
      <c r="B111" s="116"/>
      <c r="C111" s="207"/>
      <c r="D111" s="53"/>
      <c r="E111" s="208"/>
      <c r="F111" s="53"/>
      <c r="G111" s="209"/>
      <c r="H111" s="53"/>
      <c r="I111" s="210"/>
      <c r="J111" s="53"/>
      <c r="K111" s="211"/>
      <c r="L111" s="53"/>
      <c r="M111" s="122" t="str">
        <f t="array" ref="M111">IF(OR($C111="",$E111="",$G111="",$I111="",$K111=""),"",IF($G111="Unrated",1,MIN(1,$I111*SUM((Sec_Type=IF(AND($K111="Type 1",$G111&gt;3),"Type 2",$K111))*(CQS=$G111)*(Sec_Mult)))))</f>
        <v/>
      </c>
      <c r="N111" s="53"/>
      <c r="O111" s="123" t="str">
        <f t="shared" si="1"/>
        <v/>
      </c>
      <c r="P111" s="115"/>
      <c r="Q111" s="141"/>
      <c r="T111" s="90"/>
      <c r="U111" s="91"/>
    </row>
    <row r="112" spans="2:21" x14ac:dyDescent="0.2">
      <c r="B112" s="116"/>
      <c r="C112" s="207"/>
      <c r="D112" s="53"/>
      <c r="E112" s="208"/>
      <c r="F112" s="53"/>
      <c r="G112" s="209"/>
      <c r="H112" s="53"/>
      <c r="I112" s="210"/>
      <c r="J112" s="53"/>
      <c r="K112" s="211"/>
      <c r="L112" s="53"/>
      <c r="M112" s="122" t="str">
        <f t="array" ref="M112">IF(OR($C112="",$E112="",$G112="",$I112="",$K112=""),"",IF($G112="Unrated",1,MIN(1,$I112*SUM((Sec_Type=IF(AND($K112="Type 1",$G112&gt;3),"Type 2",$K112))*(CQS=$G112)*(Sec_Mult)))))</f>
        <v/>
      </c>
      <c r="N112" s="53"/>
      <c r="O112" s="123" t="str">
        <f t="shared" si="1"/>
        <v/>
      </c>
      <c r="P112" s="115"/>
      <c r="Q112" s="141"/>
      <c r="T112" s="90"/>
      <c r="U112" s="91"/>
    </row>
    <row r="113" spans="2:21" x14ac:dyDescent="0.2">
      <c r="B113" s="116"/>
      <c r="C113" s="207"/>
      <c r="D113" s="53"/>
      <c r="E113" s="208"/>
      <c r="F113" s="53"/>
      <c r="G113" s="209"/>
      <c r="H113" s="53"/>
      <c r="I113" s="210"/>
      <c r="J113" s="53"/>
      <c r="K113" s="211"/>
      <c r="L113" s="53"/>
      <c r="M113" s="122" t="str">
        <f t="array" ref="M113">IF(OR($C113="",$E113="",$G113="",$I113="",$K113=""),"",IF($G113="Unrated",1,MIN(1,$I113*SUM((Sec_Type=IF(AND($K113="Type 1",$G113&gt;3),"Type 2",$K113))*(CQS=$G113)*(Sec_Mult)))))</f>
        <v/>
      </c>
      <c r="N113" s="53"/>
      <c r="O113" s="123" t="str">
        <f t="shared" si="1"/>
        <v/>
      </c>
      <c r="P113" s="115"/>
      <c r="Q113" s="141"/>
      <c r="T113" s="90"/>
      <c r="U113" s="91"/>
    </row>
    <row r="114" spans="2:21" x14ac:dyDescent="0.2">
      <c r="B114" s="116"/>
      <c r="C114" s="207"/>
      <c r="D114" s="53"/>
      <c r="E114" s="208"/>
      <c r="F114" s="53"/>
      <c r="G114" s="209"/>
      <c r="H114" s="53"/>
      <c r="I114" s="210"/>
      <c r="J114" s="53"/>
      <c r="K114" s="211"/>
      <c r="L114" s="53"/>
      <c r="M114" s="122" t="str">
        <f t="array" ref="M114">IF(OR($C114="",$E114="",$G114="",$I114="",$K114=""),"",IF($G114="Unrated",1,MIN(1,$I114*SUM((Sec_Type=IF(AND($K114="Type 1",$G114&gt;3),"Type 2",$K114))*(CQS=$G114)*(Sec_Mult)))))</f>
        <v/>
      </c>
      <c r="N114" s="53"/>
      <c r="O114" s="123" t="str">
        <f t="shared" si="1"/>
        <v/>
      </c>
      <c r="P114" s="115"/>
      <c r="Q114" s="141"/>
      <c r="T114" s="90"/>
      <c r="U114" s="91"/>
    </row>
    <row r="115" spans="2:21" x14ac:dyDescent="0.2">
      <c r="B115" s="116"/>
      <c r="C115" s="207"/>
      <c r="D115" s="53"/>
      <c r="E115" s="208"/>
      <c r="F115" s="53"/>
      <c r="G115" s="209"/>
      <c r="H115" s="53"/>
      <c r="I115" s="210"/>
      <c r="J115" s="53"/>
      <c r="K115" s="211"/>
      <c r="L115" s="53"/>
      <c r="M115" s="122" t="str">
        <f t="array" ref="M115">IF(OR($C115="",$E115="",$G115="",$I115="",$K115=""),"",IF($G115="Unrated",1,MIN(1,$I115*SUM((Sec_Type=IF(AND($K115="Type 1",$G115&gt;3),"Type 2",$K115))*(CQS=$G115)*(Sec_Mult)))))</f>
        <v/>
      </c>
      <c r="N115" s="53"/>
      <c r="O115" s="123" t="str">
        <f t="shared" si="1"/>
        <v/>
      </c>
      <c r="P115" s="115"/>
      <c r="Q115" s="141"/>
      <c r="T115" s="90"/>
      <c r="U115" s="91"/>
    </row>
    <row r="116" spans="2:21" x14ac:dyDescent="0.2">
      <c r="B116" s="116"/>
      <c r="C116" s="207"/>
      <c r="D116" s="53"/>
      <c r="E116" s="208"/>
      <c r="F116" s="53"/>
      <c r="G116" s="209"/>
      <c r="H116" s="53"/>
      <c r="I116" s="210"/>
      <c r="J116" s="53"/>
      <c r="K116" s="211"/>
      <c r="L116" s="53"/>
      <c r="M116" s="122" t="str">
        <f t="array" ref="M116">IF(OR($C116="",$E116="",$G116="",$I116="",$K116=""),"",IF($G116="Unrated",1,MIN(1,$I116*SUM((Sec_Type=IF(AND($K116="Type 1",$G116&gt;3),"Type 2",$K116))*(CQS=$G116)*(Sec_Mult)))))</f>
        <v/>
      </c>
      <c r="N116" s="53"/>
      <c r="O116" s="123" t="str">
        <f t="shared" si="1"/>
        <v/>
      </c>
      <c r="P116" s="115"/>
      <c r="Q116" s="141"/>
      <c r="T116" s="90"/>
      <c r="U116" s="91"/>
    </row>
    <row r="117" spans="2:21" x14ac:dyDescent="0.2">
      <c r="B117" s="116"/>
      <c r="C117" s="207"/>
      <c r="D117" s="53"/>
      <c r="E117" s="208"/>
      <c r="F117" s="53"/>
      <c r="G117" s="209"/>
      <c r="H117" s="53"/>
      <c r="I117" s="210"/>
      <c r="J117" s="53"/>
      <c r="K117" s="211"/>
      <c r="L117" s="53"/>
      <c r="M117" s="122" t="str">
        <f t="array" ref="M117">IF(OR($C117="",$E117="",$G117="",$I117="",$K117=""),"",IF($G117="Unrated",1,MIN(1,$I117*SUM((Sec_Type=IF(AND($K117="Type 1",$G117&gt;3),"Type 2",$K117))*(CQS=$G117)*(Sec_Mult)))))</f>
        <v/>
      </c>
      <c r="N117" s="53"/>
      <c r="O117" s="123" t="str">
        <f t="shared" si="1"/>
        <v/>
      </c>
      <c r="P117" s="115"/>
      <c r="Q117" s="141"/>
      <c r="T117" s="90"/>
      <c r="U117" s="91"/>
    </row>
    <row r="118" spans="2:21" x14ac:dyDescent="0.2">
      <c r="B118" s="116"/>
      <c r="C118" s="207"/>
      <c r="D118" s="53"/>
      <c r="E118" s="208"/>
      <c r="F118" s="53"/>
      <c r="G118" s="209"/>
      <c r="H118" s="53"/>
      <c r="I118" s="210"/>
      <c r="J118" s="53"/>
      <c r="K118" s="211"/>
      <c r="L118" s="53"/>
      <c r="M118" s="122" t="str">
        <f t="array" ref="M118">IF(OR($C118="",$E118="",$G118="",$I118="",$K118=""),"",IF($G118="Unrated",1,MIN(1,$I118*SUM((Sec_Type=IF(AND($K118="Type 1",$G118&gt;3),"Type 2",$K118))*(CQS=$G118)*(Sec_Mult)))))</f>
        <v/>
      </c>
      <c r="N118" s="53"/>
      <c r="O118" s="123" t="str">
        <f t="shared" si="1"/>
        <v/>
      </c>
      <c r="P118" s="115"/>
      <c r="Q118" s="141"/>
      <c r="T118" s="90"/>
      <c r="U118" s="91"/>
    </row>
    <row r="119" spans="2:21" x14ac:dyDescent="0.2">
      <c r="B119" s="116"/>
      <c r="C119" s="207"/>
      <c r="D119" s="53"/>
      <c r="E119" s="208"/>
      <c r="F119" s="53"/>
      <c r="G119" s="209"/>
      <c r="H119" s="53"/>
      <c r="I119" s="210"/>
      <c r="J119" s="53"/>
      <c r="K119" s="211"/>
      <c r="L119" s="53"/>
      <c r="M119" s="122" t="str">
        <f t="array" ref="M119">IF(OR($C119="",$E119="",$G119="",$I119="",$K119=""),"",IF($G119="Unrated",1,MIN(1,$I119*SUM((Sec_Type=IF(AND($K119="Type 1",$G119&gt;3),"Type 2",$K119))*(CQS=$G119)*(Sec_Mult)))))</f>
        <v/>
      </c>
      <c r="N119" s="53"/>
      <c r="O119" s="123" t="str">
        <f t="shared" si="1"/>
        <v/>
      </c>
      <c r="P119" s="115"/>
      <c r="Q119" s="141"/>
      <c r="T119" s="90"/>
      <c r="U119" s="91"/>
    </row>
    <row r="120" spans="2:21" x14ac:dyDescent="0.2">
      <c r="B120" s="116"/>
      <c r="C120" s="207"/>
      <c r="D120" s="53"/>
      <c r="E120" s="208"/>
      <c r="F120" s="53"/>
      <c r="G120" s="209"/>
      <c r="H120" s="53"/>
      <c r="I120" s="210"/>
      <c r="J120" s="53"/>
      <c r="K120" s="211"/>
      <c r="L120" s="53"/>
      <c r="M120" s="122" t="str">
        <f t="array" ref="M120">IF(OR($C120="",$E120="",$G120="",$I120="",$K120=""),"",IF($G120="Unrated",1,MIN(1,$I120*SUM((Sec_Type=IF(AND($K120="Type 1",$G120&gt;3),"Type 2",$K120))*(CQS=$G120)*(Sec_Mult)))))</f>
        <v/>
      </c>
      <c r="N120" s="53"/>
      <c r="O120" s="123" t="str">
        <f t="shared" si="1"/>
        <v/>
      </c>
      <c r="P120" s="115"/>
      <c r="Q120" s="141"/>
      <c r="T120" s="90"/>
      <c r="U120" s="91"/>
    </row>
    <row r="121" spans="2:21" x14ac:dyDescent="0.2">
      <c r="B121" s="116"/>
      <c r="C121" s="207"/>
      <c r="D121" s="53"/>
      <c r="E121" s="208"/>
      <c r="F121" s="53"/>
      <c r="G121" s="209"/>
      <c r="H121" s="53"/>
      <c r="I121" s="210"/>
      <c r="J121" s="53"/>
      <c r="K121" s="211"/>
      <c r="L121" s="53"/>
      <c r="M121" s="122" t="str">
        <f t="array" ref="M121">IF(OR($C121="",$E121="",$G121="",$I121="",$K121=""),"",IF($G121="Unrated",1,MIN(1,$I121*SUM((Sec_Type=IF(AND($K121="Type 1",$G121&gt;3),"Type 2",$K121))*(CQS=$G121)*(Sec_Mult)))))</f>
        <v/>
      </c>
      <c r="N121" s="53"/>
      <c r="O121" s="123" t="str">
        <f t="shared" si="1"/>
        <v/>
      </c>
      <c r="P121" s="115"/>
      <c r="Q121" s="141"/>
      <c r="T121" s="90"/>
      <c r="U121" s="91"/>
    </row>
    <row r="122" spans="2:21" x14ac:dyDescent="0.2">
      <c r="B122" s="116"/>
      <c r="C122" s="207"/>
      <c r="D122" s="53"/>
      <c r="E122" s="208"/>
      <c r="F122" s="53"/>
      <c r="G122" s="209"/>
      <c r="H122" s="53"/>
      <c r="I122" s="210"/>
      <c r="J122" s="53"/>
      <c r="K122" s="211"/>
      <c r="L122" s="53"/>
      <c r="M122" s="122" t="str">
        <f t="array" ref="M122">IF(OR($C122="",$E122="",$G122="",$I122="",$K122=""),"",IF($G122="Unrated",1,MIN(1,$I122*SUM((Sec_Type=IF(AND($K122="Type 1",$G122&gt;3),"Type 2",$K122))*(CQS=$G122)*(Sec_Mult)))))</f>
        <v/>
      </c>
      <c r="N122" s="53"/>
      <c r="O122" s="123" t="str">
        <f t="shared" si="1"/>
        <v/>
      </c>
      <c r="P122" s="115"/>
      <c r="Q122" s="141"/>
      <c r="T122" s="90"/>
      <c r="U122" s="91"/>
    </row>
    <row r="123" spans="2:21" x14ac:dyDescent="0.2">
      <c r="B123" s="116"/>
      <c r="C123" s="207"/>
      <c r="D123" s="53"/>
      <c r="E123" s="208"/>
      <c r="F123" s="53"/>
      <c r="G123" s="209"/>
      <c r="H123" s="53"/>
      <c r="I123" s="210"/>
      <c r="J123" s="53"/>
      <c r="K123" s="211"/>
      <c r="L123" s="53"/>
      <c r="M123" s="122" t="str">
        <f t="array" ref="M123">IF(OR($C123="",$E123="",$G123="",$I123="",$K123=""),"",IF($G123="Unrated",1,MIN(1,$I123*SUM((Sec_Type=IF(AND($K123="Type 1",$G123&gt;3),"Type 2",$K123))*(CQS=$G123)*(Sec_Mult)))))</f>
        <v/>
      </c>
      <c r="N123" s="53"/>
      <c r="O123" s="123" t="str">
        <f t="shared" si="1"/>
        <v/>
      </c>
      <c r="P123" s="115"/>
      <c r="Q123" s="141"/>
      <c r="T123" s="90"/>
      <c r="U123" s="91"/>
    </row>
    <row r="124" spans="2:21" x14ac:dyDescent="0.2">
      <c r="B124" s="116"/>
      <c r="C124" s="207"/>
      <c r="D124" s="53"/>
      <c r="E124" s="208"/>
      <c r="F124" s="53"/>
      <c r="G124" s="209"/>
      <c r="H124" s="53"/>
      <c r="I124" s="210"/>
      <c r="J124" s="53"/>
      <c r="K124" s="211"/>
      <c r="L124" s="53"/>
      <c r="M124" s="122" t="str">
        <f t="array" ref="M124">IF(OR($C124="",$E124="",$G124="",$I124="",$K124=""),"",IF($G124="Unrated",1,MIN(1,$I124*SUM((Sec_Type=IF(AND($K124="Type 1",$G124&gt;3),"Type 2",$K124))*(CQS=$G124)*(Sec_Mult)))))</f>
        <v/>
      </c>
      <c r="N124" s="53"/>
      <c r="O124" s="123" t="str">
        <f t="shared" si="1"/>
        <v/>
      </c>
      <c r="P124" s="115"/>
      <c r="Q124" s="141"/>
      <c r="T124" s="90"/>
      <c r="U124" s="91"/>
    </row>
    <row r="125" spans="2:21" x14ac:dyDescent="0.2">
      <c r="B125" s="116"/>
      <c r="C125" s="207"/>
      <c r="D125" s="53"/>
      <c r="E125" s="208"/>
      <c r="F125" s="53"/>
      <c r="G125" s="209"/>
      <c r="H125" s="53"/>
      <c r="I125" s="210"/>
      <c r="J125" s="53"/>
      <c r="K125" s="211"/>
      <c r="L125" s="53"/>
      <c r="M125" s="122" t="str">
        <f t="array" ref="M125">IF(OR($C125="",$E125="",$G125="",$I125="",$K125=""),"",IF($G125="Unrated",1,MIN(1,$I125*SUM((Sec_Type=IF(AND($K125="Type 1",$G125&gt;3),"Type 2",$K125))*(CQS=$G125)*(Sec_Mult)))))</f>
        <v/>
      </c>
      <c r="N125" s="53"/>
      <c r="O125" s="123" t="str">
        <f t="shared" si="1"/>
        <v/>
      </c>
      <c r="P125" s="115"/>
      <c r="Q125" s="141"/>
      <c r="T125" s="90"/>
      <c r="U125" s="91"/>
    </row>
    <row r="126" spans="2:21" x14ac:dyDescent="0.2">
      <c r="B126" s="116"/>
      <c r="C126" s="207"/>
      <c r="D126" s="53"/>
      <c r="E126" s="208"/>
      <c r="F126" s="53"/>
      <c r="G126" s="209"/>
      <c r="H126" s="53"/>
      <c r="I126" s="210"/>
      <c r="J126" s="53"/>
      <c r="K126" s="211"/>
      <c r="L126" s="53"/>
      <c r="M126" s="122" t="str">
        <f t="array" ref="M126">IF(OR($C126="",$E126="",$G126="",$I126="",$K126=""),"",IF($G126="Unrated",1,MIN(1,$I126*SUM((Sec_Type=IF(AND($K126="Type 1",$G126&gt;3),"Type 2",$K126))*(CQS=$G126)*(Sec_Mult)))))</f>
        <v/>
      </c>
      <c r="N126" s="53"/>
      <c r="O126" s="123" t="str">
        <f t="shared" si="1"/>
        <v/>
      </c>
      <c r="P126" s="115"/>
      <c r="Q126" s="141"/>
      <c r="T126" s="90"/>
      <c r="U126" s="91"/>
    </row>
    <row r="127" spans="2:21" x14ac:dyDescent="0.2">
      <c r="B127" s="116"/>
      <c r="C127" s="207"/>
      <c r="D127" s="53"/>
      <c r="E127" s="208"/>
      <c r="F127" s="53"/>
      <c r="G127" s="209"/>
      <c r="H127" s="53"/>
      <c r="I127" s="210"/>
      <c r="J127" s="53"/>
      <c r="K127" s="211"/>
      <c r="L127" s="53"/>
      <c r="M127" s="122" t="str">
        <f t="array" ref="M127">IF(OR($C127="",$E127="",$G127="",$I127="",$K127=""),"",IF($G127="Unrated",1,MIN(1,$I127*SUM((Sec_Type=IF(AND($K127="Type 1",$G127&gt;3),"Type 2",$K127))*(CQS=$G127)*(Sec_Mult)))))</f>
        <v/>
      </c>
      <c r="N127" s="53"/>
      <c r="O127" s="123" t="str">
        <f t="shared" si="1"/>
        <v/>
      </c>
      <c r="P127" s="115"/>
      <c r="Q127" s="141"/>
      <c r="T127" s="90"/>
      <c r="U127" s="91"/>
    </row>
    <row r="128" spans="2:21" x14ac:dyDescent="0.2">
      <c r="B128" s="116"/>
      <c r="C128" s="207"/>
      <c r="D128" s="53"/>
      <c r="E128" s="208"/>
      <c r="F128" s="53"/>
      <c r="G128" s="209"/>
      <c r="H128" s="53"/>
      <c r="I128" s="210"/>
      <c r="J128" s="53"/>
      <c r="K128" s="211"/>
      <c r="L128" s="53"/>
      <c r="M128" s="122" t="str">
        <f t="array" ref="M128">IF(OR($C128="",$E128="",$G128="",$I128="",$K128=""),"",IF($G128="Unrated",1,MIN(1,$I128*SUM((Sec_Type=IF(AND($K128="Type 1",$G128&gt;3),"Type 2",$K128))*(CQS=$G128)*(Sec_Mult)))))</f>
        <v/>
      </c>
      <c r="N128" s="53"/>
      <c r="O128" s="123" t="str">
        <f t="shared" si="1"/>
        <v/>
      </c>
      <c r="P128" s="115"/>
      <c r="Q128" s="141"/>
      <c r="T128" s="90"/>
      <c r="U128" s="91"/>
    </row>
    <row r="129" spans="2:21" x14ac:dyDescent="0.2">
      <c r="B129" s="116"/>
      <c r="C129" s="207"/>
      <c r="D129" s="53"/>
      <c r="E129" s="208"/>
      <c r="F129" s="53"/>
      <c r="G129" s="209"/>
      <c r="H129" s="53"/>
      <c r="I129" s="210"/>
      <c r="J129" s="53"/>
      <c r="K129" s="211"/>
      <c r="L129" s="53"/>
      <c r="M129" s="122" t="str">
        <f t="array" ref="M129">IF(OR($C129="",$E129="",$G129="",$I129="",$K129=""),"",IF($G129="Unrated",1,MIN(1,$I129*SUM((Sec_Type=IF(AND($K129="Type 1",$G129&gt;3),"Type 2",$K129))*(CQS=$G129)*(Sec_Mult)))))</f>
        <v/>
      </c>
      <c r="N129" s="53"/>
      <c r="O129" s="123" t="str">
        <f t="shared" si="1"/>
        <v/>
      </c>
      <c r="P129" s="115"/>
      <c r="Q129" s="141"/>
      <c r="T129" s="90"/>
      <c r="U129" s="91"/>
    </row>
    <row r="130" spans="2:21" x14ac:dyDescent="0.2">
      <c r="B130" s="116"/>
      <c r="C130" s="207"/>
      <c r="D130" s="53"/>
      <c r="E130" s="208"/>
      <c r="F130" s="53"/>
      <c r="G130" s="209"/>
      <c r="H130" s="53"/>
      <c r="I130" s="210"/>
      <c r="J130" s="53"/>
      <c r="K130" s="211"/>
      <c r="L130" s="53"/>
      <c r="M130" s="122" t="str">
        <f t="array" ref="M130">IF(OR($C130="",$E130="",$G130="",$I130="",$K130=""),"",IF($G130="Unrated",1,MIN(1,$I130*SUM((Sec_Type=IF(AND($K130="Type 1",$G130&gt;3),"Type 2",$K130))*(CQS=$G130)*(Sec_Mult)))))</f>
        <v/>
      </c>
      <c r="N130" s="53"/>
      <c r="O130" s="123" t="str">
        <f t="shared" si="1"/>
        <v/>
      </c>
      <c r="P130" s="115"/>
      <c r="Q130" s="141"/>
      <c r="T130" s="90"/>
      <c r="U130" s="91"/>
    </row>
    <row r="131" spans="2:21" x14ac:dyDescent="0.2">
      <c r="B131" s="116"/>
      <c r="C131" s="207"/>
      <c r="D131" s="53"/>
      <c r="E131" s="208"/>
      <c r="F131" s="53"/>
      <c r="G131" s="209"/>
      <c r="H131" s="53"/>
      <c r="I131" s="210"/>
      <c r="J131" s="53"/>
      <c r="K131" s="211"/>
      <c r="L131" s="53"/>
      <c r="M131" s="122" t="str">
        <f t="array" ref="M131">IF(OR($C131="",$E131="",$G131="",$I131="",$K131=""),"",IF($G131="Unrated",1,MIN(1,$I131*SUM((Sec_Type=IF(AND($K131="Type 1",$G131&gt;3),"Type 2",$K131))*(CQS=$G131)*(Sec_Mult)))))</f>
        <v/>
      </c>
      <c r="N131" s="53"/>
      <c r="O131" s="123" t="str">
        <f t="shared" si="1"/>
        <v/>
      </c>
      <c r="P131" s="115"/>
      <c r="Q131" s="141"/>
      <c r="T131" s="90"/>
      <c r="U131" s="91"/>
    </row>
    <row r="132" spans="2:21" x14ac:dyDescent="0.2">
      <c r="B132" s="116"/>
      <c r="C132" s="207"/>
      <c r="D132" s="53"/>
      <c r="E132" s="208"/>
      <c r="F132" s="53"/>
      <c r="G132" s="209"/>
      <c r="H132" s="53"/>
      <c r="I132" s="210"/>
      <c r="J132" s="53"/>
      <c r="K132" s="211"/>
      <c r="L132" s="53"/>
      <c r="M132" s="122" t="str">
        <f t="array" ref="M132">IF(OR($C132="",$E132="",$G132="",$I132="",$K132=""),"",IF($G132="Unrated",1,MIN(1,$I132*SUM((Sec_Type=IF(AND($K132="Type 1",$G132&gt;3),"Type 2",$K132))*(CQS=$G132)*(Sec_Mult)))))</f>
        <v/>
      </c>
      <c r="N132" s="53"/>
      <c r="O132" s="123" t="str">
        <f t="shared" si="1"/>
        <v/>
      </c>
      <c r="P132" s="115"/>
      <c r="Q132" s="141"/>
      <c r="T132" s="90"/>
      <c r="U132" s="91"/>
    </row>
    <row r="133" spans="2:21" x14ac:dyDescent="0.2">
      <c r="B133" s="116"/>
      <c r="C133" s="207"/>
      <c r="D133" s="53"/>
      <c r="E133" s="208"/>
      <c r="F133" s="53"/>
      <c r="G133" s="209"/>
      <c r="H133" s="53"/>
      <c r="I133" s="210"/>
      <c r="J133" s="53"/>
      <c r="K133" s="211"/>
      <c r="L133" s="53"/>
      <c r="M133" s="122" t="str">
        <f t="array" ref="M133">IF(OR($C133="",$E133="",$G133="",$I133="",$K133=""),"",IF($G133="Unrated",1,MIN(1,$I133*SUM((Sec_Type=IF(AND($K133="Type 1",$G133&gt;3),"Type 2",$K133))*(CQS=$G133)*(Sec_Mult)))))</f>
        <v/>
      </c>
      <c r="N133" s="53"/>
      <c r="O133" s="123" t="str">
        <f t="shared" si="1"/>
        <v/>
      </c>
      <c r="P133" s="115"/>
      <c r="Q133" s="141"/>
      <c r="T133" s="90"/>
      <c r="U133" s="91"/>
    </row>
    <row r="134" spans="2:21" x14ac:dyDescent="0.2">
      <c r="B134" s="116"/>
      <c r="C134" s="207"/>
      <c r="D134" s="53"/>
      <c r="E134" s="208"/>
      <c r="F134" s="53"/>
      <c r="G134" s="209"/>
      <c r="H134" s="53"/>
      <c r="I134" s="210"/>
      <c r="J134" s="53"/>
      <c r="K134" s="211"/>
      <c r="L134" s="53"/>
      <c r="M134" s="122" t="str">
        <f t="array" ref="M134">IF(OR($C134="",$E134="",$G134="",$I134="",$K134=""),"",IF($G134="Unrated",1,MIN(1,$I134*SUM((Sec_Type=IF(AND($K134="Type 1",$G134&gt;3),"Type 2",$K134))*(CQS=$G134)*(Sec_Mult)))))</f>
        <v/>
      </c>
      <c r="N134" s="53"/>
      <c r="O134" s="123" t="str">
        <f t="shared" si="1"/>
        <v/>
      </c>
      <c r="P134" s="115"/>
      <c r="Q134" s="141"/>
      <c r="T134" s="90"/>
      <c r="U134" s="91"/>
    </row>
    <row r="135" spans="2:21" x14ac:dyDescent="0.2">
      <c r="B135" s="116"/>
      <c r="C135" s="207"/>
      <c r="D135" s="53"/>
      <c r="E135" s="208"/>
      <c r="F135" s="53"/>
      <c r="G135" s="209"/>
      <c r="H135" s="53"/>
      <c r="I135" s="210"/>
      <c r="J135" s="53"/>
      <c r="K135" s="211"/>
      <c r="L135" s="53"/>
      <c r="M135" s="122" t="str">
        <f t="array" ref="M135">IF(OR($C135="",$E135="",$G135="",$I135="",$K135=""),"",IF($G135="Unrated",1,MIN(1,$I135*SUM((Sec_Type=IF(AND($K135="Type 1",$G135&gt;3),"Type 2",$K135))*(CQS=$G135)*(Sec_Mult)))))</f>
        <v/>
      </c>
      <c r="N135" s="53"/>
      <c r="O135" s="123" t="str">
        <f t="shared" si="1"/>
        <v/>
      </c>
      <c r="P135" s="115"/>
      <c r="Q135" s="141"/>
      <c r="T135" s="90"/>
      <c r="U135" s="91"/>
    </row>
    <row r="136" spans="2:21" x14ac:dyDescent="0.2">
      <c r="B136" s="116"/>
      <c r="C136" s="207"/>
      <c r="D136" s="53"/>
      <c r="E136" s="208"/>
      <c r="F136" s="53"/>
      <c r="G136" s="209"/>
      <c r="H136" s="53"/>
      <c r="I136" s="210"/>
      <c r="J136" s="53"/>
      <c r="K136" s="211"/>
      <c r="L136" s="53"/>
      <c r="M136" s="122" t="str">
        <f t="array" ref="M136">IF(OR($C136="",$E136="",$G136="",$I136="",$K136=""),"",IF($G136="Unrated",1,MIN(1,$I136*SUM((Sec_Type=IF(AND($K136="Type 1",$G136&gt;3),"Type 2",$K136))*(CQS=$G136)*(Sec_Mult)))))</f>
        <v/>
      </c>
      <c r="N136" s="53"/>
      <c r="O136" s="123" t="str">
        <f t="shared" si="1"/>
        <v/>
      </c>
      <c r="P136" s="115"/>
      <c r="Q136" s="141"/>
      <c r="T136" s="90"/>
      <c r="U136" s="91"/>
    </row>
    <row r="137" spans="2:21" x14ac:dyDescent="0.2">
      <c r="B137" s="116"/>
      <c r="C137" s="207"/>
      <c r="D137" s="53"/>
      <c r="E137" s="208"/>
      <c r="F137" s="53"/>
      <c r="G137" s="209"/>
      <c r="H137" s="53"/>
      <c r="I137" s="210"/>
      <c r="J137" s="53"/>
      <c r="K137" s="211"/>
      <c r="L137" s="53"/>
      <c r="M137" s="122" t="str">
        <f t="array" ref="M137">IF(OR($C137="",$E137="",$G137="",$I137="",$K137=""),"",IF($G137="Unrated",1,MIN(1,$I137*SUM((Sec_Type=IF(AND($K137="Type 1",$G137&gt;3),"Type 2",$K137))*(CQS=$G137)*(Sec_Mult)))))</f>
        <v/>
      </c>
      <c r="N137" s="53"/>
      <c r="O137" s="123" t="str">
        <f t="shared" si="1"/>
        <v/>
      </c>
      <c r="P137" s="115"/>
      <c r="Q137" s="141"/>
      <c r="T137" s="90"/>
      <c r="U137" s="91"/>
    </row>
    <row r="138" spans="2:21" x14ac:dyDescent="0.2">
      <c r="B138" s="116"/>
      <c r="C138" s="207"/>
      <c r="D138" s="53"/>
      <c r="E138" s="208"/>
      <c r="F138" s="53"/>
      <c r="G138" s="209"/>
      <c r="H138" s="53"/>
      <c r="I138" s="210"/>
      <c r="J138" s="53"/>
      <c r="K138" s="211"/>
      <c r="L138" s="53"/>
      <c r="M138" s="122" t="str">
        <f t="array" ref="M138">IF(OR($C138="",$E138="",$G138="",$I138="",$K138=""),"",IF($G138="Unrated",1,MIN(1,$I138*SUM((Sec_Type=IF(AND($K138="Type 1",$G138&gt;3),"Type 2",$K138))*(CQS=$G138)*(Sec_Mult)))))</f>
        <v/>
      </c>
      <c r="N138" s="53"/>
      <c r="O138" s="123" t="str">
        <f t="shared" si="1"/>
        <v/>
      </c>
      <c r="P138" s="115"/>
      <c r="Q138" s="141"/>
      <c r="T138" s="90"/>
      <c r="U138" s="91"/>
    </row>
    <row r="139" spans="2:21" x14ac:dyDescent="0.2">
      <c r="B139" s="116"/>
      <c r="C139" s="207"/>
      <c r="D139" s="53"/>
      <c r="E139" s="208"/>
      <c r="F139" s="53"/>
      <c r="G139" s="209"/>
      <c r="H139" s="53"/>
      <c r="I139" s="210"/>
      <c r="J139" s="53"/>
      <c r="K139" s="211"/>
      <c r="L139" s="53"/>
      <c r="M139" s="122" t="str">
        <f t="array" ref="M139">IF(OR($C139="",$E139="",$G139="",$I139="",$K139=""),"",IF($G139="Unrated",1,MIN(1,$I139*SUM((Sec_Type=IF(AND($K139="Type 1",$G139&gt;3),"Type 2",$K139))*(CQS=$G139)*(Sec_Mult)))))</f>
        <v/>
      </c>
      <c r="N139" s="53"/>
      <c r="O139" s="123" t="str">
        <f t="shared" si="1"/>
        <v/>
      </c>
      <c r="P139" s="115"/>
      <c r="Q139" s="141"/>
      <c r="T139" s="90"/>
      <c r="U139" s="91"/>
    </row>
    <row r="140" spans="2:21" x14ac:dyDescent="0.2">
      <c r="B140" s="116"/>
      <c r="C140" s="207"/>
      <c r="D140" s="53"/>
      <c r="E140" s="208"/>
      <c r="F140" s="53"/>
      <c r="G140" s="209"/>
      <c r="H140" s="53"/>
      <c r="I140" s="210"/>
      <c r="J140" s="53"/>
      <c r="K140" s="211"/>
      <c r="L140" s="53"/>
      <c r="M140" s="122" t="str">
        <f t="array" ref="M140">IF(OR($C140="",$E140="",$G140="",$I140="",$K140=""),"",IF($G140="Unrated",1,MIN(1,$I140*SUM((Sec_Type=IF(AND($K140="Type 1",$G140&gt;3),"Type 2",$K140))*(CQS=$G140)*(Sec_Mult)))))</f>
        <v/>
      </c>
      <c r="N140" s="53"/>
      <c r="O140" s="123" t="str">
        <f t="shared" si="1"/>
        <v/>
      </c>
      <c r="P140" s="115"/>
      <c r="Q140" s="141"/>
      <c r="T140" s="90"/>
      <c r="U140" s="91"/>
    </row>
    <row r="141" spans="2:21" x14ac:dyDescent="0.2">
      <c r="B141" s="116"/>
      <c r="C141" s="207"/>
      <c r="D141" s="53"/>
      <c r="E141" s="208"/>
      <c r="F141" s="53"/>
      <c r="G141" s="209"/>
      <c r="H141" s="53"/>
      <c r="I141" s="210"/>
      <c r="J141" s="53"/>
      <c r="K141" s="211"/>
      <c r="L141" s="53"/>
      <c r="M141" s="122" t="str">
        <f t="array" ref="M141">IF(OR($C141="",$E141="",$G141="",$I141="",$K141=""),"",IF($G141="Unrated",1,MIN(1,$I141*SUM((Sec_Type=IF(AND($K141="Type 1",$G141&gt;3),"Type 2",$K141))*(CQS=$G141)*(Sec_Mult)))))</f>
        <v/>
      </c>
      <c r="N141" s="53"/>
      <c r="O141" s="123" t="str">
        <f t="shared" si="1"/>
        <v/>
      </c>
      <c r="P141" s="115"/>
      <c r="Q141" s="141"/>
      <c r="T141" s="90"/>
      <c r="U141" s="91"/>
    </row>
    <row r="142" spans="2:21" x14ac:dyDescent="0.2">
      <c r="B142" s="116"/>
      <c r="C142" s="207"/>
      <c r="D142" s="53"/>
      <c r="E142" s="208"/>
      <c r="F142" s="53"/>
      <c r="G142" s="209"/>
      <c r="H142" s="53"/>
      <c r="I142" s="210"/>
      <c r="J142" s="53"/>
      <c r="K142" s="211"/>
      <c r="L142" s="53"/>
      <c r="M142" s="122" t="str">
        <f t="array" ref="M142">IF(OR($C142="",$E142="",$G142="",$I142="",$K142=""),"",IF($G142="Unrated",1,MIN(1,$I142*SUM((Sec_Type=IF(AND($K142="Type 1",$G142&gt;3),"Type 2",$K142))*(CQS=$G142)*(Sec_Mult)))))</f>
        <v/>
      </c>
      <c r="N142" s="53"/>
      <c r="O142" s="123" t="str">
        <f t="shared" si="1"/>
        <v/>
      </c>
      <c r="P142" s="115"/>
      <c r="Q142" s="141"/>
      <c r="T142" s="90"/>
      <c r="U142" s="91"/>
    </row>
    <row r="143" spans="2:21" x14ac:dyDescent="0.2">
      <c r="B143" s="116"/>
      <c r="C143" s="207"/>
      <c r="D143" s="53"/>
      <c r="E143" s="208"/>
      <c r="F143" s="53"/>
      <c r="G143" s="209"/>
      <c r="H143" s="53"/>
      <c r="I143" s="210"/>
      <c r="J143" s="53"/>
      <c r="K143" s="211"/>
      <c r="L143" s="53"/>
      <c r="M143" s="122" t="str">
        <f t="array" ref="M143">IF(OR($C143="",$E143="",$G143="",$I143="",$K143=""),"",IF($G143="Unrated",1,MIN(1,$I143*SUM((Sec_Type=IF(AND($K143="Type 1",$G143&gt;3),"Type 2",$K143))*(CQS=$G143)*(Sec_Mult)))))</f>
        <v/>
      </c>
      <c r="N143" s="53"/>
      <c r="O143" s="123" t="str">
        <f t="shared" si="1"/>
        <v/>
      </c>
      <c r="P143" s="115"/>
      <c r="Q143" s="141"/>
      <c r="T143" s="90"/>
      <c r="U143" s="91"/>
    </row>
    <row r="144" spans="2:21" x14ac:dyDescent="0.2">
      <c r="B144" s="116"/>
      <c r="C144" s="207"/>
      <c r="D144" s="53"/>
      <c r="E144" s="208"/>
      <c r="F144" s="53"/>
      <c r="G144" s="209"/>
      <c r="H144" s="53"/>
      <c r="I144" s="210"/>
      <c r="J144" s="53"/>
      <c r="K144" s="211"/>
      <c r="L144" s="53"/>
      <c r="M144" s="122" t="str">
        <f t="array" ref="M144">IF(OR($C144="",$E144="",$G144="",$I144="",$K144=""),"",IF($G144="Unrated",1,MIN(1,$I144*SUM((Sec_Type=IF(AND($K144="Type 1",$G144&gt;3),"Type 2",$K144))*(CQS=$G144)*(Sec_Mult)))))</f>
        <v/>
      </c>
      <c r="N144" s="53"/>
      <c r="O144" s="123" t="str">
        <f t="shared" si="1"/>
        <v/>
      </c>
      <c r="P144" s="115"/>
      <c r="Q144" s="141"/>
      <c r="T144" s="90"/>
      <c r="U144" s="91"/>
    </row>
    <row r="145" spans="2:21" x14ac:dyDescent="0.2">
      <c r="B145" s="116"/>
      <c r="C145" s="207"/>
      <c r="D145" s="53"/>
      <c r="E145" s="208"/>
      <c r="F145" s="53"/>
      <c r="G145" s="209"/>
      <c r="H145" s="53"/>
      <c r="I145" s="210"/>
      <c r="J145" s="53"/>
      <c r="K145" s="211"/>
      <c r="L145" s="53"/>
      <c r="M145" s="122" t="str">
        <f t="array" ref="M145">IF(OR($C145="",$E145="",$G145="",$I145="",$K145=""),"",IF($G145="Unrated",1,MIN(1,$I145*SUM((Sec_Type=IF(AND($K145="Type 1",$G145&gt;3),"Type 2",$K145))*(CQS=$G145)*(Sec_Mult)))))</f>
        <v/>
      </c>
      <c r="N145" s="53"/>
      <c r="O145" s="123" t="str">
        <f t="shared" si="1"/>
        <v/>
      </c>
      <c r="P145" s="115"/>
      <c r="Q145" s="141"/>
      <c r="T145" s="90"/>
      <c r="U145" s="91"/>
    </row>
    <row r="146" spans="2:21" x14ac:dyDescent="0.2">
      <c r="B146" s="116"/>
      <c r="C146" s="207"/>
      <c r="D146" s="53"/>
      <c r="E146" s="208"/>
      <c r="F146" s="53"/>
      <c r="G146" s="209"/>
      <c r="H146" s="53"/>
      <c r="I146" s="210"/>
      <c r="J146" s="53"/>
      <c r="K146" s="211"/>
      <c r="L146" s="53"/>
      <c r="M146" s="122" t="str">
        <f t="array" ref="M146">IF(OR($C146="",$E146="",$G146="",$I146="",$K146=""),"",IF($G146="Unrated",1,MIN(1,$I146*SUM((Sec_Type=IF(AND($K146="Type 1",$G146&gt;3),"Type 2",$K146))*(CQS=$G146)*(Sec_Mult)))))</f>
        <v/>
      </c>
      <c r="N146" s="53"/>
      <c r="O146" s="123" t="str">
        <f t="shared" si="1"/>
        <v/>
      </c>
      <c r="P146" s="115"/>
      <c r="Q146" s="141"/>
      <c r="T146" s="90"/>
      <c r="U146" s="91"/>
    </row>
    <row r="147" spans="2:21" x14ac:dyDescent="0.2">
      <c r="B147" s="116"/>
      <c r="C147" s="207"/>
      <c r="D147" s="53"/>
      <c r="E147" s="208"/>
      <c r="F147" s="53"/>
      <c r="G147" s="209"/>
      <c r="H147" s="53"/>
      <c r="I147" s="210"/>
      <c r="J147" s="53"/>
      <c r="K147" s="211"/>
      <c r="L147" s="53"/>
      <c r="M147" s="122" t="str">
        <f t="array" ref="M147">IF(OR($C147="",$E147="",$G147="",$I147="",$K147=""),"",IF($G147="Unrated",1,MIN(1,$I147*SUM((Sec_Type=IF(AND($K147="Type 1",$G147&gt;3),"Type 2",$K147))*(CQS=$G147)*(Sec_Mult)))))</f>
        <v/>
      </c>
      <c r="N147" s="53"/>
      <c r="O147" s="123" t="str">
        <f t="shared" si="1"/>
        <v/>
      </c>
      <c r="P147" s="115"/>
      <c r="Q147" s="141"/>
      <c r="T147" s="90"/>
      <c r="U147" s="91"/>
    </row>
    <row r="148" spans="2:21" x14ac:dyDescent="0.2">
      <c r="B148" s="116"/>
      <c r="C148" s="207"/>
      <c r="D148" s="53"/>
      <c r="E148" s="208"/>
      <c r="F148" s="53"/>
      <c r="G148" s="209"/>
      <c r="H148" s="53"/>
      <c r="I148" s="210"/>
      <c r="J148" s="53"/>
      <c r="K148" s="211"/>
      <c r="L148" s="53"/>
      <c r="M148" s="122" t="str">
        <f t="array" ref="M148">IF(OR($C148="",$E148="",$G148="",$I148="",$K148=""),"",IF($G148="Unrated",1,MIN(1,$I148*SUM((Sec_Type=IF(AND($K148="Type 1",$G148&gt;3),"Type 2",$K148))*(CQS=$G148)*(Sec_Mult)))))</f>
        <v/>
      </c>
      <c r="N148" s="53"/>
      <c r="O148" s="123" t="str">
        <f t="shared" si="1"/>
        <v/>
      </c>
      <c r="P148" s="115"/>
      <c r="Q148" s="141"/>
      <c r="T148" s="90"/>
      <c r="U148" s="91"/>
    </row>
    <row r="149" spans="2:21" x14ac:dyDescent="0.2">
      <c r="B149" s="116"/>
      <c r="C149" s="207"/>
      <c r="D149" s="53"/>
      <c r="E149" s="208"/>
      <c r="F149" s="53"/>
      <c r="G149" s="209"/>
      <c r="H149" s="53"/>
      <c r="I149" s="210"/>
      <c r="J149" s="53"/>
      <c r="K149" s="211"/>
      <c r="L149" s="53"/>
      <c r="M149" s="122" t="str">
        <f t="array" ref="M149">IF(OR($C149="",$E149="",$G149="",$I149="",$K149=""),"",IF($G149="Unrated",1,MIN(1,$I149*SUM((Sec_Type=IF(AND($K149="Type 1",$G149&gt;3),"Type 2",$K149))*(CQS=$G149)*(Sec_Mult)))))</f>
        <v/>
      </c>
      <c r="N149" s="53"/>
      <c r="O149" s="123" t="str">
        <f t="shared" si="1"/>
        <v/>
      </c>
      <c r="P149" s="115"/>
      <c r="Q149" s="141"/>
      <c r="T149" s="90"/>
      <c r="U149" s="91"/>
    </row>
    <row r="150" spans="2:21" x14ac:dyDescent="0.2">
      <c r="B150" s="116"/>
      <c r="C150" s="207"/>
      <c r="D150" s="53"/>
      <c r="E150" s="208"/>
      <c r="F150" s="53"/>
      <c r="G150" s="209"/>
      <c r="H150" s="53"/>
      <c r="I150" s="210"/>
      <c r="J150" s="53"/>
      <c r="K150" s="211"/>
      <c r="L150" s="53"/>
      <c r="M150" s="122" t="str">
        <f t="array" ref="M150">IF(OR($C150="",$E150="",$G150="",$I150="",$K150=""),"",IF($G150="Unrated",1,MIN(1,$I150*SUM((Sec_Type=IF(AND($K150="Type 1",$G150&gt;3),"Type 2",$K150))*(CQS=$G150)*(Sec_Mult)))))</f>
        <v/>
      </c>
      <c r="N150" s="53"/>
      <c r="O150" s="123" t="str">
        <f t="shared" si="1"/>
        <v/>
      </c>
      <c r="P150" s="115"/>
      <c r="Q150" s="141"/>
      <c r="T150" s="90"/>
      <c r="U150" s="91"/>
    </row>
    <row r="151" spans="2:21" x14ac:dyDescent="0.2">
      <c r="B151" s="116"/>
      <c r="C151" s="207"/>
      <c r="D151" s="53"/>
      <c r="E151" s="208"/>
      <c r="F151" s="53"/>
      <c r="G151" s="209"/>
      <c r="H151" s="53"/>
      <c r="I151" s="210"/>
      <c r="J151" s="53"/>
      <c r="K151" s="211"/>
      <c r="L151" s="53"/>
      <c r="M151" s="122" t="str">
        <f t="array" ref="M151">IF(OR($C151="",$E151="",$G151="",$I151="",$K151=""),"",IF($G151="Unrated",1,MIN(1,$I151*SUM((Sec_Type=IF(AND($K151="Type 1",$G151&gt;3),"Type 2",$K151))*(CQS=$G151)*(Sec_Mult)))))</f>
        <v/>
      </c>
      <c r="N151" s="53"/>
      <c r="O151" s="123" t="str">
        <f t="shared" si="1"/>
        <v/>
      </c>
      <c r="P151" s="115"/>
      <c r="Q151" s="141"/>
      <c r="T151" s="90"/>
      <c r="U151" s="91"/>
    </row>
    <row r="152" spans="2:21" x14ac:dyDescent="0.2">
      <c r="B152" s="116"/>
      <c r="C152" s="207"/>
      <c r="D152" s="53"/>
      <c r="E152" s="208"/>
      <c r="F152" s="53"/>
      <c r="G152" s="209"/>
      <c r="H152" s="53"/>
      <c r="I152" s="210"/>
      <c r="J152" s="53"/>
      <c r="K152" s="211"/>
      <c r="L152" s="53"/>
      <c r="M152" s="122" t="str">
        <f t="array" ref="M152">IF(OR($C152="",$E152="",$G152="",$I152="",$K152=""),"",IF($G152="Unrated",1,MIN(1,$I152*SUM((Sec_Type=IF(AND($K152="Type 1",$G152&gt;3),"Type 2",$K152))*(CQS=$G152)*(Sec_Mult)))))</f>
        <v/>
      </c>
      <c r="N152" s="53"/>
      <c r="O152" s="123" t="str">
        <f t="shared" si="1"/>
        <v/>
      </c>
      <c r="P152" s="115"/>
      <c r="Q152" s="141"/>
      <c r="T152" s="90"/>
      <c r="U152" s="91"/>
    </row>
    <row r="153" spans="2:21" x14ac:dyDescent="0.2">
      <c r="B153" s="116"/>
      <c r="C153" s="207"/>
      <c r="D153" s="53"/>
      <c r="E153" s="208"/>
      <c r="F153" s="53"/>
      <c r="G153" s="209"/>
      <c r="H153" s="53"/>
      <c r="I153" s="210"/>
      <c r="J153" s="53"/>
      <c r="K153" s="211"/>
      <c r="L153" s="53"/>
      <c r="M153" s="122" t="str">
        <f t="array" ref="M153">IF(OR($C153="",$E153="",$G153="",$I153="",$K153=""),"",IF($G153="Unrated",1,MIN(1,$I153*SUM((Sec_Type=IF(AND($K153="Type 1",$G153&gt;3),"Type 2",$K153))*(CQS=$G153)*(Sec_Mult)))))</f>
        <v/>
      </c>
      <c r="N153" s="53"/>
      <c r="O153" s="123" t="str">
        <f t="shared" si="1"/>
        <v/>
      </c>
      <c r="P153" s="115"/>
      <c r="Q153" s="141"/>
      <c r="T153" s="90"/>
      <c r="U153" s="91"/>
    </row>
    <row r="154" spans="2:21" x14ac:dyDescent="0.2">
      <c r="B154" s="116"/>
      <c r="C154" s="207"/>
      <c r="D154" s="53"/>
      <c r="E154" s="208"/>
      <c r="F154" s="53"/>
      <c r="G154" s="209"/>
      <c r="H154" s="53"/>
      <c r="I154" s="210"/>
      <c r="J154" s="53"/>
      <c r="K154" s="211"/>
      <c r="L154" s="53"/>
      <c r="M154" s="122" t="str">
        <f t="array" ref="M154">IF(OR($C154="",$E154="",$G154="",$I154="",$K154=""),"",IF($G154="Unrated",1,MIN(1,$I154*SUM((Sec_Type=IF(AND($K154="Type 1",$G154&gt;3),"Type 2",$K154))*(CQS=$G154)*(Sec_Mult)))))</f>
        <v/>
      </c>
      <c r="N154" s="53"/>
      <c r="O154" s="123" t="str">
        <f t="shared" si="1"/>
        <v/>
      </c>
      <c r="P154" s="115"/>
      <c r="Q154" s="141"/>
      <c r="T154" s="90"/>
      <c r="U154" s="91"/>
    </row>
    <row r="155" spans="2:21" x14ac:dyDescent="0.2">
      <c r="B155" s="116"/>
      <c r="C155" s="207"/>
      <c r="D155" s="53"/>
      <c r="E155" s="208"/>
      <c r="F155" s="53"/>
      <c r="G155" s="209"/>
      <c r="H155" s="53"/>
      <c r="I155" s="210"/>
      <c r="J155" s="53"/>
      <c r="K155" s="211"/>
      <c r="L155" s="53"/>
      <c r="M155" s="122" t="str">
        <f t="array" ref="M155">IF(OR($C155="",$E155="",$G155="",$I155="",$K155=""),"",IF($G155="Unrated",1,MIN(1,$I155*SUM((Sec_Type=IF(AND($K155="Type 1",$G155&gt;3),"Type 2",$K155))*(CQS=$G155)*(Sec_Mult)))))</f>
        <v/>
      </c>
      <c r="N155" s="53"/>
      <c r="O155" s="123" t="str">
        <f t="shared" si="1"/>
        <v/>
      </c>
      <c r="P155" s="115"/>
      <c r="Q155" s="141"/>
      <c r="T155" s="90"/>
      <c r="U155" s="91"/>
    </row>
    <row r="156" spans="2:21" x14ac:dyDescent="0.2">
      <c r="B156" s="116"/>
      <c r="C156" s="207"/>
      <c r="D156" s="53"/>
      <c r="E156" s="208"/>
      <c r="F156" s="53"/>
      <c r="G156" s="209"/>
      <c r="H156" s="53"/>
      <c r="I156" s="210"/>
      <c r="J156" s="53"/>
      <c r="K156" s="211"/>
      <c r="L156" s="53"/>
      <c r="M156" s="122" t="str">
        <f t="array" ref="M156">IF(OR($C156="",$E156="",$G156="",$I156="",$K156=""),"",IF($G156="Unrated",1,MIN(1,$I156*SUM((Sec_Type=IF(AND($K156="Type 1",$G156&gt;3),"Type 2",$K156))*(CQS=$G156)*(Sec_Mult)))))</f>
        <v/>
      </c>
      <c r="N156" s="53"/>
      <c r="O156" s="123" t="str">
        <f t="shared" si="1"/>
        <v/>
      </c>
      <c r="P156" s="115"/>
      <c r="Q156" s="141"/>
      <c r="T156" s="90"/>
      <c r="U156" s="91"/>
    </row>
    <row r="157" spans="2:21" ht="6" customHeight="1" thickBot="1" x14ac:dyDescent="0.25"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124"/>
      <c r="P157" s="125"/>
      <c r="Q157" s="141"/>
      <c r="T157" s="140"/>
      <c r="U157" s="91"/>
    </row>
    <row r="158" spans="2:21" x14ac:dyDescent="0.2"/>
    <row r="159" spans="2:21" ht="6" customHeight="1" x14ac:dyDescent="0.2"/>
    <row r="160" spans="2:21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</sheetData>
  <sheetProtection algorithmName="SHA-512" hashValue="tKrAnOjiv/vx91crE6UKdOVGHXLptx8jNUdRXphC+wudA0jvyaZC6ItC+aO7bfuIpN6UKY/gBu72Uaa80jXrTw==" saltValue="iDdAM1AAYXh4Yq+MCemCMg==" spinCount="100000" sheet="1" objects="1" scenarios="1"/>
  <protectedRanges>
    <protectedRange sqref="C31:C156 E32:E156 G32:G156 I32:I156 K32:K156" name="Range2"/>
    <protectedRange sqref="I13" name="Range1"/>
  </protectedRanges>
  <mergeCells count="17">
    <mergeCell ref="B27:D27"/>
    <mergeCell ref="G20:P20"/>
    <mergeCell ref="G21:P21"/>
    <mergeCell ref="G22:P22"/>
    <mergeCell ref="B20:D20"/>
    <mergeCell ref="B21:D21"/>
    <mergeCell ref="B22:D22"/>
    <mergeCell ref="B23:D23"/>
    <mergeCell ref="G27:P27"/>
    <mergeCell ref="B17:D17"/>
    <mergeCell ref="G23:P23"/>
    <mergeCell ref="G24:P24"/>
    <mergeCell ref="G25:P25"/>
    <mergeCell ref="G26:P26"/>
    <mergeCell ref="B24:D24"/>
    <mergeCell ref="B25:D25"/>
    <mergeCell ref="B26:D26"/>
  </mergeCells>
  <conditionalFormatting sqref="K32:K156">
    <cfRule type="expression" dxfId="10" priority="17">
      <formula>AND($K32="Type 1",$G32&gt;3)</formula>
    </cfRule>
  </conditionalFormatting>
  <conditionalFormatting sqref="T17 U11:U14 U5:U6 U8:U9 T30:T156 T158:T1048576">
    <cfRule type="cellIs" dxfId="9" priority="15" operator="equal">
      <formula>"OK"</formula>
    </cfRule>
    <cfRule type="cellIs" dxfId="8" priority="16" operator="equal">
      <formula>"ERROR"</formula>
    </cfRule>
  </conditionalFormatting>
  <conditionalFormatting sqref="T13">
    <cfRule type="cellIs" dxfId="7" priority="5" operator="equal">
      <formula>"OK"</formula>
    </cfRule>
    <cfRule type="cellIs" dxfId="6" priority="6" operator="equal">
      <formula>"ERROR"</formula>
    </cfRule>
  </conditionalFormatting>
  <conditionalFormatting sqref="T7">
    <cfRule type="cellIs" dxfId="5" priority="3" operator="equal">
      <formula>"OK"</formula>
    </cfRule>
    <cfRule type="cellIs" dxfId="4" priority="4" operator="equal">
      <formula>"ERROR"</formula>
    </cfRule>
  </conditionalFormatting>
  <conditionalFormatting sqref="T157">
    <cfRule type="cellIs" dxfId="3" priority="1" operator="equal">
      <formula>"OK"</formula>
    </cfRule>
    <cfRule type="cellIs" dxfId="2" priority="2" operator="equal">
      <formula>"ERROR"</formula>
    </cfRule>
  </conditionalFormatting>
  <dataValidations count="2">
    <dataValidation type="list" allowBlank="1" showInputMessage="1" showErrorMessage="1" sqref="G32:G156">
      <formula1>"0,1,2,3,4,5,6, Unrated"</formula1>
    </dataValidation>
    <dataValidation type="list" allowBlank="1" showInputMessage="1" showErrorMessage="1" sqref="K32:K156">
      <formula1>"Type 1, Type 2, Re-sec."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85" zoomScaleNormal="85" workbookViewId="0">
      <selection activeCell="J13" sqref="J13"/>
    </sheetView>
  </sheetViews>
  <sheetFormatPr defaultColWidth="0" defaultRowHeight="12.75" zeroHeight="1" x14ac:dyDescent="0.2"/>
  <cols>
    <col min="1" max="1" width="1.875" style="42" customWidth="1"/>
    <col min="2" max="2" width="17.375" style="42" customWidth="1"/>
    <col min="3" max="3" width="1.875" style="42" customWidth="1"/>
    <col min="4" max="4" width="9" style="42" customWidth="1"/>
    <col min="5" max="5" width="1.875" style="42" customWidth="1"/>
    <col min="6" max="6" width="9" style="42" customWidth="1"/>
    <col min="7" max="7" width="1.875" style="42" customWidth="1"/>
    <col min="8" max="8" width="9" style="42" customWidth="1"/>
    <col min="9" max="9" width="1.875" style="42" customWidth="1"/>
    <col min="10" max="10" width="9" style="42" customWidth="1"/>
    <col min="11" max="11" width="1.875" style="42" customWidth="1"/>
    <col min="12" max="12" width="9" style="42" customWidth="1"/>
    <col min="13" max="13" width="1.875" style="42" customWidth="1"/>
    <col min="14" max="14" width="9" style="88" customWidth="1"/>
    <col min="15" max="15" width="1.875" style="88" customWidth="1"/>
    <col min="16" max="16" width="9" style="88" customWidth="1"/>
    <col min="17" max="17" width="1.875" style="42" customWidth="1"/>
    <col min="18" max="18" width="1.875" style="88" customWidth="1"/>
    <col min="19" max="19" width="9" style="90" customWidth="1"/>
    <col min="20" max="20" width="1.875" style="88" customWidth="1"/>
    <col min="21" max="21" width="0" style="88" hidden="1" customWidth="1"/>
    <col min="22" max="27" width="0" style="42" hidden="1" customWidth="1"/>
    <col min="28" max="16384" width="9" style="42" hidden="1"/>
  </cols>
  <sheetData>
    <row r="1" spans="1:17" s="38" customFormat="1" ht="15.75" x14ac:dyDescent="0.25">
      <c r="A1" s="35" t="str">
        <f ca="1">RIGHT(CELL("filename",$A$1),LEN(CELL("filename",$A$1))-FIND("]",CELL("filename",$A$1)))</f>
        <v>Credit Derivatives</v>
      </c>
      <c r="B1" s="36"/>
      <c r="C1" s="37"/>
      <c r="D1" s="37"/>
      <c r="E1" s="35"/>
      <c r="F1" s="37"/>
      <c r="G1" s="35"/>
      <c r="H1" s="37"/>
      <c r="I1" s="37"/>
    </row>
    <row r="2" spans="1:17" s="41" customFormat="1" x14ac:dyDescent="0.2">
      <c r="A2" s="39"/>
      <c r="B2" s="39"/>
      <c r="C2" s="39"/>
      <c r="D2" s="39"/>
      <c r="E2" s="39"/>
      <c r="F2" s="40"/>
      <c r="G2" s="39"/>
      <c r="I2" s="39"/>
    </row>
    <row r="3" spans="1:17" x14ac:dyDescent="0.2"/>
    <row r="4" spans="1:17" ht="13.5" thickBot="1" x14ac:dyDescent="0.25"/>
    <row r="5" spans="1:17" ht="13.5" thickBot="1" x14ac:dyDescent="0.25">
      <c r="B5" s="142" t="s">
        <v>31</v>
      </c>
      <c r="C5" s="84"/>
      <c r="D5" s="85" t="s">
        <v>32</v>
      </c>
      <c r="E5" s="84"/>
      <c r="F5" s="45" t="s">
        <v>87</v>
      </c>
      <c r="G5" s="84"/>
      <c r="H5" s="45" t="s">
        <v>88</v>
      </c>
      <c r="I5" s="86"/>
      <c r="J5" s="45" t="s">
        <v>33</v>
      </c>
      <c r="K5" s="86"/>
      <c r="L5" s="45" t="s">
        <v>85</v>
      </c>
      <c r="M5" s="87"/>
    </row>
    <row r="6" spans="1:17" ht="6" customHeight="1" x14ac:dyDescent="0.2">
      <c r="B6" s="51"/>
      <c r="C6" s="53"/>
      <c r="D6" s="53"/>
      <c r="E6" s="53"/>
      <c r="F6" s="53"/>
      <c r="G6" s="53"/>
      <c r="H6" s="53"/>
      <c r="I6" s="53"/>
      <c r="J6" s="53"/>
      <c r="K6" s="53"/>
      <c r="L6" s="53"/>
      <c r="M6" s="52"/>
    </row>
    <row r="7" spans="1:17" x14ac:dyDescent="0.2">
      <c r="B7" s="51" t="s">
        <v>34</v>
      </c>
      <c r="C7" s="53"/>
      <c r="D7" s="89">
        <f>Base_Assets</f>
        <v>0</v>
      </c>
      <c r="E7" s="53"/>
      <c r="F7" s="89">
        <f>Base_VGB</f>
        <v>0</v>
      </c>
      <c r="G7" s="53"/>
      <c r="H7" s="89">
        <f>Base_VDB</f>
        <v>0</v>
      </c>
      <c r="I7" s="53"/>
      <c r="J7" s="89">
        <f>$D7-$F7-$H7</f>
        <v>0</v>
      </c>
      <c r="K7" s="53"/>
      <c r="L7" s="89">
        <f>$D7-$F7-$H7</f>
        <v>0</v>
      </c>
      <c r="M7" s="52"/>
    </row>
    <row r="8" spans="1:17" ht="6" customHeight="1" thickBot="1" x14ac:dyDescent="0.25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</row>
    <row r="9" spans="1:17" x14ac:dyDescent="0.2"/>
    <row r="10" spans="1:17" ht="6" customHeight="1" thickBot="1" x14ac:dyDescent="0.25"/>
    <row r="11" spans="1:17" ht="13.5" thickBot="1" x14ac:dyDescent="0.25">
      <c r="B11" s="142" t="s">
        <v>42</v>
      </c>
      <c r="C11" s="84"/>
      <c r="D11" s="45" t="s">
        <v>32</v>
      </c>
      <c r="E11" s="84"/>
      <c r="F11" s="45" t="s">
        <v>87</v>
      </c>
      <c r="G11" s="84"/>
      <c r="H11" s="45" t="s">
        <v>88</v>
      </c>
      <c r="I11" s="86"/>
      <c r="J11" s="45" t="s">
        <v>33</v>
      </c>
      <c r="K11" s="86"/>
      <c r="L11" s="45" t="s">
        <v>85</v>
      </c>
      <c r="M11" s="45"/>
      <c r="N11" s="45" t="s">
        <v>36</v>
      </c>
      <c r="O11" s="45"/>
      <c r="P11" s="45" t="s">
        <v>86</v>
      </c>
      <c r="Q11" s="87"/>
    </row>
    <row r="12" spans="1:17" ht="6" customHeight="1" x14ac:dyDescent="0.2">
      <c r="B12" s="51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</row>
    <row r="13" spans="1:17" ht="15.75" x14ac:dyDescent="0.3">
      <c r="B13" s="143" t="s">
        <v>38</v>
      </c>
      <c r="C13" s="53"/>
      <c r="D13" s="206"/>
      <c r="E13" s="53"/>
      <c r="F13" s="206"/>
      <c r="G13" s="53"/>
      <c r="H13" s="206"/>
      <c r="I13" s="53"/>
      <c r="J13" s="89">
        <f>$D13-$F13-$H$7</f>
        <v>0</v>
      </c>
      <c r="K13" s="53"/>
      <c r="L13" s="89">
        <f>$D13-$F13-$H13</f>
        <v>0</v>
      </c>
      <c r="M13" s="53"/>
      <c r="N13" s="89">
        <f>MAX(0,-(J13-J$7))</f>
        <v>0</v>
      </c>
      <c r="O13" s="53"/>
      <c r="P13" s="89">
        <f>MAX(0,-(L13-L$7))</f>
        <v>0</v>
      </c>
      <c r="Q13" s="52"/>
    </row>
    <row r="14" spans="1:17" ht="15.75" x14ac:dyDescent="0.3">
      <c r="B14" s="143" t="s">
        <v>39</v>
      </c>
      <c r="C14" s="53"/>
      <c r="D14" s="206"/>
      <c r="E14" s="53"/>
      <c r="F14" s="206"/>
      <c r="G14" s="53"/>
      <c r="H14" s="206"/>
      <c r="I14" s="53"/>
      <c r="J14" s="89">
        <f>$D14-$F14-$H$7</f>
        <v>0</v>
      </c>
      <c r="K14" s="53"/>
      <c r="L14" s="89">
        <f>$D14-$F14-$H14</f>
        <v>0</v>
      </c>
      <c r="M14" s="53"/>
      <c r="N14" s="89">
        <f t="shared" ref="N14" si="0">MAX(0,-(J14-J$7))</f>
        <v>0</v>
      </c>
      <c r="O14" s="53"/>
      <c r="P14" s="89">
        <f>MAX(0,-(L14-L$7))</f>
        <v>0</v>
      </c>
      <c r="Q14" s="52"/>
    </row>
    <row r="15" spans="1:17" ht="6" customHeight="1" x14ac:dyDescent="0.2">
      <c r="B15" s="144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2"/>
    </row>
    <row r="16" spans="1:17" ht="15.75" x14ac:dyDescent="0.3">
      <c r="B16" s="94" t="s">
        <v>40</v>
      </c>
      <c r="C16" s="53"/>
      <c r="D16" s="145"/>
      <c r="E16" s="53"/>
      <c r="F16" s="145"/>
      <c r="G16" s="53"/>
      <c r="H16" s="145"/>
      <c r="I16" s="53"/>
      <c r="J16" s="145"/>
      <c r="K16" s="53"/>
      <c r="L16" s="145"/>
      <c r="M16" s="53"/>
      <c r="N16" s="89">
        <f>MAX(0,nMkt_sp_cd_Up,nMkt_sp_cd_Down)</f>
        <v>0</v>
      </c>
      <c r="O16" s="53"/>
      <c r="P16" s="89">
        <f>MAX(0,nMkt_sp_cd_Up,nMkt_sp_cd_Down)</f>
        <v>0</v>
      </c>
      <c r="Q16" s="52"/>
    </row>
    <row r="17" spans="2:17" ht="6" customHeight="1" thickBot="1" x14ac:dyDescent="0.2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</row>
    <row r="18" spans="2:17" x14ac:dyDescent="0.2"/>
    <row r="19" spans="2:17" ht="6.75" customHeight="1" x14ac:dyDescent="0.2"/>
    <row r="20" spans="2:17" hidden="1" x14ac:dyDescent="0.2"/>
    <row r="21" spans="2:17" hidden="1" x14ac:dyDescent="0.2"/>
    <row r="22" spans="2:17" hidden="1" x14ac:dyDescent="0.2"/>
    <row r="23" spans="2:17" hidden="1" x14ac:dyDescent="0.2"/>
    <row r="24" spans="2:17" hidden="1" x14ac:dyDescent="0.2"/>
    <row r="25" spans="2:17" hidden="1" x14ac:dyDescent="0.2"/>
    <row r="26" spans="2:17" hidden="1" x14ac:dyDescent="0.2"/>
    <row r="27" spans="2:17" hidden="1" x14ac:dyDescent="0.2"/>
  </sheetData>
  <sheetProtection algorithmName="SHA-512" hashValue="MOkDy0ZekcpjE48GJpJZY//IvYy9rlwSleatPxKa4FGh5/x+HKbvpSrTsG9eSThWv3SVl8KWzsbGUu+AFykvrg==" saltValue="vZXJfVf5Tfr5PlU7dNwtSA==" spinCount="100000" sheet="1" objects="1" scenarios="1"/>
  <protectedRanges>
    <protectedRange sqref="D13 D14 F14 F13 H13 H14" name="Range1"/>
  </protectedRanges>
  <conditionalFormatting sqref="S3:S1048576">
    <cfRule type="cellIs" dxfId="1" priority="3" operator="equal">
      <formula>"OK"</formula>
    </cfRule>
    <cfRule type="cellIs" dxfId="0" priority="4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opLeftCell="A67" zoomScale="85" zoomScaleNormal="85" workbookViewId="0">
      <selection activeCell="F71" sqref="F71"/>
    </sheetView>
  </sheetViews>
  <sheetFormatPr defaultColWidth="0" defaultRowHeight="14.25" zeroHeight="1" x14ac:dyDescent="0.2"/>
  <cols>
    <col min="1" max="1" width="9" style="130" customWidth="1"/>
    <col min="2" max="2" width="12.125" style="130" customWidth="1"/>
    <col min="3" max="3" width="12.75" style="130" customWidth="1"/>
    <col min="4" max="10" width="7.375" style="130" customWidth="1"/>
    <col min="11" max="11" width="1.875" style="130" customWidth="1"/>
    <col min="12" max="12" width="7.375" style="130" customWidth="1"/>
    <col min="13" max="13" width="1.875" style="130" customWidth="1"/>
    <col min="14" max="14" width="7.375" style="130" customWidth="1"/>
    <col min="15" max="15" width="2.625" style="130" customWidth="1"/>
    <col min="16" max="30" width="0" style="130" hidden="1" customWidth="1"/>
    <col min="31" max="16384" width="9" style="130" hidden="1"/>
  </cols>
  <sheetData>
    <row r="1" spans="1:14" s="38" customFormat="1" ht="15.75" x14ac:dyDescent="0.25">
      <c r="A1" s="35" t="str">
        <f ca="1">RIGHT(CELL("filename",$A$1),LEN(CELL("filename",$A$1))-FIND("]",CELL("filename",$A$1)))</f>
        <v>Data</v>
      </c>
      <c r="B1" s="36"/>
      <c r="C1" s="37"/>
      <c r="D1" s="37"/>
      <c r="E1" s="35"/>
      <c r="F1" s="37"/>
      <c r="G1" s="35"/>
      <c r="H1" s="37"/>
      <c r="I1" s="37"/>
    </row>
    <row r="2" spans="1:14" s="41" customFormat="1" ht="12.75" x14ac:dyDescent="0.2">
      <c r="A2" s="39"/>
      <c r="B2" s="39"/>
      <c r="C2" s="39"/>
      <c r="D2" s="39"/>
      <c r="E2" s="39"/>
      <c r="F2" s="40"/>
      <c r="G2" s="39"/>
      <c r="I2" s="39"/>
    </row>
    <row r="3" spans="1:14" ht="15" thickBot="1" x14ac:dyDescent="0.25"/>
    <row r="4" spans="1:14" ht="15" thickBot="1" x14ac:dyDescent="0.25">
      <c r="B4" s="146" t="s">
        <v>74</v>
      </c>
      <c r="C4" s="110" t="s">
        <v>73</v>
      </c>
      <c r="D4" s="147"/>
    </row>
    <row r="5" spans="1:14" x14ac:dyDescent="0.2">
      <c r="B5" s="48"/>
      <c r="C5" s="49"/>
      <c r="D5" s="148"/>
    </row>
    <row r="6" spans="1:14" x14ac:dyDescent="0.2">
      <c r="B6" s="149">
        <v>0</v>
      </c>
      <c r="C6" s="150" t="s">
        <v>72</v>
      </c>
      <c r="D6" s="151"/>
    </row>
    <row r="7" spans="1:14" x14ac:dyDescent="0.2">
      <c r="B7" s="149">
        <v>1</v>
      </c>
      <c r="C7" s="150" t="s">
        <v>59</v>
      </c>
      <c r="D7" s="151"/>
    </row>
    <row r="8" spans="1:14" x14ac:dyDescent="0.2">
      <c r="B8" s="149">
        <v>2</v>
      </c>
      <c r="C8" s="150" t="s">
        <v>71</v>
      </c>
      <c r="D8" s="151"/>
    </row>
    <row r="9" spans="1:14" x14ac:dyDescent="0.2">
      <c r="B9" s="149">
        <v>3</v>
      </c>
      <c r="C9" s="150" t="s">
        <v>70</v>
      </c>
      <c r="D9" s="151"/>
    </row>
    <row r="10" spans="1:14" x14ac:dyDescent="0.2">
      <c r="B10" s="149">
        <v>4</v>
      </c>
      <c r="C10" s="150" t="s">
        <v>69</v>
      </c>
      <c r="D10" s="151"/>
    </row>
    <row r="11" spans="1:14" x14ac:dyDescent="0.2">
      <c r="B11" s="149">
        <v>5</v>
      </c>
      <c r="C11" s="150" t="s">
        <v>68</v>
      </c>
      <c r="D11" s="151"/>
    </row>
    <row r="12" spans="1:14" x14ac:dyDescent="0.2">
      <c r="B12" s="149">
        <v>6</v>
      </c>
      <c r="C12" s="150" t="s">
        <v>67</v>
      </c>
      <c r="D12" s="151"/>
    </row>
    <row r="13" spans="1:14" ht="15" thickBot="1" x14ac:dyDescent="0.25">
      <c r="B13" s="152"/>
      <c r="C13" s="58"/>
      <c r="D13" s="153"/>
    </row>
    <row r="14" spans="1:14" x14ac:dyDescent="0.2"/>
    <row r="15" spans="1:14" s="154" customFormat="1" ht="15" thickBot="1" x14ac:dyDescent="0.25"/>
    <row r="16" spans="1:14" s="91" customFormat="1" ht="15" thickBot="1" x14ac:dyDescent="0.25">
      <c r="C16" s="155" t="s">
        <v>17</v>
      </c>
      <c r="D16" s="156">
        <v>1.96</v>
      </c>
      <c r="E16" s="157">
        <v>1.75</v>
      </c>
      <c r="F16" s="158">
        <v>1.22</v>
      </c>
      <c r="G16" s="158">
        <v>0.95</v>
      </c>
      <c r="H16" s="158">
        <v>0.75</v>
      </c>
      <c r="I16" s="159">
        <v>0.75</v>
      </c>
      <c r="J16" s="160"/>
      <c r="K16" s="161"/>
      <c r="L16" s="160"/>
      <c r="M16" s="161"/>
      <c r="N16" s="160"/>
    </row>
    <row r="17" spans="2:14" s="91" customFormat="1" ht="15" thickBot="1" x14ac:dyDescent="0.25">
      <c r="C17" s="162" t="s">
        <v>18</v>
      </c>
      <c r="D17" s="163">
        <v>1</v>
      </c>
      <c r="E17" s="164">
        <v>2</v>
      </c>
      <c r="F17" s="164">
        <v>3</v>
      </c>
      <c r="G17" s="164">
        <v>4</v>
      </c>
      <c r="H17" s="164">
        <v>5</v>
      </c>
      <c r="I17" s="165">
        <v>6</v>
      </c>
      <c r="J17" s="160"/>
      <c r="K17" s="161"/>
      <c r="L17" s="160"/>
      <c r="M17" s="161"/>
      <c r="N17" s="160"/>
    </row>
    <row r="18" spans="2:14" s="91" customFormat="1" x14ac:dyDescent="0.2">
      <c r="K18" s="130"/>
      <c r="M18" s="130"/>
    </row>
    <row r="19" spans="2:14" s="91" customFormat="1" ht="15" thickBot="1" x14ac:dyDescent="0.25">
      <c r="B19" s="166"/>
      <c r="C19" s="160"/>
      <c r="D19" s="160"/>
      <c r="E19" s="160"/>
      <c r="F19" s="160"/>
      <c r="G19" s="160"/>
      <c r="H19" s="160"/>
      <c r="I19" s="160"/>
      <c r="J19" s="160"/>
      <c r="K19" s="161"/>
      <c r="L19" s="160"/>
      <c r="M19" s="161"/>
      <c r="N19" s="160"/>
    </row>
    <row r="20" spans="2:14" s="91" customFormat="1" ht="14.25" customHeight="1" thickBot="1" x14ac:dyDescent="0.25">
      <c r="B20" s="248" t="s">
        <v>8</v>
      </c>
      <c r="C20" s="249"/>
      <c r="D20" s="246" t="s">
        <v>2</v>
      </c>
      <c r="E20" s="246"/>
      <c r="F20" s="246"/>
      <c r="G20" s="246"/>
      <c r="H20" s="246"/>
      <c r="I20" s="246"/>
      <c r="J20" s="247"/>
      <c r="K20" s="167"/>
      <c r="L20" s="168"/>
      <c r="M20" s="169"/>
      <c r="N20" s="253" t="s">
        <v>10</v>
      </c>
    </row>
    <row r="21" spans="2:14" s="91" customFormat="1" ht="14.25" customHeight="1" thickBot="1" x14ac:dyDescent="0.25">
      <c r="B21" s="170" t="s">
        <v>9</v>
      </c>
      <c r="C21" s="171" t="s">
        <v>5</v>
      </c>
      <c r="D21" s="172">
        <v>0</v>
      </c>
      <c r="E21" s="172">
        <v>1</v>
      </c>
      <c r="F21" s="172">
        <v>2</v>
      </c>
      <c r="G21" s="172">
        <v>3</v>
      </c>
      <c r="H21" s="172">
        <v>4</v>
      </c>
      <c r="I21" s="172">
        <v>5</v>
      </c>
      <c r="J21" s="173">
        <v>6</v>
      </c>
      <c r="K21" s="169"/>
      <c r="L21" s="174" t="s">
        <v>7</v>
      </c>
      <c r="M21" s="169"/>
      <c r="N21" s="254"/>
    </row>
    <row r="22" spans="2:14" s="91" customFormat="1" x14ac:dyDescent="0.2">
      <c r="B22" s="170" t="s">
        <v>11</v>
      </c>
      <c r="C22" s="171">
        <v>0</v>
      </c>
      <c r="D22" s="175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7">
        <v>0</v>
      </c>
      <c r="K22" s="178"/>
      <c r="L22" s="179">
        <v>0</v>
      </c>
      <c r="M22" s="178"/>
      <c r="N22" s="179">
        <v>0</v>
      </c>
    </row>
    <row r="23" spans="2:14" s="91" customFormat="1" x14ac:dyDescent="0.2">
      <c r="B23" s="170" t="s">
        <v>12</v>
      </c>
      <c r="C23" s="171">
        <v>5</v>
      </c>
      <c r="D23" s="180">
        <v>4.4999999999999998E-2</v>
      </c>
      <c r="E23" s="181">
        <v>5.5E-2</v>
      </c>
      <c r="F23" s="181">
        <v>7.0000000000000007E-2</v>
      </c>
      <c r="G23" s="181">
        <v>0.125</v>
      </c>
      <c r="H23" s="181">
        <v>0.22500000000000001</v>
      </c>
      <c r="I23" s="181">
        <v>0.375</v>
      </c>
      <c r="J23" s="182">
        <v>0.375</v>
      </c>
      <c r="K23" s="178"/>
      <c r="L23" s="183">
        <v>0.15</v>
      </c>
      <c r="M23" s="178"/>
      <c r="N23" s="183">
        <v>0.375</v>
      </c>
    </row>
    <row r="24" spans="2:14" s="91" customFormat="1" x14ac:dyDescent="0.2">
      <c r="B24" s="170" t="s">
        <v>13</v>
      </c>
      <c r="C24" s="171">
        <v>10</v>
      </c>
      <c r="D24" s="180">
        <v>7.0000000000000007E-2</v>
      </c>
      <c r="E24" s="181">
        <v>8.5000000000000006E-2</v>
      </c>
      <c r="F24" s="181">
        <v>0.105</v>
      </c>
      <c r="G24" s="181">
        <v>0.2</v>
      </c>
      <c r="H24" s="181">
        <v>0.35</v>
      </c>
      <c r="I24" s="181">
        <v>0.58499999999999996</v>
      </c>
      <c r="J24" s="182">
        <v>0.58499999999999996</v>
      </c>
      <c r="K24" s="178"/>
      <c r="L24" s="183">
        <v>0.23499999999999999</v>
      </c>
      <c r="M24" s="178"/>
      <c r="N24" s="183">
        <v>0.58499999999999996</v>
      </c>
    </row>
    <row r="25" spans="2:14" s="91" customFormat="1" x14ac:dyDescent="0.2">
      <c r="B25" s="170" t="s">
        <v>14</v>
      </c>
      <c r="C25" s="171">
        <v>15</v>
      </c>
      <c r="D25" s="180">
        <v>9.5000000000000001E-2</v>
      </c>
      <c r="E25" s="181">
        <v>0.11</v>
      </c>
      <c r="F25" s="181">
        <v>0.13</v>
      </c>
      <c r="G25" s="181">
        <v>0.25</v>
      </c>
      <c r="H25" s="181">
        <v>0.44</v>
      </c>
      <c r="I25" s="181">
        <v>0.61</v>
      </c>
      <c r="J25" s="182">
        <v>0.61</v>
      </c>
      <c r="K25" s="178"/>
      <c r="L25" s="183">
        <f>L24+5*L32</f>
        <v>0.29499999999999998</v>
      </c>
      <c r="M25" s="178"/>
      <c r="N25" s="183">
        <v>0.61</v>
      </c>
    </row>
    <row r="26" spans="2:14" s="91" customFormat="1" ht="15" thickBot="1" x14ac:dyDescent="0.25">
      <c r="B26" s="162" t="s">
        <v>15</v>
      </c>
      <c r="C26" s="184">
        <v>20</v>
      </c>
      <c r="D26" s="185">
        <v>0.12</v>
      </c>
      <c r="E26" s="186">
        <v>0.13500000000000001</v>
      </c>
      <c r="F26" s="186">
        <v>0.155</v>
      </c>
      <c r="G26" s="186">
        <v>0.3</v>
      </c>
      <c r="H26" s="186">
        <v>0.46600000000000003</v>
      </c>
      <c r="I26" s="186">
        <v>0.63500000000000001</v>
      </c>
      <c r="J26" s="187">
        <v>0.63500000000000001</v>
      </c>
      <c r="K26" s="178"/>
      <c r="L26" s="188">
        <v>0.35499999999999998</v>
      </c>
      <c r="M26" s="178"/>
      <c r="N26" s="188">
        <v>0.63500000000000001</v>
      </c>
    </row>
    <row r="27" spans="2:14" s="91" customFormat="1" ht="15" thickBot="1" x14ac:dyDescent="0.25">
      <c r="B27" s="166"/>
      <c r="C27" s="160"/>
      <c r="D27" s="160"/>
      <c r="E27" s="160"/>
      <c r="F27" s="160"/>
      <c r="G27" s="160"/>
      <c r="H27" s="160"/>
      <c r="I27" s="160"/>
      <c r="J27" s="160"/>
      <c r="K27" s="161"/>
      <c r="L27" s="160"/>
      <c r="M27" s="161"/>
      <c r="N27" s="160"/>
    </row>
    <row r="28" spans="2:14" s="91" customFormat="1" ht="14.25" customHeight="1" thickBot="1" x14ac:dyDescent="0.25">
      <c r="B28" s="248" t="s">
        <v>16</v>
      </c>
      <c r="C28" s="249"/>
      <c r="D28" s="246" t="s">
        <v>2</v>
      </c>
      <c r="E28" s="246"/>
      <c r="F28" s="246"/>
      <c r="G28" s="246"/>
      <c r="H28" s="246"/>
      <c r="I28" s="246"/>
      <c r="J28" s="247"/>
      <c r="K28" s="167"/>
      <c r="L28" s="168"/>
      <c r="M28" s="169"/>
      <c r="N28" s="253" t="s">
        <v>10</v>
      </c>
    </row>
    <row r="29" spans="2:14" s="91" customFormat="1" ht="14.25" customHeight="1" thickBot="1" x14ac:dyDescent="0.25">
      <c r="B29" s="170" t="s">
        <v>9</v>
      </c>
      <c r="C29" s="171" t="s">
        <v>5</v>
      </c>
      <c r="D29" s="172">
        <v>0</v>
      </c>
      <c r="E29" s="172">
        <v>1</v>
      </c>
      <c r="F29" s="172">
        <v>2</v>
      </c>
      <c r="G29" s="172">
        <v>3</v>
      </c>
      <c r="H29" s="172">
        <v>4</v>
      </c>
      <c r="I29" s="172">
        <v>5</v>
      </c>
      <c r="J29" s="173">
        <v>6</v>
      </c>
      <c r="K29" s="169"/>
      <c r="L29" s="174" t="s">
        <v>7</v>
      </c>
      <c r="M29" s="169"/>
      <c r="N29" s="254"/>
    </row>
    <row r="30" spans="2:14" s="91" customFormat="1" x14ac:dyDescent="0.2">
      <c r="B30" s="170" t="s">
        <v>11</v>
      </c>
      <c r="C30" s="171">
        <v>0</v>
      </c>
      <c r="D30" s="175">
        <v>8.9999999999999993E-3</v>
      </c>
      <c r="E30" s="176">
        <v>1.0999999999999999E-2</v>
      </c>
      <c r="F30" s="176">
        <v>1.4E-2</v>
      </c>
      <c r="G30" s="176">
        <v>2.5000000000000001E-2</v>
      </c>
      <c r="H30" s="176">
        <v>4.4999999999999998E-2</v>
      </c>
      <c r="I30" s="176">
        <v>7.4999999999999997E-2</v>
      </c>
      <c r="J30" s="177">
        <v>7.4999999999999997E-2</v>
      </c>
      <c r="K30" s="178"/>
      <c r="L30" s="179">
        <v>0.03</v>
      </c>
      <c r="M30" s="178"/>
      <c r="N30" s="179">
        <v>7.4999999999999997E-2</v>
      </c>
    </row>
    <row r="31" spans="2:14" s="91" customFormat="1" x14ac:dyDescent="0.2">
      <c r="B31" s="170" t="s">
        <v>12</v>
      </c>
      <c r="C31" s="171">
        <v>5</v>
      </c>
      <c r="D31" s="180">
        <v>5.0000000000000001E-3</v>
      </c>
      <c r="E31" s="181">
        <v>6.0000000000000001E-3</v>
      </c>
      <c r="F31" s="181">
        <v>7.0000000000000001E-3</v>
      </c>
      <c r="G31" s="181">
        <v>1.4999999999999999E-2</v>
      </c>
      <c r="H31" s="181">
        <v>2.5000000000000001E-2</v>
      </c>
      <c r="I31" s="181">
        <v>4.2000000000000003E-2</v>
      </c>
      <c r="J31" s="182">
        <v>4.2000000000000003E-2</v>
      </c>
      <c r="K31" s="178"/>
      <c r="L31" s="183">
        <v>1.7000000000000001E-2</v>
      </c>
      <c r="M31" s="178"/>
      <c r="N31" s="183">
        <v>4.2000000000000003E-2</v>
      </c>
    </row>
    <row r="32" spans="2:14" s="91" customFormat="1" x14ac:dyDescent="0.2">
      <c r="B32" s="170" t="s">
        <v>13</v>
      </c>
      <c r="C32" s="171">
        <v>10</v>
      </c>
      <c r="D32" s="180">
        <v>5.0000000000000001E-3</v>
      </c>
      <c r="E32" s="181">
        <v>5.0000000000000001E-3</v>
      </c>
      <c r="F32" s="181">
        <v>5.0000000000000001E-3</v>
      </c>
      <c r="G32" s="181">
        <v>0.01</v>
      </c>
      <c r="H32" s="181">
        <v>1.7999999999999999E-2</v>
      </c>
      <c r="I32" s="181">
        <v>5.0000000000000001E-3</v>
      </c>
      <c r="J32" s="182">
        <v>5.0000000000000001E-3</v>
      </c>
      <c r="K32" s="178"/>
      <c r="L32" s="183">
        <v>1.2E-2</v>
      </c>
      <c r="M32" s="178"/>
      <c r="N32" s="183">
        <v>5.0000000000000001E-3</v>
      </c>
    </row>
    <row r="33" spans="2:14" s="91" customFormat="1" x14ac:dyDescent="0.2">
      <c r="B33" s="170" t="s">
        <v>14</v>
      </c>
      <c r="C33" s="171">
        <v>15</v>
      </c>
      <c r="D33" s="180">
        <v>5.0000000000000001E-3</v>
      </c>
      <c r="E33" s="181">
        <v>5.0000000000000001E-3</v>
      </c>
      <c r="F33" s="181">
        <v>5.0000000000000001E-3</v>
      </c>
      <c r="G33" s="181">
        <v>0.01</v>
      </c>
      <c r="H33" s="181">
        <v>5.0000000000000001E-3</v>
      </c>
      <c r="I33" s="181">
        <v>5.0000000000000001E-3</v>
      </c>
      <c r="J33" s="182">
        <v>5.0000000000000001E-3</v>
      </c>
      <c r="K33" s="178"/>
      <c r="L33" s="183">
        <v>1.2E-2</v>
      </c>
      <c r="M33" s="178"/>
      <c r="N33" s="183">
        <v>5.0000000000000001E-3</v>
      </c>
    </row>
    <row r="34" spans="2:14" s="91" customFormat="1" ht="15" thickBot="1" x14ac:dyDescent="0.25">
      <c r="B34" s="162" t="s">
        <v>15</v>
      </c>
      <c r="C34" s="184">
        <v>20</v>
      </c>
      <c r="D34" s="185">
        <v>5.0000000000000001E-3</v>
      </c>
      <c r="E34" s="186">
        <v>5.0000000000000001E-3</v>
      </c>
      <c r="F34" s="186">
        <v>5.0000000000000001E-3</v>
      </c>
      <c r="G34" s="186">
        <v>5.0000000000000001E-3</v>
      </c>
      <c r="H34" s="186">
        <v>5.0000000000000001E-3</v>
      </c>
      <c r="I34" s="186">
        <v>5.0000000000000001E-3</v>
      </c>
      <c r="J34" s="187">
        <v>5.0000000000000001E-3</v>
      </c>
      <c r="K34" s="178"/>
      <c r="L34" s="188">
        <v>5.0000000000000001E-3</v>
      </c>
      <c r="M34" s="178"/>
      <c r="N34" s="188">
        <v>5.0000000000000001E-3</v>
      </c>
    </row>
    <row r="35" spans="2:14" s="91" customFormat="1" ht="15" thickBot="1" x14ac:dyDescent="0.25">
      <c r="B35" s="160"/>
      <c r="C35" s="160"/>
      <c r="D35" s="160"/>
      <c r="E35" s="160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2:14" s="91" customFormat="1" ht="25.5" customHeight="1" thickBot="1" x14ac:dyDescent="0.25">
      <c r="B36" s="250" t="s">
        <v>19</v>
      </c>
      <c r="C36" s="251"/>
      <c r="D36" s="255" t="s">
        <v>2</v>
      </c>
      <c r="E36" s="256"/>
      <c r="F36" s="167"/>
      <c r="G36" s="167"/>
      <c r="H36" s="167"/>
      <c r="I36" s="167"/>
      <c r="J36" s="167"/>
      <c r="K36" s="167"/>
      <c r="L36" s="167"/>
      <c r="M36" s="169"/>
      <c r="N36" s="252"/>
    </row>
    <row r="37" spans="2:14" s="91" customFormat="1" ht="14.25" customHeight="1" thickBot="1" x14ac:dyDescent="0.25">
      <c r="B37" s="170" t="s">
        <v>9</v>
      </c>
      <c r="C37" s="171" t="s">
        <v>5</v>
      </c>
      <c r="D37" s="162">
        <v>0</v>
      </c>
      <c r="E37" s="173">
        <v>1</v>
      </c>
      <c r="F37" s="169"/>
      <c r="G37" s="169"/>
      <c r="H37" s="169"/>
      <c r="I37" s="169"/>
      <c r="J37" s="169"/>
      <c r="K37" s="169"/>
      <c r="L37" s="169"/>
      <c r="M37" s="169"/>
      <c r="N37" s="252"/>
    </row>
    <row r="38" spans="2:14" s="91" customFormat="1" x14ac:dyDescent="0.2">
      <c r="B38" s="170" t="s">
        <v>11</v>
      </c>
      <c r="C38" s="171">
        <v>0</v>
      </c>
      <c r="D38" s="189">
        <v>0</v>
      </c>
      <c r="E38" s="177">
        <v>0</v>
      </c>
      <c r="F38" s="178"/>
      <c r="G38" s="178"/>
      <c r="H38" s="178"/>
      <c r="I38" s="178"/>
      <c r="J38" s="178"/>
      <c r="K38" s="178"/>
      <c r="L38" s="178"/>
      <c r="M38" s="178"/>
      <c r="N38" s="178"/>
    </row>
    <row r="39" spans="2:14" s="91" customFormat="1" ht="15" thickBot="1" x14ac:dyDescent="0.25">
      <c r="B39" s="162" t="s">
        <v>21</v>
      </c>
      <c r="C39" s="184">
        <v>5</v>
      </c>
      <c r="D39" s="190">
        <v>3.5000000000000003E-2</v>
      </c>
      <c r="E39" s="187">
        <v>4.4999999999999998E-2</v>
      </c>
      <c r="F39" s="178"/>
      <c r="G39" s="178"/>
      <c r="H39" s="178"/>
      <c r="I39" s="178"/>
      <c r="J39" s="178"/>
      <c r="K39" s="178"/>
      <c r="L39" s="178"/>
      <c r="M39" s="178"/>
      <c r="N39" s="178"/>
    </row>
    <row r="40" spans="2:14" s="91" customFormat="1" ht="15" thickBot="1" x14ac:dyDescent="0.25">
      <c r="B40" s="166"/>
      <c r="C40" s="160"/>
      <c r="D40" s="160"/>
      <c r="E40" s="160"/>
      <c r="F40" s="161"/>
      <c r="G40" s="161"/>
      <c r="H40" s="161"/>
      <c r="I40" s="161"/>
      <c r="J40" s="161"/>
      <c r="K40" s="161"/>
      <c r="L40" s="161"/>
      <c r="M40" s="161"/>
      <c r="N40" s="161"/>
    </row>
    <row r="41" spans="2:14" s="91" customFormat="1" ht="25.5" customHeight="1" thickBot="1" x14ac:dyDescent="0.25">
      <c r="B41" s="250" t="s">
        <v>20</v>
      </c>
      <c r="C41" s="251"/>
      <c r="D41" s="255" t="s">
        <v>2</v>
      </c>
      <c r="E41" s="256"/>
      <c r="F41" s="167"/>
      <c r="G41" s="167"/>
      <c r="H41" s="167"/>
      <c r="I41" s="167"/>
      <c r="J41" s="167"/>
      <c r="K41" s="167"/>
      <c r="L41" s="167"/>
      <c r="M41" s="169"/>
      <c r="N41" s="252"/>
    </row>
    <row r="42" spans="2:14" s="91" customFormat="1" ht="14.25" customHeight="1" thickBot="1" x14ac:dyDescent="0.25">
      <c r="B42" s="170" t="s">
        <v>9</v>
      </c>
      <c r="C42" s="171" t="s">
        <v>5</v>
      </c>
      <c r="D42" s="162">
        <v>0</v>
      </c>
      <c r="E42" s="173">
        <v>1</v>
      </c>
      <c r="F42" s="169"/>
      <c r="G42" s="169"/>
      <c r="H42" s="169"/>
      <c r="I42" s="169"/>
      <c r="J42" s="169"/>
      <c r="K42" s="169"/>
      <c r="L42" s="169"/>
      <c r="M42" s="169"/>
      <c r="N42" s="252"/>
    </row>
    <row r="43" spans="2:14" s="91" customFormat="1" x14ac:dyDescent="0.2">
      <c r="B43" s="170" t="s">
        <v>11</v>
      </c>
      <c r="C43" s="171">
        <v>0</v>
      </c>
      <c r="D43" s="189">
        <v>7.0000000000000001E-3</v>
      </c>
      <c r="E43" s="177">
        <v>8.9999999999999993E-3</v>
      </c>
      <c r="F43" s="178"/>
      <c r="G43" s="178"/>
      <c r="H43" s="178"/>
      <c r="I43" s="178"/>
      <c r="J43" s="178"/>
      <c r="K43" s="178"/>
      <c r="L43" s="178"/>
      <c r="M43" s="178"/>
      <c r="N43" s="178"/>
    </row>
    <row r="44" spans="2:14" s="91" customFormat="1" ht="15" thickBot="1" x14ac:dyDescent="0.25">
      <c r="B44" s="162" t="s">
        <v>21</v>
      </c>
      <c r="C44" s="184">
        <v>5</v>
      </c>
      <c r="D44" s="190">
        <v>5.0000000000000001E-3</v>
      </c>
      <c r="E44" s="187">
        <v>5.0000000000000001E-3</v>
      </c>
      <c r="F44" s="178"/>
      <c r="G44" s="178"/>
      <c r="H44" s="178"/>
      <c r="I44" s="178"/>
      <c r="J44" s="178"/>
      <c r="K44" s="178"/>
      <c r="L44" s="178"/>
      <c r="M44" s="178"/>
      <c r="N44" s="178"/>
    </row>
    <row r="45" spans="2:14" s="91" customFormat="1" ht="15" thickBot="1" x14ac:dyDescent="0.25">
      <c r="B45" s="160"/>
      <c r="C45" s="160"/>
      <c r="D45" s="160"/>
      <c r="E45" s="160"/>
      <c r="F45" s="160"/>
      <c r="G45" s="160"/>
      <c r="H45" s="160"/>
      <c r="I45" s="160"/>
      <c r="J45" s="160"/>
      <c r="K45" s="161"/>
      <c r="L45" s="160"/>
      <c r="M45" s="161"/>
      <c r="N45" s="160"/>
    </row>
    <row r="46" spans="2:14" s="91" customFormat="1" ht="14.25" customHeight="1" thickBot="1" x14ac:dyDescent="0.25">
      <c r="B46" s="248" t="s">
        <v>23</v>
      </c>
      <c r="C46" s="249"/>
      <c r="D46" s="246" t="s">
        <v>2</v>
      </c>
      <c r="E46" s="246"/>
      <c r="F46" s="246"/>
      <c r="G46" s="246"/>
      <c r="H46" s="246"/>
      <c r="I46" s="246"/>
      <c r="J46" s="247"/>
      <c r="K46" s="167"/>
      <c r="L46" s="167"/>
      <c r="M46" s="169"/>
      <c r="N46" s="252"/>
    </row>
    <row r="47" spans="2:14" s="91" customFormat="1" ht="14.25" customHeight="1" thickBot="1" x14ac:dyDescent="0.25">
      <c r="B47" s="170" t="s">
        <v>9</v>
      </c>
      <c r="C47" s="171" t="s">
        <v>5</v>
      </c>
      <c r="D47" s="172">
        <v>0</v>
      </c>
      <c r="E47" s="172">
        <v>1</v>
      </c>
      <c r="F47" s="172">
        <v>2</v>
      </c>
      <c r="G47" s="172">
        <v>3</v>
      </c>
      <c r="H47" s="172">
        <v>4</v>
      </c>
      <c r="I47" s="172">
        <v>5</v>
      </c>
      <c r="J47" s="173">
        <v>6</v>
      </c>
      <c r="K47" s="169"/>
      <c r="L47" s="169"/>
      <c r="M47" s="169"/>
      <c r="N47" s="252"/>
    </row>
    <row r="48" spans="2:14" s="91" customFormat="1" x14ac:dyDescent="0.2">
      <c r="B48" s="170" t="s">
        <v>11</v>
      </c>
      <c r="C48" s="171">
        <v>0</v>
      </c>
      <c r="D48" s="175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7">
        <v>0</v>
      </c>
      <c r="K48" s="178"/>
      <c r="L48" s="178"/>
      <c r="M48" s="178"/>
      <c r="N48" s="178"/>
    </row>
    <row r="49" spans="1:15" s="91" customFormat="1" x14ac:dyDescent="0.2">
      <c r="B49" s="170" t="s">
        <v>12</v>
      </c>
      <c r="C49" s="171">
        <v>5</v>
      </c>
      <c r="D49" s="180">
        <v>0</v>
      </c>
      <c r="E49" s="181">
        <v>0</v>
      </c>
      <c r="F49" s="181">
        <v>5.5E-2</v>
      </c>
      <c r="G49" s="181">
        <v>7.0000000000000007E-2</v>
      </c>
      <c r="H49" s="181">
        <v>0.125</v>
      </c>
      <c r="I49" s="181">
        <v>0.22500000000000001</v>
      </c>
      <c r="J49" s="182">
        <v>0.22500000000000001</v>
      </c>
      <c r="K49" s="178"/>
      <c r="L49" s="178"/>
      <c r="M49" s="178"/>
      <c r="N49" s="178"/>
    </row>
    <row r="50" spans="1:15" s="91" customFormat="1" x14ac:dyDescent="0.2">
      <c r="B50" s="170" t="s">
        <v>13</v>
      </c>
      <c r="C50" s="171">
        <v>10</v>
      </c>
      <c r="D50" s="180">
        <v>0</v>
      </c>
      <c r="E50" s="181">
        <v>0</v>
      </c>
      <c r="F50" s="181">
        <v>8.4000000000000005E-2</v>
      </c>
      <c r="G50" s="181">
        <v>0.105</v>
      </c>
      <c r="H50" s="181">
        <v>0.2</v>
      </c>
      <c r="I50" s="181">
        <v>0.35</v>
      </c>
      <c r="J50" s="182">
        <v>0.35</v>
      </c>
      <c r="K50" s="178"/>
      <c r="L50" s="178"/>
      <c r="M50" s="178"/>
      <c r="N50" s="178"/>
    </row>
    <row r="51" spans="1:15" s="91" customFormat="1" x14ac:dyDescent="0.2">
      <c r="B51" s="170" t="s">
        <v>14</v>
      </c>
      <c r="C51" s="171">
        <v>15</v>
      </c>
      <c r="D51" s="180">
        <v>0</v>
      </c>
      <c r="E51" s="181">
        <v>0</v>
      </c>
      <c r="F51" s="181">
        <v>0.109</v>
      </c>
      <c r="G51" s="181">
        <v>0.13</v>
      </c>
      <c r="H51" s="181">
        <v>0.25</v>
      </c>
      <c r="I51" s="181">
        <v>0.44</v>
      </c>
      <c r="J51" s="182">
        <v>0.44</v>
      </c>
      <c r="K51" s="178"/>
      <c r="L51" s="178"/>
      <c r="M51" s="178"/>
      <c r="N51" s="178"/>
    </row>
    <row r="52" spans="1:15" s="91" customFormat="1" ht="15" thickBot="1" x14ac:dyDescent="0.25">
      <c r="B52" s="162" t="s">
        <v>15</v>
      </c>
      <c r="C52" s="184">
        <v>20</v>
      </c>
      <c r="D52" s="185">
        <v>0</v>
      </c>
      <c r="E52" s="186">
        <v>0</v>
      </c>
      <c r="F52" s="186">
        <v>0.13400000000000001</v>
      </c>
      <c r="G52" s="186">
        <v>0.155</v>
      </c>
      <c r="H52" s="186">
        <v>0.3</v>
      </c>
      <c r="I52" s="186">
        <v>0.46500000000000002</v>
      </c>
      <c r="J52" s="187">
        <v>0.46500000000000002</v>
      </c>
      <c r="K52" s="178"/>
      <c r="L52" s="178"/>
      <c r="M52" s="178"/>
      <c r="N52" s="178"/>
    </row>
    <row r="53" spans="1:15" s="91" customFormat="1" ht="15" thickBot="1" x14ac:dyDescent="0.25">
      <c r="B53" s="166"/>
      <c r="C53" s="160"/>
      <c r="D53" s="160"/>
      <c r="E53" s="160"/>
      <c r="F53" s="160"/>
      <c r="G53" s="160"/>
      <c r="H53" s="160"/>
      <c r="I53" s="160"/>
      <c r="J53" s="160"/>
      <c r="K53" s="161"/>
      <c r="L53" s="161"/>
      <c r="M53" s="161"/>
      <c r="N53" s="161"/>
    </row>
    <row r="54" spans="1:15" s="91" customFormat="1" ht="14.25" customHeight="1" thickBot="1" x14ac:dyDescent="0.25">
      <c r="B54" s="248" t="s">
        <v>24</v>
      </c>
      <c r="C54" s="249"/>
      <c r="D54" s="246" t="s">
        <v>2</v>
      </c>
      <c r="E54" s="246"/>
      <c r="F54" s="246"/>
      <c r="G54" s="246"/>
      <c r="H54" s="246"/>
      <c r="I54" s="246"/>
      <c r="J54" s="247"/>
      <c r="K54" s="167"/>
      <c r="L54" s="167"/>
      <c r="M54" s="169"/>
      <c r="N54" s="252"/>
    </row>
    <row r="55" spans="1:15" s="91" customFormat="1" ht="14.25" customHeight="1" thickBot="1" x14ac:dyDescent="0.25">
      <c r="B55" s="170" t="s">
        <v>9</v>
      </c>
      <c r="C55" s="171" t="s">
        <v>5</v>
      </c>
      <c r="D55" s="172">
        <v>0</v>
      </c>
      <c r="E55" s="172">
        <v>1</v>
      </c>
      <c r="F55" s="172">
        <v>2</v>
      </c>
      <c r="G55" s="172">
        <v>3</v>
      </c>
      <c r="H55" s="172">
        <v>4</v>
      </c>
      <c r="I55" s="172">
        <v>5</v>
      </c>
      <c r="J55" s="173">
        <v>6</v>
      </c>
      <c r="K55" s="169"/>
      <c r="L55" s="169"/>
      <c r="M55" s="169"/>
      <c r="N55" s="252"/>
    </row>
    <row r="56" spans="1:15" s="91" customFormat="1" x14ac:dyDescent="0.2">
      <c r="B56" s="170" t="s">
        <v>11</v>
      </c>
      <c r="C56" s="171">
        <v>0</v>
      </c>
      <c r="D56" s="175">
        <v>0</v>
      </c>
      <c r="E56" s="176">
        <v>0</v>
      </c>
      <c r="F56" s="176">
        <v>1.0999999999999999E-2</v>
      </c>
      <c r="G56" s="176">
        <v>1.4E-2</v>
      </c>
      <c r="H56" s="176">
        <v>2.5000000000000001E-2</v>
      </c>
      <c r="I56" s="176">
        <v>4.4999999999999998E-2</v>
      </c>
      <c r="J56" s="177">
        <v>4.4999999999999998E-2</v>
      </c>
      <c r="K56" s="178"/>
      <c r="L56" s="178"/>
      <c r="M56" s="178"/>
      <c r="N56" s="178"/>
    </row>
    <row r="57" spans="1:15" s="91" customFormat="1" x14ac:dyDescent="0.2">
      <c r="B57" s="170" t="s">
        <v>12</v>
      </c>
      <c r="C57" s="171">
        <v>5</v>
      </c>
      <c r="D57" s="180">
        <v>0</v>
      </c>
      <c r="E57" s="181">
        <v>0</v>
      </c>
      <c r="F57" s="181">
        <v>6.0000000000000001E-3</v>
      </c>
      <c r="G57" s="181">
        <v>7.0000000000000001E-3</v>
      </c>
      <c r="H57" s="181">
        <v>1.4999999999999999E-2</v>
      </c>
      <c r="I57" s="181">
        <v>2.5000000000000001E-2</v>
      </c>
      <c r="J57" s="182">
        <v>2.5000000000000001E-2</v>
      </c>
      <c r="K57" s="178"/>
      <c r="L57" s="178"/>
      <c r="M57" s="178"/>
      <c r="N57" s="178"/>
    </row>
    <row r="58" spans="1:15" s="91" customFormat="1" x14ac:dyDescent="0.2">
      <c r="B58" s="170" t="s">
        <v>13</v>
      </c>
      <c r="C58" s="171">
        <v>10</v>
      </c>
      <c r="D58" s="180">
        <v>0</v>
      </c>
      <c r="E58" s="181">
        <v>0</v>
      </c>
      <c r="F58" s="181">
        <v>5.0000000000000001E-3</v>
      </c>
      <c r="G58" s="181">
        <v>5.0000000000000001E-3</v>
      </c>
      <c r="H58" s="181">
        <v>0.01</v>
      </c>
      <c r="I58" s="181">
        <v>1.7999999999999999E-2</v>
      </c>
      <c r="J58" s="182">
        <v>1.7999999999999999E-2</v>
      </c>
      <c r="K58" s="178"/>
      <c r="L58" s="178"/>
      <c r="M58" s="178"/>
      <c r="N58" s="178"/>
    </row>
    <row r="59" spans="1:15" s="91" customFormat="1" x14ac:dyDescent="0.2">
      <c r="B59" s="170" t="s">
        <v>14</v>
      </c>
      <c r="C59" s="171">
        <v>15</v>
      </c>
      <c r="D59" s="180">
        <v>0</v>
      </c>
      <c r="E59" s="181">
        <v>0</v>
      </c>
      <c r="F59" s="181">
        <v>5.0000000000000001E-3</v>
      </c>
      <c r="G59" s="181">
        <v>5.0000000000000001E-3</v>
      </c>
      <c r="H59" s="181">
        <v>0.01</v>
      </c>
      <c r="I59" s="181">
        <v>5.0000000000000001E-3</v>
      </c>
      <c r="J59" s="182">
        <v>5.0000000000000001E-3</v>
      </c>
      <c r="K59" s="178"/>
      <c r="L59" s="178"/>
      <c r="M59" s="178"/>
      <c r="N59" s="178"/>
    </row>
    <row r="60" spans="1:15" s="91" customFormat="1" ht="15" thickBot="1" x14ac:dyDescent="0.25">
      <c r="B60" s="162" t="s">
        <v>15</v>
      </c>
      <c r="C60" s="184">
        <v>20</v>
      </c>
      <c r="D60" s="185">
        <v>0</v>
      </c>
      <c r="E60" s="186">
        <v>0</v>
      </c>
      <c r="F60" s="186">
        <v>5.0000000000000001E-3</v>
      </c>
      <c r="G60" s="186">
        <v>5.0000000000000001E-3</v>
      </c>
      <c r="H60" s="186">
        <v>5.0000000000000001E-3</v>
      </c>
      <c r="I60" s="186">
        <v>5.0000000000000001E-3</v>
      </c>
      <c r="J60" s="187">
        <v>5.0000000000000001E-3</v>
      </c>
      <c r="K60" s="178"/>
      <c r="L60" s="178"/>
      <c r="M60" s="178"/>
      <c r="N60" s="178"/>
    </row>
    <row r="61" spans="1:15" s="91" customFormat="1" x14ac:dyDescent="0.2">
      <c r="B61" s="160"/>
      <c r="C61" s="160"/>
      <c r="D61" s="160"/>
      <c r="E61" s="160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5" s="91" customFormat="1" x14ac:dyDescent="0.2">
      <c r="B62" s="160"/>
      <c r="C62" s="160"/>
      <c r="D62" s="160"/>
      <c r="E62" s="160"/>
      <c r="F62" s="160"/>
      <c r="G62" s="160"/>
      <c r="H62" s="160"/>
      <c r="I62" s="160"/>
      <c r="J62" s="160"/>
      <c r="K62" s="161"/>
      <c r="L62" s="160"/>
      <c r="M62" s="161"/>
      <c r="N62" s="160"/>
    </row>
    <row r="63" spans="1:15" s="154" customFormat="1" x14ac:dyDescent="0.2">
      <c r="A63" s="191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3"/>
    </row>
    <row r="64" spans="1:15" x14ac:dyDescent="0.2">
      <c r="A64" s="194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95"/>
    </row>
    <row r="65" spans="1:15" ht="15" thickBot="1" x14ac:dyDescent="0.25">
      <c r="A65" s="194"/>
      <c r="B65" s="196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95"/>
    </row>
    <row r="66" spans="1:15" ht="15" thickBot="1" x14ac:dyDescent="0.25">
      <c r="A66" s="194"/>
      <c r="C66" s="197" t="s">
        <v>29</v>
      </c>
      <c r="D66" s="246" t="s">
        <v>2</v>
      </c>
      <c r="E66" s="246"/>
      <c r="F66" s="246"/>
      <c r="G66" s="246"/>
      <c r="H66" s="246"/>
      <c r="I66" s="246"/>
      <c r="J66" s="247"/>
      <c r="L66" s="168"/>
      <c r="O66" s="195"/>
    </row>
    <row r="67" spans="1:15" ht="15" thickBot="1" x14ac:dyDescent="0.25">
      <c r="A67" s="194"/>
      <c r="C67" s="198" t="s">
        <v>25</v>
      </c>
      <c r="D67" s="172">
        <v>0</v>
      </c>
      <c r="E67" s="172">
        <v>1</v>
      </c>
      <c r="F67" s="172">
        <v>2</v>
      </c>
      <c r="G67" s="172">
        <v>3</v>
      </c>
      <c r="H67" s="172">
        <v>4</v>
      </c>
      <c r="I67" s="172">
        <v>5</v>
      </c>
      <c r="J67" s="173">
        <v>6</v>
      </c>
      <c r="L67" s="174" t="s">
        <v>7</v>
      </c>
      <c r="O67" s="195"/>
    </row>
    <row r="68" spans="1:15" x14ac:dyDescent="0.2">
      <c r="A68" s="194"/>
      <c r="C68" s="198" t="s">
        <v>26</v>
      </c>
      <c r="D68" s="180">
        <v>2.1000000000000001E-2</v>
      </c>
      <c r="E68" s="181">
        <v>0.03</v>
      </c>
      <c r="F68" s="181">
        <v>0.03</v>
      </c>
      <c r="G68" s="181">
        <v>0.03</v>
      </c>
      <c r="H68" s="199"/>
      <c r="I68" s="199"/>
      <c r="J68" s="200"/>
      <c r="L68" s="201"/>
      <c r="O68" s="195"/>
    </row>
    <row r="69" spans="1:15" x14ac:dyDescent="0.2">
      <c r="A69" s="194"/>
      <c r="C69" s="198" t="s">
        <v>27</v>
      </c>
      <c r="D69" s="180">
        <v>0.125</v>
      </c>
      <c r="E69" s="181">
        <v>0.13400000000000001</v>
      </c>
      <c r="F69" s="181">
        <v>0.16600000000000001</v>
      </c>
      <c r="G69" s="181">
        <v>0.19700000000000001</v>
      </c>
      <c r="H69" s="181">
        <v>0.82</v>
      </c>
      <c r="I69" s="181">
        <v>1</v>
      </c>
      <c r="J69" s="182">
        <v>1</v>
      </c>
      <c r="L69" s="183">
        <v>1</v>
      </c>
      <c r="O69" s="195"/>
    </row>
    <row r="70" spans="1:15" ht="15" thickBot="1" x14ac:dyDescent="0.25">
      <c r="A70" s="194"/>
      <c r="C70" s="174" t="s">
        <v>28</v>
      </c>
      <c r="D70" s="185">
        <v>0.33</v>
      </c>
      <c r="E70" s="186">
        <v>0.4</v>
      </c>
      <c r="F70" s="186">
        <v>0.51</v>
      </c>
      <c r="G70" s="186">
        <v>0.91</v>
      </c>
      <c r="H70" s="186">
        <v>1</v>
      </c>
      <c r="I70" s="186">
        <v>1</v>
      </c>
      <c r="J70" s="187">
        <v>1</v>
      </c>
      <c r="L70" s="188">
        <v>1</v>
      </c>
      <c r="O70" s="195"/>
    </row>
    <row r="71" spans="1:15" x14ac:dyDescent="0.2">
      <c r="A71" s="194"/>
      <c r="O71" s="195"/>
    </row>
    <row r="72" spans="1:15" x14ac:dyDescent="0.2">
      <c r="A72" s="202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4"/>
    </row>
    <row r="73" spans="1:15" hidden="1" x14ac:dyDescent="0.2"/>
  </sheetData>
  <sheetProtection algorithmName="SHA-512" hashValue="jhkWO2cRxQcHzbUhXOoDOm5CLxBPARl/JEdoq9pnygaBYoqaTN43S1RNHA0sb8aZoZEdv2zMtjNopGjCxM8zqQ==" saltValue="SKwoLu6qqYuGEkq82wK0ew==" spinCount="100000" sheet="1" objects="1" scenarios="1"/>
  <mergeCells count="19">
    <mergeCell ref="N46:N47"/>
    <mergeCell ref="D54:J54"/>
    <mergeCell ref="N54:N55"/>
    <mergeCell ref="N20:N21"/>
    <mergeCell ref="N28:N29"/>
    <mergeCell ref="D28:J28"/>
    <mergeCell ref="N36:N37"/>
    <mergeCell ref="N41:N42"/>
    <mergeCell ref="D36:E36"/>
    <mergeCell ref="D41:E41"/>
    <mergeCell ref="D20:J20"/>
    <mergeCell ref="D66:J66"/>
    <mergeCell ref="B28:C28"/>
    <mergeCell ref="B20:C20"/>
    <mergeCell ref="B54:C54"/>
    <mergeCell ref="B46:C46"/>
    <mergeCell ref="B41:C41"/>
    <mergeCell ref="B36:C36"/>
    <mergeCell ref="D46:J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47</vt:i4>
      </vt:variant>
    </vt:vector>
  </HeadingPairs>
  <TitlesOfParts>
    <vt:vector size="53" baseType="lpstr">
      <vt:lpstr>Index</vt:lpstr>
      <vt:lpstr>Capital</vt:lpstr>
      <vt:lpstr>Bonds</vt:lpstr>
      <vt:lpstr>Securitisations</vt:lpstr>
      <vt:lpstr>Credit Derivatives</vt:lpstr>
      <vt:lpstr>Data</vt:lpstr>
      <vt:lpstr>Base_Assets</vt:lpstr>
      <vt:lpstr>Base_VDB</vt:lpstr>
      <vt:lpstr>Base_VGB</vt:lpstr>
      <vt:lpstr>BOF_Bond</vt:lpstr>
      <vt:lpstr>BOF_Sec</vt:lpstr>
      <vt:lpstr>Bond_Assets</vt:lpstr>
      <vt:lpstr>Bond_Base</vt:lpstr>
      <vt:lpstr>Bond_Base_MCR</vt:lpstr>
      <vt:lpstr>Bond_Base_UR</vt:lpstr>
      <vt:lpstr>Bond_Mult</vt:lpstr>
      <vt:lpstr>Bond_Mult_MCR</vt:lpstr>
      <vt:lpstr>Bond_Mult_UR</vt:lpstr>
      <vt:lpstr>Bond_VDB</vt:lpstr>
      <vt:lpstr>Bond_VGB</vt:lpstr>
      <vt:lpstr>CD_Down_Assets</vt:lpstr>
      <vt:lpstr>CD_Down_VDB</vt:lpstr>
      <vt:lpstr>CD_Down_VGB</vt:lpstr>
      <vt:lpstr>CD_Up_Assets</vt:lpstr>
      <vt:lpstr>CD_Up_VDB</vt:lpstr>
      <vt:lpstr>CD_Up_VGB</vt:lpstr>
      <vt:lpstr>Cov_Bond_Base</vt:lpstr>
      <vt:lpstr>Cov_Bond_Mult</vt:lpstr>
      <vt:lpstr>Cov_CQS</vt:lpstr>
      <vt:lpstr>Cov_Range</vt:lpstr>
      <vt:lpstr>CQS</vt:lpstr>
      <vt:lpstr>Gilt_Base</vt:lpstr>
      <vt:lpstr>Gilt_Mult</vt:lpstr>
      <vt:lpstr>Mkt_sp</vt:lpstr>
      <vt:lpstr>Mkt_sp_Bonds</vt:lpstr>
      <vt:lpstr>Mkt_sp_CD</vt:lpstr>
      <vt:lpstr>Mkt_sp_cd_Down</vt:lpstr>
      <vt:lpstr>Mkt_sp_cd_Up</vt:lpstr>
      <vt:lpstr>Mkt_sp_Sec</vt:lpstr>
      <vt:lpstr>nMkt_sp</vt:lpstr>
      <vt:lpstr>nMkt_sp_Bonds</vt:lpstr>
      <vt:lpstr>nMkt_sp_CD</vt:lpstr>
      <vt:lpstr>nMkt_sp_cd_Down</vt:lpstr>
      <vt:lpstr>nMkt_sp_cd_Up</vt:lpstr>
      <vt:lpstr>nMkt_sp_Sec</vt:lpstr>
      <vt:lpstr>Range</vt:lpstr>
      <vt:lpstr>Sec_Assets</vt:lpstr>
      <vt:lpstr>Sec_Mult</vt:lpstr>
      <vt:lpstr>Sec_Mult_UR</vt:lpstr>
      <vt:lpstr>Sec_Type</vt:lpstr>
      <vt:lpstr>Sec_VDB</vt:lpstr>
      <vt:lpstr>Sec_VGB</vt:lpstr>
      <vt:lpstr>Solv_Ratio_CQS_Map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Brown</dc:creator>
  <cp:lastModifiedBy>Eltman, Sian</cp:lastModifiedBy>
  <dcterms:created xsi:type="dcterms:W3CDTF">2015-10-06T09:06:00Z</dcterms:created>
  <dcterms:modified xsi:type="dcterms:W3CDTF">2022-07-01T08:22:25Z</dcterms:modified>
</cp:coreProperties>
</file>