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reiltys.government.iomgov\root\FSA_Shared\Supervision\Actuarial\Templates\Non Long-Term Business\Templates\For warehouse\Version 5\"/>
    </mc:Choice>
  </mc:AlternateContent>
  <xr:revisionPtr revIDLastSave="0" documentId="13_ncr:1_{C52F1C5C-1842-40ED-84E0-47AACF82307C}" xr6:coauthVersionLast="47" xr6:coauthVersionMax="47" xr10:uidLastSave="{00000000-0000-0000-0000-000000000000}"/>
  <workbookProtection workbookAlgorithmName="SHA-512" workbookHashValue="Q635+bZi0EwABcur4VYodD5X0gytDuciy/+yZOkRgTjLlrTScg9HZZVydeKNcCZSrRG5QPv5dzj1wwYe8X4zNw==" workbookSaltValue="Nt3SsKAYY1rj8plqBqnwFQ==" workbookSpinCount="100000" lockStructure="1"/>
  <bookViews>
    <workbookView xWindow="-28920" yWindow="15" windowWidth="29040" windowHeight="15840" firstSheet="1" activeTab="2" xr2:uid="{00000000-000D-0000-FFFF-FFFF00000000}"/>
  </bookViews>
  <sheets>
    <sheet name="Change log" sheetId="53" state="hidden" r:id="rId1"/>
    <sheet name="CHANGE TAB" sheetId="54" r:id="rId2"/>
    <sheet name="Index" sheetId="3" r:id="rId3"/>
    <sheet name="Background" sheetId="48" r:id="rId4"/>
    <sheet name="Participant Information" sheetId="4" r:id="rId5"/>
    <sheet name="Control" sheetId="51" r:id="rId6"/>
    <sheet name="RBS - Assets" sheetId="5" r:id="rId7"/>
    <sheet name="RBS - Direct TPs" sheetId="6" r:id="rId8"/>
    <sheet name="RBS - Reins TPs" sheetId="7" r:id="rId9"/>
    <sheet name="RBS - Other Liab" sheetId="8" r:id="rId10"/>
    <sheet name="RBS - Risk Margin" sheetId="33" r:id="rId11"/>
    <sheet name="RBS - Capital" sheetId="9" r:id="rId12"/>
    <sheet name="Own Funds" sheetId="10" r:id="rId13"/>
    <sheet name="Ring-Fenced Fund Adjustment" sheetId="46" r:id="rId14"/>
    <sheet name="Market Risk Inputs" sheetId="11" r:id="rId15"/>
    <sheet name="Spread Risk" sheetId="12" r:id="rId16"/>
    <sheet name="Counterparty Default Risk" sheetId="13" r:id="rId17"/>
    <sheet name="Premium and Reserve Risk" sheetId="14" r:id="rId18"/>
    <sheet name="Geographical Diversification" sheetId="15" r:id="rId19"/>
    <sheet name="Lapse Risk" sheetId="16" r:id="rId20"/>
    <sheet name="Health Prem &amp; Reserve Risk" sheetId="27" r:id="rId21"/>
    <sheet name="Health Geo Diversification" sheetId="30" r:id="rId22"/>
    <sheet name="Health Lapse Risk" sheetId="28" r:id="rId23"/>
    <sheet name="Market Risk" sheetId="21" r:id="rId24"/>
    <sheet name="Underwriting Risk" sheetId="22" r:id="rId25"/>
    <sheet name="NSLT Health Risk" sheetId="35" r:id="rId26"/>
    <sheet name="SCR Summary" sheetId="36" r:id="rId27"/>
    <sheet name="MCR Summary" sheetId="32" r:id="rId28"/>
    <sheet name="Change_Analysis" sheetId="47" r:id="rId29"/>
    <sheet name="Additional Information" sheetId="43" r:id="rId30"/>
    <sheet name="Supporting Material" sheetId="37" r:id="rId31"/>
    <sheet name="Summary of Single Exposures" sheetId="38" r:id="rId32"/>
    <sheet name="12 Month Forecast" sheetId="39" r:id="rId33"/>
    <sheet name="Large Claims" sheetId="41" r:id="rId34"/>
    <sheet name="Security Supporting Obligations" sheetId="42" r:id="rId35"/>
    <sheet name="Class 12 Info" sheetId="49" r:id="rId36"/>
    <sheet name="Data" sheetId="24" r:id="rId37"/>
    <sheet name="Validation" sheetId="52" state="hidden" r:id="rId38"/>
  </sheets>
  <definedNames>
    <definedName name="_xlnm._FilterDatabase" localSheetId="17" hidden="1">'Premium and Reserve Risk'!$F$25:$G$128</definedName>
    <definedName name="_Toc419126041" localSheetId="3">Background!$A$1</definedName>
    <definedName name="_Toc492473015" localSheetId="3">Background!$A$5</definedName>
    <definedName name="_Toc492473016" localSheetId="3">Background!$A$6</definedName>
    <definedName name="_Toc492473024" localSheetId="3">Background!$A$22</definedName>
    <definedName name="_Toc492473025" localSheetId="3">Background!$A$30</definedName>
    <definedName name="_Toc492473026" localSheetId="3">Background!$A$31</definedName>
    <definedName name="_Toc516494590" localSheetId="13">'Ring-Fenced Fund Adjustment'!$B$45</definedName>
    <definedName name="_Toc516494597" localSheetId="19">'Lapse Risk'!$B$3</definedName>
    <definedName name="A_10" localSheetId="0">#REF!</definedName>
    <definedName name="A_10">Data!$L$98</definedName>
    <definedName name="A_200" localSheetId="0">#REF!</definedName>
    <definedName name="A_200">Data!$D$98</definedName>
    <definedName name="Acc_Capital" localSheetId="11">'RBS - Capital'!$D$36</definedName>
    <definedName name="Acc_NAV" localSheetId="8">'RBS - Other Liab'!$D$34</definedName>
    <definedName name="Acc_Other_Liabs" localSheetId="9">'RBS - Other Liab'!$D$23</definedName>
    <definedName name="Acc_Total_1_to_28_Liabs" localSheetId="8">'RBS - Reins TPs'!$D$155</definedName>
    <definedName name="Acc_Total_Assets" localSheetId="0">#REF!</definedName>
    <definedName name="Acc_Total_Assets">'RBS - Assets'!$D$73</definedName>
    <definedName name="Acc_Total_Direct_Liabs" localSheetId="7">'RBS - Direct TPs'!$D$119</definedName>
    <definedName name="Acc_Total_Liabs" localSheetId="9">'RBS - Other Liab'!$D$27</definedName>
    <definedName name="Acc_TP_1" localSheetId="7">'RBS - Direct TPs'!$D$16</definedName>
    <definedName name="Acc_TP_10" localSheetId="7">'RBS - Direct TPs'!$D$97</definedName>
    <definedName name="Acc_TP_11" localSheetId="7">'RBS - Direct TPs'!$D$106</definedName>
    <definedName name="Acc_TP_12" localSheetId="7">'RBS - Direct TPs'!$D$115</definedName>
    <definedName name="Acc_TP_13" localSheetId="8">'RBS - Reins TPs'!$D$16</definedName>
    <definedName name="Acc_TP_14" localSheetId="8">'RBS - Reins TPs'!$D$25</definedName>
    <definedName name="Acc_TP_15" localSheetId="8">'RBS - Reins TPs'!$D$34</definedName>
    <definedName name="Acc_TP_16" localSheetId="8">'RBS - Reins TPs'!$D$43</definedName>
    <definedName name="Acc_TP_17" localSheetId="8">'RBS - Reins TPs'!$D$52</definedName>
    <definedName name="Acc_TP_18" localSheetId="8">'RBS - Reins TPs'!$D$61</definedName>
    <definedName name="Acc_TP_19" localSheetId="8">'RBS - Reins TPs'!$D$70</definedName>
    <definedName name="Acc_TP_2" localSheetId="7">'RBS - Direct TPs'!$D$25</definedName>
    <definedName name="Acc_TP_20" localSheetId="8">'RBS - Reins TPs'!$D$79</definedName>
    <definedName name="Acc_TP_21" localSheetId="8">'RBS - Reins TPs'!$D$88</definedName>
    <definedName name="Acc_TP_22" localSheetId="8">'RBS - Reins TPs'!$D$97</definedName>
    <definedName name="Acc_TP_23" localSheetId="8">'RBS - Reins TPs'!$D$106</definedName>
    <definedName name="Acc_TP_24" localSheetId="8">'RBS - Reins TPs'!$D$115</definedName>
    <definedName name="Acc_TP_25" localSheetId="8">'RBS - Reins TPs'!$D$124</definedName>
    <definedName name="Acc_TP_26" localSheetId="8">'RBS - Reins TPs'!$D$133</definedName>
    <definedName name="Acc_TP_27" localSheetId="8">'RBS - Reins TPs'!$D$142</definedName>
    <definedName name="Acc_TP_28" localSheetId="8">'RBS - Reins TPs'!$D$151</definedName>
    <definedName name="Acc_TP_3" localSheetId="7">'RBS - Direct TPs'!$D$34</definedName>
    <definedName name="Acc_TP_4" localSheetId="7">'RBS - Direct TPs'!$D$43</definedName>
    <definedName name="Acc_TP_5" localSheetId="7">'RBS - Direct TPs'!$D$52</definedName>
    <definedName name="Acc_TP_6" localSheetId="7">'RBS - Direct TPs'!$D$61</definedName>
    <definedName name="Acc_TP_7" localSheetId="7">'RBS - Direct TPs'!$D$70</definedName>
    <definedName name="Acc_TP_8" localSheetId="7">'RBS - Direct TPs'!$D$79</definedName>
    <definedName name="Acc_TP_9" localSheetId="7">'RBS - Direct TPs'!$D$88</definedName>
    <definedName name="Adj_Reg_10" localSheetId="26">'SCR Summary'!$D$23</definedName>
    <definedName name="Agg_P_1" localSheetId="0">#REF!</definedName>
    <definedName name="Agg_P_1">'Premium and Reserve Risk'!$Q$28:$Q$127</definedName>
    <definedName name="Agg_P_19" localSheetId="0">#REF!</definedName>
    <definedName name="Agg_P_19">'Premium and Reserve Risk'!$Q$973:$Q$1072</definedName>
    <definedName name="Agg_P_2" localSheetId="0">#REF!</definedName>
    <definedName name="Agg_P_2">'Premium and Reserve Risk'!$Q$133:$Q$232</definedName>
    <definedName name="Agg_P_20" localSheetId="0">#REF!</definedName>
    <definedName name="Agg_P_20">'Premium and Reserve Risk'!$Q$1078:$Q$1177</definedName>
    <definedName name="Agg_P_21" localSheetId="0">#REF!</definedName>
    <definedName name="Agg_P_21">'Premium and Reserve Risk'!$Q$1183:$Q$1282</definedName>
    <definedName name="Agg_P_3" localSheetId="0">#REF!</definedName>
    <definedName name="Agg_P_3">'Premium and Reserve Risk'!$Q$238:$Q$337</definedName>
    <definedName name="Agg_P_4" localSheetId="0">#REF!</definedName>
    <definedName name="Agg_P_4">'Premium and Reserve Risk'!$Q$343:$Q$442</definedName>
    <definedName name="Agg_P_5" localSheetId="0">#REF!</definedName>
    <definedName name="Agg_P_5">'Premium and Reserve Risk'!$Q$448:$Q$547</definedName>
    <definedName name="Agg_P_6" localSheetId="0">#REF!</definedName>
    <definedName name="Agg_P_6">'Premium and Reserve Risk'!$Q$553:$Q$652</definedName>
    <definedName name="Agg_P_7" localSheetId="0">#REF!</definedName>
    <definedName name="Agg_P_7">'Premium and Reserve Risk'!$Q$658:$Q$757</definedName>
    <definedName name="Agg_P_8" localSheetId="0">#REF!</definedName>
    <definedName name="Agg_P_8">'Premium and Reserve Risk'!$Q$763:$Q$862</definedName>
    <definedName name="Agg_P_9" localSheetId="0">#REF!</definedName>
    <definedName name="Agg_P_9">'Premium and Reserve Risk'!$Q$868:$Q$967</definedName>
    <definedName name="Agg_PH_1" localSheetId="0">#REF!</definedName>
    <definedName name="Agg_PH_1">'Health Prem &amp; Reserve Risk'!$Q$20:$Q$119</definedName>
    <definedName name="Agg_PH_2" localSheetId="0">#REF!</definedName>
    <definedName name="Agg_PH_2">'Health Prem &amp; Reserve Risk'!$Q$125:$Q$224</definedName>
    <definedName name="Agg_PH_3" localSheetId="0">#REF!</definedName>
    <definedName name="Agg_PH_3">'Health Prem &amp; Reserve Risk'!$Q$230:$Q$329</definedName>
    <definedName name="Agg_PH_4" localSheetId="0">#REF!</definedName>
    <definedName name="Agg_PH_4">'Health Prem &amp; Reserve Risk'!$Q$335:$Q$434</definedName>
    <definedName name="Agg_R_1" localSheetId="0">#REF!</definedName>
    <definedName name="Agg_R_1">'Premium and Reserve Risk'!$U$28:$U$127</definedName>
    <definedName name="Agg_R_19" localSheetId="0">#REF!</definedName>
    <definedName name="Agg_R_19">'Premium and Reserve Risk'!$U$973:$U$1072</definedName>
    <definedName name="Agg_R_2" localSheetId="0">#REF!</definedName>
    <definedName name="Agg_R_2">'Premium and Reserve Risk'!$U$133:$U$232</definedName>
    <definedName name="Agg_R_20" localSheetId="0">#REF!</definedName>
    <definedName name="Agg_R_20">'Premium and Reserve Risk'!$U$1078:$U$1177</definedName>
    <definedName name="Agg_R_21" localSheetId="0">#REF!</definedName>
    <definedName name="Agg_R_21">'Premium and Reserve Risk'!$U$1183:$U$1282</definedName>
    <definedName name="Agg_R_3" localSheetId="0">#REF!</definedName>
    <definedName name="Agg_R_3">'Premium and Reserve Risk'!$U$238:$U$337</definedName>
    <definedName name="Agg_R_4" localSheetId="0">#REF!</definedName>
    <definedName name="Agg_R_4">'Premium and Reserve Risk'!$U$343:$U$442</definedName>
    <definedName name="Agg_R_5" localSheetId="0">#REF!</definedName>
    <definedName name="Agg_R_5">'Premium and Reserve Risk'!$U$448:$U$547</definedName>
    <definedName name="Agg_R_6" localSheetId="0">#REF!</definedName>
    <definedName name="Agg_R_6">'Premium and Reserve Risk'!$U$553:$U$652</definedName>
    <definedName name="Agg_R_7" localSheetId="0">#REF!</definedName>
    <definedName name="Agg_R_7">'Premium and Reserve Risk'!$U$658:$U$757</definedName>
    <definedName name="Agg_R_8" localSheetId="0">#REF!</definedName>
    <definedName name="Agg_R_8">'Premium and Reserve Risk'!$U$763:$U$862</definedName>
    <definedName name="Agg_R_9" localSheetId="0">#REF!</definedName>
    <definedName name="Agg_R_9">'Premium and Reserve Risk'!$U$868:$U$967</definedName>
    <definedName name="Agg_RH_1" localSheetId="0">#REF!</definedName>
    <definedName name="Agg_RH_1">'Health Prem &amp; Reserve Risk'!$U$20:$U$119</definedName>
    <definedName name="Agg_RH_2" localSheetId="0">#REF!</definedName>
    <definedName name="Agg_RH_2">'Health Prem &amp; Reserve Risk'!$U$125:$U$224</definedName>
    <definedName name="Agg_RH_3" localSheetId="0">#REF!</definedName>
    <definedName name="Agg_RH_3">'Health Prem &amp; Reserve Risk'!$U$230:$U$329</definedName>
    <definedName name="Agg_RH_4" localSheetId="0">#REF!</definedName>
    <definedName name="Agg_RH_4">'Health Prem &amp; Reserve Risk'!$U$335:$U$434</definedName>
    <definedName name="Agg_sP_1" localSheetId="0">#REF!</definedName>
    <definedName name="Agg_sP_1">'Premium and Reserve Risk'!$Z$28:$Z$127</definedName>
    <definedName name="Agg_sP_19" localSheetId="0">#REF!</definedName>
    <definedName name="Agg_sP_19">'Premium and Reserve Risk'!$Z$973:$Z$1072</definedName>
    <definedName name="Agg_sP_2" localSheetId="0">#REF!</definedName>
    <definedName name="Agg_sP_2">'Premium and Reserve Risk'!$Z$133:$Z$232</definedName>
    <definedName name="Agg_sP_20" localSheetId="0">#REF!</definedName>
    <definedName name="Agg_sP_20">'Premium and Reserve Risk'!$Z$1078:$Z$1177</definedName>
    <definedName name="Agg_sP_21" localSheetId="0">#REF!</definedName>
    <definedName name="Agg_sP_21">'Premium and Reserve Risk'!$Z$1183:$Z$1282</definedName>
    <definedName name="Agg_sP_3" localSheetId="0">#REF!</definedName>
    <definedName name="Agg_sP_3">'Premium and Reserve Risk'!$Z$238:$Z$337</definedName>
    <definedName name="Agg_sP_4" localSheetId="0">#REF!</definedName>
    <definedName name="Agg_sP_4">'Premium and Reserve Risk'!$Z$343:$Z$442</definedName>
    <definedName name="Agg_sP_5" localSheetId="0">#REF!</definedName>
    <definedName name="Agg_sP_5">'Premium and Reserve Risk'!$Z$448:$Z$547</definedName>
    <definedName name="Agg_sP_6" localSheetId="0">#REF!</definedName>
    <definedName name="Agg_sP_6">'Premium and Reserve Risk'!$Z$553:$Z$652</definedName>
    <definedName name="Agg_sP_7" localSheetId="0">#REF!</definedName>
    <definedName name="Agg_sP_7">'Premium and Reserve Risk'!$Z$658:$Z$757</definedName>
    <definedName name="Agg_sP_8" localSheetId="0">#REF!</definedName>
    <definedName name="Agg_sP_8">'Premium and Reserve Risk'!$Z$763:$Z$862</definedName>
    <definedName name="Agg_sP_9" localSheetId="0">#REF!</definedName>
    <definedName name="Agg_sP_9">'Premium and Reserve Risk'!$Z$868:$Z$967</definedName>
    <definedName name="Agg_SPH_1" localSheetId="0">#REF!</definedName>
    <definedName name="Agg_SPH_1">'Health Prem &amp; Reserve Risk'!$Z$20:$Z$119</definedName>
    <definedName name="Agg_SPH_2" localSheetId="0">#REF!</definedName>
    <definedName name="Agg_SPH_2">'Health Prem &amp; Reserve Risk'!$Z$125:$Z$224</definedName>
    <definedName name="Agg_SPH_3" localSheetId="0">#REF!</definedName>
    <definedName name="Agg_SPH_3">'Health Prem &amp; Reserve Risk'!$Z$230:$Z$329</definedName>
    <definedName name="Agg_SPH_4" localSheetId="0">#REF!</definedName>
    <definedName name="Agg_SPH_4">'Health Prem &amp; Reserve Risk'!$Z$335:$Z$434</definedName>
    <definedName name="Agg_sR_1" localSheetId="0">#REF!</definedName>
    <definedName name="Agg_sR_1">'Premium and Reserve Risk'!$AC$28:$AC$127</definedName>
    <definedName name="Agg_sR_19" localSheetId="0">#REF!</definedName>
    <definedName name="Agg_sR_19">'Premium and Reserve Risk'!$AC$973:$AC$1072</definedName>
    <definedName name="Agg_sR_2" localSheetId="0">#REF!</definedName>
    <definedName name="Agg_sR_2">'Premium and Reserve Risk'!$AC$133:$AC$232</definedName>
    <definedName name="Agg_sR_20" localSheetId="0">#REF!</definedName>
    <definedName name="Agg_sR_20">'Premium and Reserve Risk'!$AC$1078:$AC$1177</definedName>
    <definedName name="Agg_sR_21" localSheetId="0">#REF!</definedName>
    <definedName name="Agg_sR_21">'Premium and Reserve Risk'!$AC$1183:$AC$1282</definedName>
    <definedName name="Agg_sR_3" localSheetId="0">#REF!</definedName>
    <definedName name="Agg_sR_3">'Premium and Reserve Risk'!$AC$238:$AC$337</definedName>
    <definedName name="Agg_sR_4" localSheetId="0">#REF!</definedName>
    <definedName name="Agg_sR_4">'Premium and Reserve Risk'!$AC$343:$AC$442</definedName>
    <definedName name="Agg_sR_5" localSheetId="0">#REF!</definedName>
    <definedName name="Agg_sR_5">'Premium and Reserve Risk'!$AC$448:$AC$547</definedName>
    <definedName name="Agg_sR_6" localSheetId="0">#REF!</definedName>
    <definedName name="Agg_sR_6">'Premium and Reserve Risk'!$AC$553:$AC$652</definedName>
    <definedName name="Agg_sR_7" localSheetId="0">#REF!</definedName>
    <definedName name="Agg_sR_7">'Premium and Reserve Risk'!$AC$658:$AC$757</definedName>
    <definedName name="Agg_sR_8" localSheetId="0">#REF!</definedName>
    <definedName name="Agg_sR_8">'Premium and Reserve Risk'!$AC$763:$AC$862</definedName>
    <definedName name="Agg_sR_9" localSheetId="0">#REF!</definedName>
    <definedName name="Agg_sR_9">'Premium and Reserve Risk'!$AC$868:$AC$967</definedName>
    <definedName name="Agg_SRH_1" localSheetId="0">#REF!</definedName>
    <definedName name="Agg_SRH_1">'Health Prem &amp; Reserve Risk'!$AC$20:$AC$119</definedName>
    <definedName name="Agg_SRH_2" localSheetId="0">#REF!</definedName>
    <definedName name="Agg_SRH_2">'Health Prem &amp; Reserve Risk'!$AC$125:$AC$224</definedName>
    <definedName name="Agg_SRH_3" localSheetId="0">#REF!</definedName>
    <definedName name="Agg_SRH_3">'Health Prem &amp; Reserve Risk'!$AC$230:$AC$329</definedName>
    <definedName name="Agg_SRH_4" localSheetId="0">#REF!</definedName>
    <definedName name="Agg_SRH_4">'Health Prem &amp; Reserve Risk'!$AC$335:$AC$434</definedName>
    <definedName name="AOF_Tier_1">'Own Funds'!$D$149</definedName>
    <definedName name="AOF_Tier_2" localSheetId="0">#REF!</definedName>
    <definedName name="AOF_Tier_2">'Own Funds'!$F$149</definedName>
    <definedName name="AOF_Tier_3" localSheetId="0">#REF!</definedName>
    <definedName name="AOF_Tier_3">'Own Funds'!$H$149</definedName>
    <definedName name="AOF_Total" localSheetId="0">#REF!</definedName>
    <definedName name="AOF_Total">'Own Funds'!$J$149</definedName>
    <definedName name="BOF_Adj_Tier_1" localSheetId="0">#REF!</definedName>
    <definedName name="BOF_Adj_Tier_1">'Own Funds'!$D$106</definedName>
    <definedName name="BOF_Adj_Tier_2" localSheetId="0">#REF!</definedName>
    <definedName name="BOF_Adj_Tier_2">'Own Funds'!$F$106</definedName>
    <definedName name="BOF_Adj_Tier_3" localSheetId="0">#REF!</definedName>
    <definedName name="BOF_Adj_Tier_3">'Own Funds'!$H$106</definedName>
    <definedName name="BOF_Adj_Total" localSheetId="0">#REF!</definedName>
    <definedName name="BOF_Adj_Total">'Own Funds'!$J$106</definedName>
    <definedName name="BOF_Tier_1" localSheetId="0">#REF!</definedName>
    <definedName name="BOF_Tier_1">'Own Funds'!$D$78</definedName>
    <definedName name="BOF_Tier_1_10">'Own Funds'!$D$78</definedName>
    <definedName name="BOF_Tier_2" localSheetId="0">#REF!</definedName>
    <definedName name="BOF_Tier_2">'Own Funds'!$F$78</definedName>
    <definedName name="BOF_Tier_2_10">'Own Funds'!$F$78</definedName>
    <definedName name="BOF_Tier_3" localSheetId="0">#REF!</definedName>
    <definedName name="BOF_Tier_3">'Own Funds'!$H$78</definedName>
    <definedName name="BOF_Tier_3_10">'Own Funds'!$H$78</definedName>
    <definedName name="BOF_Total" localSheetId="0">#REF!</definedName>
    <definedName name="BOF_Total">'Own Funds'!$J$78</definedName>
    <definedName name="BOF_Total_10">'Own Funds'!$J$78</definedName>
    <definedName name="BSCR_10" localSheetId="26">'SCR Summary'!$D$19</definedName>
    <definedName name="Cap_Res_10" localSheetId="26">'SCR Summary'!$D$39</definedName>
    <definedName name="Catastrophe">'Underwriting Risk'!$B$40:$F$48</definedName>
    <definedName name="Concentration">'Market Risk'!$B$61:$F$64</definedName>
    <definedName name="Corr">Data!$C$81:$E$84</definedName>
    <definedName name="Corr_10" localSheetId="0">#REF!</definedName>
    <definedName name="Corr_10">Data!$K$81:$N$84</definedName>
    <definedName name="CorrCAT">Data!$C$204:$F$207</definedName>
    <definedName name="CorrCAT_10" localSheetId="0">#REF!</definedName>
    <definedName name="CorrCAT_10">Data!$C$211:$F$214</definedName>
    <definedName name="CorrLiab">Data!$C$218:$G$222</definedName>
    <definedName name="CorrLiab_10">Data!$C$226:$G$230</definedName>
    <definedName name="CorrOther">Data!$C$234:$G$238</definedName>
    <definedName name="CorrOther_10">Data!$C$242:$G$246</definedName>
    <definedName name="CorrPR">Data!$C$174:$N$185</definedName>
    <definedName name="CorrPR_10" localSheetId="0">#REF!</definedName>
    <definedName name="CorrPR_10">Data!$C$189:$N$200</definedName>
    <definedName name="CorrPR_Health">Data!$C$250:$F$253</definedName>
    <definedName name="CorrPR_Health_10" localSheetId="0">#REF!</definedName>
    <definedName name="CorrPR_Health_10">Data!$C$257:$F$260</definedName>
    <definedName name="Currency">'Market Risk'!$B$49:$F$52</definedName>
    <definedName name="CurrencyCorr">Data!$C$107:$Q$121</definedName>
    <definedName name="Default">'Counterparty Default Risk'!$B$17:$E$23</definedName>
    <definedName name="DefaultCorr">Data!$C$155:$D$156</definedName>
    <definedName name="DefaultCorr10" localSheetId="0">#REF!</definedName>
    <definedName name="DefaultCorr10">Data!$K$155:$L$156</definedName>
    <definedName name="DIV_Health_Conc" localSheetId="0">#REF!</definedName>
    <definedName name="DIV_Nat_Cat" localSheetId="0">#REF!</definedName>
    <definedName name="DIV_NP_Property" localSheetId="0">#REF!</definedName>
    <definedName name="DIV_Prem_Res">'Geographical Diversification'!$B$5:$AS$51</definedName>
    <definedName name="Div_Prem_Res_Health" localSheetId="21">'Health Geo Diversification'!$B$5:$AS$27</definedName>
    <definedName name="EOF_Tier_1" localSheetId="0">#REF!</definedName>
    <definedName name="EOF_Tier_1_10" localSheetId="0">#REF!</definedName>
    <definedName name="EOF_Tier_2" localSheetId="0">#REF!</definedName>
    <definedName name="EOF_Tier_2_10" localSheetId="0">#REF!</definedName>
    <definedName name="EOF_Tier_3" localSheetId="0">#REF!</definedName>
    <definedName name="EOF_Tier_3_10" localSheetId="0">#REF!</definedName>
    <definedName name="EOF_Total_10" localSheetId="0">#REF!</definedName>
    <definedName name="EqCorr">Data!$C$102:$D$103</definedName>
    <definedName name="EqCorr10" localSheetId="0">#REF!</definedName>
    <definedName name="EqCorr10">Data!$K$102:$L$103</definedName>
    <definedName name="Equity">'Market Risk'!$B$31:$O$39</definedName>
    <definedName name="Health_Catastrophe" localSheetId="25">'NSLT Health Risk'!$B$40:$F$47</definedName>
    <definedName name="Health_Lapse" localSheetId="25">'NSLT Health Risk'!$B$33:$F$37</definedName>
    <definedName name="Health_Premium" localSheetId="25">'NSLT Health Risk'!$B$23:$F$30</definedName>
    <definedName name="HealthCorr">Data!$K$160:$M$162</definedName>
    <definedName name="HealthCorr_10" localSheetId="0">#REF!</definedName>
    <definedName name="HealthCorr_10">Data!$K$166:$M$168</definedName>
    <definedName name="Insurer_Name" localSheetId="0">#REF!</definedName>
    <definedName name="Insurer_Shortname" localSheetId="0">#REF!</definedName>
    <definedName name="Interest">'Market Risk'!$B$22:$F$28</definedName>
    <definedName name="Lapse">'Underwriting Risk'!$B$33:$F$37</definedName>
    <definedName name="LAPSE_UP_10" localSheetId="0">#REF!</definedName>
    <definedName name="LAPSE_UP_10">'Lapse Risk'!$Q$101</definedName>
    <definedName name="LAPSE_UP_10_HEALTH" localSheetId="0">#REF!</definedName>
    <definedName name="LAPSE_UP_10_HEALTH">'Health Lapse Risk'!$Q$71</definedName>
    <definedName name="MarketCorr_10" localSheetId="0">#REF!</definedName>
    <definedName name="MarketCorr_10">Data!$K$88:$P$93</definedName>
    <definedName name="MCR" localSheetId="0">#REF!</definedName>
    <definedName name="MCR">'MCR Summary'!$F$21</definedName>
    <definedName name="MCR_linear" localSheetId="0">#REF!</definedName>
    <definedName name="Mkt_Conc_10">'Market Risk'!$E$63</definedName>
    <definedName name="Mkt_Equity_10">'Market Risk'!$N$38</definedName>
    <definedName name="Mkt_FX_10">'Market Risk'!$E$51</definedName>
    <definedName name="Mkt_Int_Down_10" localSheetId="0">#REF!</definedName>
    <definedName name="Mkt_Int_Down_10">'Market Risk Inputs'!$K$14</definedName>
    <definedName name="Mkt_Int_Up_10" localSheetId="0">#REF!</definedName>
    <definedName name="Mkt_Int_Up_10">'Market Risk Inputs'!$K$13</definedName>
    <definedName name="Mkt_Interest_10" localSheetId="0">#REF!</definedName>
    <definedName name="Mkt_Interest_10">'Market Risk'!$E$27</definedName>
    <definedName name="Mkt_Property_10">'Market Risk'!$N$45</definedName>
    <definedName name="Mkt_Spread_10">'Market Risk'!$E$57</definedName>
    <definedName name="NL_CAT_10" localSheetId="0">#REF!</definedName>
    <definedName name="NL_CAT_10">'Underwriting Risk'!$E$47</definedName>
    <definedName name="NL_CAT_10_HEALTH" localSheetId="25">'NSLT Health Risk'!$E$9</definedName>
    <definedName name="NL_Health_PR_10" localSheetId="25">'NSLT Health Risk'!$E$29</definedName>
    <definedName name="NL_healthCAT_10" localSheetId="25">'NSLT Health Risk'!$E$46</definedName>
    <definedName name="NL_Lapse_10" localSheetId="0">#REF!</definedName>
    <definedName name="NL_Lapse_10">'Underwriting Risk'!$E$36</definedName>
    <definedName name="NL_Lapse_10_Health" localSheetId="25">'NSLT Health Risk'!$E$36</definedName>
    <definedName name="NL_PR_10" localSheetId="0">#REF!</definedName>
    <definedName name="NL_PR_10">'Underwriting Risk'!$E$29</definedName>
    <definedName name="NLCorr">Data!$C$160:$E$162</definedName>
    <definedName name="NLCorr_10" localSheetId="0">#REF!</definedName>
    <definedName name="NLCorr_10">Data!$C$166:$E$168</definedName>
    <definedName name="OLE_LINK10" localSheetId="30">'Supporting Material'!$B$54</definedName>
    <definedName name="OLE_LINK18" localSheetId="30">'Supporting Material'!$B$55</definedName>
    <definedName name="OLE_LINK19" localSheetId="30">'Supporting Material'!$B$27</definedName>
    <definedName name="OLE_LINK21" localSheetId="30">'Supporting Material'!$B$43</definedName>
    <definedName name="OLE_LINK24" localSheetId="29">'Additional Information'!$B$82</definedName>
    <definedName name="OLE_LINK9" localSheetId="30">'Supporting Material'!$B$62</definedName>
    <definedName name="Premium">'Underwriting Risk'!$B$23:$F$30</definedName>
    <definedName name="_xlnm.Print_Area" localSheetId="2">Index!$A$44:$J$114</definedName>
    <definedName name="Property">'Market Risk'!$B$42:$O$46</definedName>
    <definedName name="QIS_YE_Date">'Participant Information'!$E$12</definedName>
    <definedName name="Reg_Capital_10" localSheetId="11">'RBS - Capital'!$F$36</definedName>
    <definedName name="Reg_NAV_10" localSheetId="8">'RBS - Other Liab'!$F$34</definedName>
    <definedName name="Reg_Other_Liabs_10" localSheetId="9">'RBS - Other Liab'!$F$23</definedName>
    <definedName name="Reg_Total_1_to_28_Liabs_10" localSheetId="8">'RBS - Reins TPs'!$F$155</definedName>
    <definedName name="Reg_Total_Assets" localSheetId="0">#REF!</definedName>
    <definedName name="Reg_Total_Assets">'RBS - Assets'!$F$73</definedName>
    <definedName name="Reg_Total_Direct_Liabs" localSheetId="7">'RBS - Direct TPs'!$F$119</definedName>
    <definedName name="Reg_Total_Liabs_10" localSheetId="9">'RBS - Other Liab'!$F$27</definedName>
    <definedName name="Reg_TP_1_10" localSheetId="7">'RBS - Direct TPs'!$F$16</definedName>
    <definedName name="Reg_TP_10_10" localSheetId="7">'RBS - Direct TPs'!$F$97</definedName>
    <definedName name="Reg_TP_11_10" localSheetId="7">'RBS - Direct TPs'!$F$106</definedName>
    <definedName name="Reg_TP_12_10" localSheetId="7">'RBS - Direct TPs'!$F$115</definedName>
    <definedName name="Reg_TP_13_10" localSheetId="8">'RBS - Reins TPs'!$F$16</definedName>
    <definedName name="Reg_TP_14_10" localSheetId="8">'RBS - Reins TPs'!$F$25</definedName>
    <definedName name="Reg_TP_15_10" localSheetId="8">'RBS - Reins TPs'!$F$34</definedName>
    <definedName name="Reg_TP_16_10" localSheetId="8">'RBS - Reins TPs'!$F$43</definedName>
    <definedName name="Reg_TP_17_10" localSheetId="8">'RBS - Reins TPs'!$F$52</definedName>
    <definedName name="Reg_TP_18_10" localSheetId="8">'RBS - Reins TPs'!$F$61</definedName>
    <definedName name="Reg_TP_19_10" localSheetId="8">'RBS - Reins TPs'!$F$70</definedName>
    <definedName name="Reg_TP_2_10" localSheetId="7">'RBS - Direct TPs'!$F$25</definedName>
    <definedName name="Reg_TP_20_10" localSheetId="8">'RBS - Reins TPs'!$F$79</definedName>
    <definedName name="Reg_TP_21_10" localSheetId="8">'RBS - Reins TPs'!$F$88</definedName>
    <definedName name="Reg_TP_22_10" localSheetId="8">'RBS - Reins TPs'!$F$97</definedName>
    <definedName name="Reg_TP_23_10" localSheetId="8">'RBS - Reins TPs'!$F$106</definedName>
    <definedName name="Reg_TP_24_10" localSheetId="8">'RBS - Reins TPs'!$F$115</definedName>
    <definedName name="Reg_TP_25_10" localSheetId="8">'RBS - Reins TPs'!$F$124</definedName>
    <definedName name="Reg_TP_26_10" localSheetId="8">'RBS - Reins TPs'!$F$133</definedName>
    <definedName name="Reg_TP_27_10" localSheetId="8">'RBS - Reins TPs'!$F$142</definedName>
    <definedName name="Reg_TP_28_10" localSheetId="8">'RBS - Reins TPs'!$F$151</definedName>
    <definedName name="Reg_TP_3_10" localSheetId="7">'RBS - Direct TPs'!$F$34</definedName>
    <definedName name="Reg_TP_4_10" localSheetId="7">'RBS - Direct TPs'!$F$43</definedName>
    <definedName name="Reg_TP_5_10" localSheetId="7">'RBS - Direct TPs'!$F$52</definedName>
    <definedName name="Reg_TP_6_10" localSheetId="7">'RBS - Direct TPs'!$F$61</definedName>
    <definedName name="Reg_TP_7_10" localSheetId="7">'RBS - Direct TPs'!$F$70</definedName>
    <definedName name="Reg_TP_8_10" localSheetId="7">'RBS - Direct TPs'!$F$79</definedName>
    <definedName name="Reg_TP_9_10" localSheetId="7">'RBS - Direct TPs'!$F$88</definedName>
    <definedName name="Reporting_unit" localSheetId="0">#REF!</definedName>
    <definedName name="Return_Type" localSheetId="0">#REF!</definedName>
    <definedName name="SCR_10" localSheetId="26">'SCR Summary'!$D$25</definedName>
    <definedName name="SCR_Def_1_10" localSheetId="0">#REF!</definedName>
    <definedName name="SCR_Def_1_10">'Counterparty Default Risk'!$D$19</definedName>
    <definedName name="SCR_Def_2_10" localSheetId="0">#REF!</definedName>
    <definedName name="SCR_Def_2_10">'Counterparty Default Risk'!$D$20</definedName>
    <definedName name="SCR_Default_10" localSheetId="0">#REF!</definedName>
    <definedName name="SCR_Default_10">'Counterparty Default Risk'!$F$11</definedName>
    <definedName name="SCR_Health_10" localSheetId="25">'NSLT Health Risk'!$E$15</definedName>
    <definedName name="SCR_Health_10_capped" localSheetId="25">'NSLT Health Risk'!$E$19</definedName>
    <definedName name="SCR_Market_10" localSheetId="0">#REF!</definedName>
    <definedName name="SCR_Market_10">'Market Risk'!$E$18</definedName>
    <definedName name="SCR_Non_Life_10" localSheetId="0">#REF!</definedName>
    <definedName name="SCR_Non_Life_10">'Underwriting Risk'!$E$15</definedName>
    <definedName name="SCR_Non_Life_10_capped" localSheetId="0">#REF!</definedName>
    <definedName name="SCR_Non_Life_10_capped">'Underwriting Risk'!$E$19</definedName>
    <definedName name="SCR_Op_10" localSheetId="26">'SCR Summary'!$D$21</definedName>
    <definedName name="Spread">'Market Risk'!$B$55:$F$58</definedName>
    <definedName name="Tier_1_Adj_10" localSheetId="26">'SCR Summary'!$D$35</definedName>
    <definedName name="Tier_1_Cap_10" localSheetId="26">'SCR Summary'!$D$31</definedName>
    <definedName name="Tier_2_Adj_10" localSheetId="26">'SCR Summary'!$D$36</definedName>
    <definedName name="Tier_2_Cap_10" localSheetId="26">'SCR Summary'!$D$32</definedName>
    <definedName name="Tier_3_Adj_10" localSheetId="26">'SCR Summary'!$D$37</definedName>
    <definedName name="Tier_3_Cap_10" localSheetId="26">'SCR Summary'!$D$33</definedName>
    <definedName name="warehouse_data" localSheetId="32">'12 Month Forecast'!$A$1:$AF$139</definedName>
    <definedName name="warehouse_data" localSheetId="29">'Additional Information'!$A$1:$P$123</definedName>
    <definedName name="warehouse_data" localSheetId="3">Background!$A$1:$Z$44</definedName>
    <definedName name="warehouse_data" localSheetId="0">'Change log'!$A$1:$C$40</definedName>
    <definedName name="warehouse_data" localSheetId="1">'CHANGE TAB'!$A$1:$I$30</definedName>
    <definedName name="warehouse_data" localSheetId="28">Change_Analysis!$A$1:$P$73</definedName>
    <definedName name="warehouse_data" localSheetId="35">'Class 12 Info'!$A$1:$P$50</definedName>
    <definedName name="warehouse_data" localSheetId="5">Control!$A$1:$L$87</definedName>
    <definedName name="warehouse_data" localSheetId="16">'Counterparty Default Risk'!$A$1:$L$25</definedName>
    <definedName name="warehouse_data" localSheetId="36">Data!$A$1:$R$355</definedName>
    <definedName name="warehouse_data" localSheetId="18">'Geographical Diversification'!$A$1:$AV$52</definedName>
    <definedName name="warehouse_data" localSheetId="21">'Health Geo Diversification'!$A$1:$AV$28</definedName>
    <definedName name="warehouse_data" localSheetId="22">'Health Lapse Risk'!$A$1:$U$73</definedName>
    <definedName name="warehouse_data" localSheetId="20">'Health Prem &amp; Reserve Risk'!$A$1:$AF$501</definedName>
    <definedName name="warehouse_data" localSheetId="2">Index!$A$1:$M$122</definedName>
    <definedName name="warehouse_data" localSheetId="19">'Lapse Risk'!$A$1:$U$110</definedName>
    <definedName name="warehouse_data" localSheetId="33">'Large Claims'!$A$1:$M$53</definedName>
    <definedName name="warehouse_data" localSheetId="23">'Market Risk'!$A$1:$T$65</definedName>
    <definedName name="warehouse_data" localSheetId="14">'Market Risk Inputs'!$A$1:$T$35</definedName>
    <definedName name="warehouse_data" localSheetId="27">'MCR Summary'!$A$1:$J$41</definedName>
    <definedName name="warehouse_data" localSheetId="25">'NSLT Health Risk'!$A$1:$R$82</definedName>
    <definedName name="warehouse_data" localSheetId="12">'Own Funds'!$A$1:$O$154</definedName>
    <definedName name="warehouse_data" localSheetId="4">'Participant Information'!$A$1:$H$65</definedName>
    <definedName name="warehouse_data" localSheetId="17">'Premium and Reserve Risk'!$A$1:$AH$1532</definedName>
    <definedName name="warehouse_data" localSheetId="6">'RBS - Assets'!$A$1:$N$111</definedName>
    <definedName name="warehouse_data" localSheetId="11">'RBS - Capital'!$A$1:$J$44</definedName>
    <definedName name="warehouse_data" localSheetId="7">'RBS - Direct TPs'!$A$1:$P$128</definedName>
    <definedName name="warehouse_data" localSheetId="9">'RBS - Other Liab'!$A$1:$M$45</definedName>
    <definedName name="warehouse_data" localSheetId="8">'RBS - Reins TPs'!$A$1:$Q$166</definedName>
    <definedName name="warehouse_data" localSheetId="10">'RBS - Risk Margin'!$A$1:$BN$104</definedName>
    <definedName name="warehouse_data" localSheetId="13">'Ring-Fenced Fund Adjustment'!$A$1:$AJ$53</definedName>
    <definedName name="warehouse_data" localSheetId="26">'SCR Summary'!$A$1:$H$54</definedName>
    <definedName name="warehouse_data" localSheetId="34">'Security Supporting Obligations'!$A$1:$AI$120</definedName>
    <definedName name="warehouse_data" localSheetId="15">'Spread Risk'!$A$1:$Q$38</definedName>
    <definedName name="warehouse_data" localSheetId="31">'Summary of Single Exposures'!$A$1:$S$96</definedName>
    <definedName name="warehouse_data" localSheetId="30">'Supporting Material'!$A$1:$J$116</definedName>
    <definedName name="warehouse_data" localSheetId="24">'Underwriting Risk'!$A$1:$S$108</definedName>
    <definedName name="warehouse_data" localSheetId="37">Validation!$A$1:$I$18</definedName>
    <definedName name="Z_5F9ED89D_ECFA_4459_A055_6360C65F3370_.wvu.Cols" localSheetId="16" hidden="1">'Counterparty Default Risk'!#REF!</definedName>
    <definedName name="Z_5F9ED89D_ECFA_4459_A055_6360C65F3370_.wvu.Cols" localSheetId="36" hidden="1">Data!#REF!</definedName>
    <definedName name="Z_5F9ED89D_ECFA_4459_A055_6360C65F3370_.wvu.Cols" localSheetId="18" hidden="1">'Geographical Diversification'!#REF!</definedName>
    <definedName name="Z_5F9ED89D_ECFA_4459_A055_6360C65F3370_.wvu.Cols" localSheetId="2" hidden="1">Index!$I:$XFD</definedName>
    <definedName name="Z_5F9ED89D_ECFA_4459_A055_6360C65F3370_.wvu.Cols" localSheetId="19" hidden="1">'Lapse Risk'!#REF!</definedName>
    <definedName name="Z_5F9ED89D_ECFA_4459_A055_6360C65F3370_.wvu.Cols" localSheetId="23" hidden="1">'Market Risk'!#REF!</definedName>
    <definedName name="Z_5F9ED89D_ECFA_4459_A055_6360C65F3370_.wvu.Cols" localSheetId="14" hidden="1">'Market Risk Inputs'!#REF!</definedName>
    <definedName name="Z_5F9ED89D_ECFA_4459_A055_6360C65F3370_.wvu.Cols" localSheetId="12" hidden="1">'Own Funds'!#REF!</definedName>
    <definedName name="Z_5F9ED89D_ECFA_4459_A055_6360C65F3370_.wvu.Cols" localSheetId="4" hidden="1">'Participant Information'!#REF!</definedName>
    <definedName name="Z_5F9ED89D_ECFA_4459_A055_6360C65F3370_.wvu.Cols" localSheetId="17" hidden="1">'Premium and Reserve Risk'!$AE:$XFD</definedName>
    <definedName name="Z_5F9ED89D_ECFA_4459_A055_6360C65F3370_.wvu.Cols" localSheetId="6" hidden="1">'RBS - Assets'!$M:$XFD</definedName>
    <definedName name="Z_5F9ED89D_ECFA_4459_A055_6360C65F3370_.wvu.Cols" localSheetId="11" hidden="1">'RBS - Capital'!#REF!</definedName>
    <definedName name="Z_5F9ED89D_ECFA_4459_A055_6360C65F3370_.wvu.Cols" localSheetId="7" hidden="1">'RBS - Direct TPs'!$O:$XFD</definedName>
    <definedName name="Z_5F9ED89D_ECFA_4459_A055_6360C65F3370_.wvu.Cols" localSheetId="9" hidden="1">'RBS - Other Liab'!$K:$XFD</definedName>
    <definedName name="Z_5F9ED89D_ECFA_4459_A055_6360C65F3370_.wvu.Cols" localSheetId="8" hidden="1">'RBS - Reins TPs'!$O:$XFD</definedName>
    <definedName name="Z_5F9ED89D_ECFA_4459_A055_6360C65F3370_.wvu.Cols" localSheetId="10" hidden="1">'RBS - Risk Margin'!#REF!</definedName>
    <definedName name="Z_5F9ED89D_ECFA_4459_A055_6360C65F3370_.wvu.Cols" localSheetId="26" hidden="1">'SCR Summary'!#REF!</definedName>
    <definedName name="Z_5F9ED89D_ECFA_4459_A055_6360C65F3370_.wvu.Cols" localSheetId="24" hidden="1">'Underwriting Risk'!$K:$XFD</definedName>
    <definedName name="Z_5F9ED89D_ECFA_4459_A055_6360C65F3370_.wvu.PrintArea" localSheetId="2" hidden="1">Index!$A$1:$H$113</definedName>
    <definedName name="Z_5F9ED89D_ECFA_4459_A055_6360C65F3370_.wvu.Rows" localSheetId="16" hidden="1">'Counterparty Default Risk'!#REF!,'Counterparty Default Risk'!#REF!</definedName>
    <definedName name="Z_5F9ED89D_ECFA_4459_A055_6360C65F3370_.wvu.Rows" localSheetId="36" hidden="1">Data!$353:$1048576,Data!$304:$336</definedName>
    <definedName name="Z_5F9ED89D_ECFA_4459_A055_6360C65F3370_.wvu.Rows" localSheetId="18" hidden="1">'Geographical Diversification'!#REF!,'Geographical Diversification'!#REF!</definedName>
    <definedName name="Z_5F9ED89D_ECFA_4459_A055_6360C65F3370_.wvu.Rows" localSheetId="2" hidden="1">Index!#REF!</definedName>
    <definedName name="Z_5F9ED89D_ECFA_4459_A055_6360C65F3370_.wvu.Rows" localSheetId="19" hidden="1">'Lapse Risk'!#REF!,'Lapse Risk'!$104:$110</definedName>
    <definedName name="Z_5F9ED89D_ECFA_4459_A055_6360C65F3370_.wvu.Rows" localSheetId="23" hidden="1">'Market Risk'!#REF!,'Market Risk'!#REF!</definedName>
    <definedName name="Z_5F9ED89D_ECFA_4459_A055_6360C65F3370_.wvu.Rows" localSheetId="14" hidden="1">'Market Risk Inputs'!#REF!,'Market Risk Inputs'!#REF!</definedName>
    <definedName name="Z_5F9ED89D_ECFA_4459_A055_6360C65F3370_.wvu.Rows" localSheetId="12" hidden="1">'Own Funds'!#REF!,'Own Funds'!$153:$154</definedName>
    <definedName name="Z_5F9ED89D_ECFA_4459_A055_6360C65F3370_.wvu.Rows" localSheetId="4" hidden="1">'Participant Information'!#REF!,'Participant Information'!$60:$65</definedName>
    <definedName name="Z_5F9ED89D_ECFA_4459_A055_6360C65F3370_.wvu.Rows" localSheetId="17" hidden="1">'Premium and Reserve Risk'!$1300:$1048576,'Premium and Reserve Risk'!$184:$1299</definedName>
    <definedName name="Z_5F9ED89D_ECFA_4459_A055_6360C65F3370_.wvu.Rows" localSheetId="6" hidden="1">'RBS - Assets'!$110:$1048576,'RBS - Assets'!$77:$109</definedName>
    <definedName name="Z_5F9ED89D_ECFA_4459_A055_6360C65F3370_.wvu.Rows" localSheetId="11" hidden="1">'RBS - Capital'!#REF!,'RBS - Capital'!#REF!</definedName>
    <definedName name="Z_5F9ED89D_ECFA_4459_A055_6360C65F3370_.wvu.Rows" localSheetId="7" hidden="1">'RBS - Direct TPs'!#REF!,'RBS - Direct TPs'!$123:$128</definedName>
    <definedName name="Z_5F9ED89D_ECFA_4459_A055_6360C65F3370_.wvu.Rows" localSheetId="9" hidden="1">'RBS - Other Liab'!#REF!,'RBS - Other Liab'!$38:$45</definedName>
    <definedName name="Z_5F9ED89D_ECFA_4459_A055_6360C65F3370_.wvu.Rows" localSheetId="8" hidden="1">'RBS - Reins TPs'!$160:$1048576,'RBS - Reins TPs'!$157:$159</definedName>
    <definedName name="Z_5F9ED89D_ECFA_4459_A055_6360C65F3370_.wvu.Rows" localSheetId="10" hidden="1">'RBS - Risk Margin'!$63:$1048576,'RBS - Risk Margin'!#REF!</definedName>
    <definedName name="Z_5F9ED89D_ECFA_4459_A055_6360C65F3370_.wvu.Rows" localSheetId="26" hidden="1">'SCR Summary'!#REF!,'SCR Summary'!$46:$54</definedName>
    <definedName name="Z_5F9ED89D_ECFA_4459_A055_6360C65F3370_.wvu.Rows" localSheetId="24" hidden="1">'Underwriting Risk'!$108:$1048576,'Underwriting Risk'!$52:$107</definedName>
  </definedNames>
  <calcPr calcId="191029"/>
  <customWorkbookViews>
    <customWorkbookView name="Karuma, Richard - Personal View" guid="{5F9ED89D-ECFA-4459-A055-6360C65F3370}" mergeInterval="0" personalView="1" maximized="1" xWindow="-8" yWindow="-8" windowWidth="1936" windowHeight="1056" tabRatio="880" activeSheetId="2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1" i="43" l="1"/>
  <c r="N52" i="43"/>
  <c r="N53" i="43"/>
  <c r="N54" i="43"/>
  <c r="N55" i="43"/>
  <c r="N56" i="43"/>
  <c r="N57" i="43"/>
  <c r="N58" i="43"/>
  <c r="N59" i="43"/>
  <c r="N60" i="43"/>
  <c r="N61" i="43"/>
  <c r="N62" i="43"/>
  <c r="N63" i="43"/>
  <c r="N64" i="43"/>
  <c r="N65" i="43"/>
  <c r="N50" i="43"/>
  <c r="D2" i="54"/>
  <c r="E11" i="51"/>
  <c r="N39" i="43" l="1"/>
  <c r="N19" i="43"/>
  <c r="O87" i="10"/>
  <c r="O40" i="10"/>
  <c r="J10" i="10"/>
  <c r="G10" i="51" l="1"/>
  <c r="G13" i="51" l="1"/>
  <c r="G12" i="51"/>
  <c r="G3" i="51" s="1"/>
  <c r="G26" i="4" l="1"/>
  <c r="N74" i="43"/>
  <c r="N73" i="43"/>
  <c r="N38" i="43"/>
  <c r="N37" i="43"/>
  <c r="N36" i="43"/>
  <c r="N35" i="43"/>
  <c r="N34" i="43"/>
  <c r="N33" i="43"/>
  <c r="N32" i="43"/>
  <c r="N31" i="43"/>
  <c r="N30" i="43"/>
  <c r="N29" i="43"/>
  <c r="N23" i="43"/>
  <c r="N18" i="43"/>
  <c r="N17" i="43"/>
  <c r="N16" i="43"/>
  <c r="N15" i="43"/>
  <c r="N14" i="43"/>
  <c r="N7" i="43" s="1"/>
  <c r="G48" i="4" s="1"/>
  <c r="G22" i="36" l="1"/>
  <c r="G2" i="36" s="1"/>
  <c r="G46" i="4" s="1"/>
  <c r="D32" i="9" l="1"/>
  <c r="I31" i="9"/>
  <c r="I30" i="9"/>
  <c r="M13" i="49" l="1"/>
  <c r="M9" i="49"/>
  <c r="G11" i="4"/>
  <c r="H17" i="52" l="1"/>
  <c r="H16" i="52"/>
  <c r="H15" i="52"/>
  <c r="H14" i="52"/>
  <c r="F2" i="52" s="1"/>
  <c r="H13" i="52"/>
  <c r="H12" i="52"/>
  <c r="H11" i="52"/>
  <c r="H10" i="52"/>
  <c r="H3" i="49" l="1"/>
  <c r="H3" i="42"/>
  <c r="AE6" i="42" s="1"/>
  <c r="H3" i="41"/>
  <c r="K7" i="41" s="1"/>
  <c r="E3" i="39"/>
  <c r="G3" i="38"/>
  <c r="E3" i="37"/>
  <c r="R28" i="38" l="1"/>
  <c r="R41" i="38"/>
  <c r="R20" i="38"/>
  <c r="R52" i="38"/>
  <c r="R44" i="38"/>
  <c r="R45" i="38"/>
  <c r="R37" i="38"/>
  <c r="R21" i="38"/>
  <c r="R13" i="38"/>
  <c r="R38" i="38"/>
  <c r="R46" i="38"/>
  <c r="R14" i="38"/>
  <c r="R22" i="38"/>
  <c r="R39" i="38"/>
  <c r="R47" i="38"/>
  <c r="R15" i="38"/>
  <c r="R23" i="38"/>
  <c r="R40" i="38"/>
  <c r="R48" i="38"/>
  <c r="R16" i="38"/>
  <c r="R24" i="38"/>
  <c r="R49" i="38"/>
  <c r="R17" i="38"/>
  <c r="R25" i="38"/>
  <c r="R42" i="38"/>
  <c r="R50" i="38"/>
  <c r="R18" i="38"/>
  <c r="R26" i="38"/>
  <c r="R43" i="38"/>
  <c r="R51" i="38"/>
  <c r="R19" i="38"/>
  <c r="R27" i="38"/>
  <c r="E2" i="52"/>
  <c r="AD29" i="39" l="1"/>
  <c r="AD28" i="39"/>
  <c r="AD27" i="39"/>
  <c r="W29" i="39"/>
  <c r="Y29" i="39" s="1"/>
  <c r="W28" i="39"/>
  <c r="Y28" i="39" s="1"/>
  <c r="W27" i="39"/>
  <c r="Y27" i="39" s="1"/>
  <c r="Q29" i="39"/>
  <c r="Q28" i="39"/>
  <c r="Q27" i="39"/>
  <c r="K29" i="39"/>
  <c r="K28" i="39"/>
  <c r="K27" i="39"/>
  <c r="I52" i="38" l="1"/>
  <c r="I51" i="38"/>
  <c r="I50" i="38"/>
  <c r="I49" i="38"/>
  <c r="I48" i="38"/>
  <c r="I47" i="38"/>
  <c r="I28" i="38"/>
  <c r="I27" i="38"/>
  <c r="I26" i="38"/>
  <c r="I25" i="38"/>
  <c r="I4" i="32" l="1"/>
  <c r="I6" i="32" s="1"/>
  <c r="O147" i="7" l="1"/>
  <c r="O146" i="7"/>
  <c r="O138" i="7"/>
  <c r="O137" i="7"/>
  <c r="O129" i="7"/>
  <c r="O128" i="7"/>
  <c r="O120" i="7"/>
  <c r="O119" i="7"/>
  <c r="O111" i="7"/>
  <c r="O110" i="7"/>
  <c r="O102" i="7"/>
  <c r="O101" i="7"/>
  <c r="O93" i="7"/>
  <c r="O92" i="7"/>
  <c r="O84" i="7"/>
  <c r="O83" i="7"/>
  <c r="O75" i="7"/>
  <c r="O74" i="7"/>
  <c r="O66" i="7"/>
  <c r="O65" i="7"/>
  <c r="O57" i="7"/>
  <c r="O56" i="7"/>
  <c r="O48" i="7"/>
  <c r="O47" i="7"/>
  <c r="O39" i="7"/>
  <c r="O38" i="7"/>
  <c r="O30" i="7"/>
  <c r="O29" i="7"/>
  <c r="O21" i="7"/>
  <c r="O20" i="7"/>
  <c r="O12" i="7"/>
  <c r="O11" i="7"/>
  <c r="O4" i="7" s="1"/>
  <c r="F1283" i="14" l="1"/>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183" i="14"/>
  <c r="F1182" i="14"/>
  <c r="F1181" i="14"/>
  <c r="F1178" i="14"/>
  <c r="F1177" i="14"/>
  <c r="F1176" i="14"/>
  <c r="F1175" i="14"/>
  <c r="F1174" i="14"/>
  <c r="F1173" i="14"/>
  <c r="F1172" i="14"/>
  <c r="F1171" i="14"/>
  <c r="F1170" i="14"/>
  <c r="F1169" i="14"/>
  <c r="F1168" i="14"/>
  <c r="F1167" i="14"/>
  <c r="F1166" i="14"/>
  <c r="F1165" i="14"/>
  <c r="F1164" i="14"/>
  <c r="F1163" i="14"/>
  <c r="F1162" i="14"/>
  <c r="F1161" i="14"/>
  <c r="F1160" i="14"/>
  <c r="F1159" i="14"/>
  <c r="F1158" i="14"/>
  <c r="F1157" i="14"/>
  <c r="F1156" i="14"/>
  <c r="F1155" i="14"/>
  <c r="F1154" i="14"/>
  <c r="F1153" i="14"/>
  <c r="F1152" i="14"/>
  <c r="F1151" i="14"/>
  <c r="F1150" i="14"/>
  <c r="F1149" i="14"/>
  <c r="F1148" i="14"/>
  <c r="F1147" i="14"/>
  <c r="F1146" i="14"/>
  <c r="F1145" i="14"/>
  <c r="F1144" i="14"/>
  <c r="F1143" i="14"/>
  <c r="F1142" i="14"/>
  <c r="F1141" i="14"/>
  <c r="F1140" i="14"/>
  <c r="F1139" i="14"/>
  <c r="F1138" i="14"/>
  <c r="F1137" i="14"/>
  <c r="F1136" i="14"/>
  <c r="F1135" i="14"/>
  <c r="F1134" i="14"/>
  <c r="F1133" i="14"/>
  <c r="F1132" i="14"/>
  <c r="F1131" i="14"/>
  <c r="F1130" i="14"/>
  <c r="F1129" i="14"/>
  <c r="F1128" i="14"/>
  <c r="F1127" i="14"/>
  <c r="F1126" i="14"/>
  <c r="F1125" i="14"/>
  <c r="F1124" i="14"/>
  <c r="F1123" i="14"/>
  <c r="F1122" i="14"/>
  <c r="F1121" i="14"/>
  <c r="F1120" i="14"/>
  <c r="F1119" i="14"/>
  <c r="F1118" i="14"/>
  <c r="F1117" i="14"/>
  <c r="F1116" i="14"/>
  <c r="F1115" i="14"/>
  <c r="F1114" i="14"/>
  <c r="F1113" i="14"/>
  <c r="F1112" i="14"/>
  <c r="F1111" i="14"/>
  <c r="F1110" i="14"/>
  <c r="F1109" i="14"/>
  <c r="F1108" i="14"/>
  <c r="F1107" i="14"/>
  <c r="F1106" i="14"/>
  <c r="F1105" i="14"/>
  <c r="F1104" i="14"/>
  <c r="F1103" i="14"/>
  <c r="F1102" i="14"/>
  <c r="F1101" i="14"/>
  <c r="F1100" i="14"/>
  <c r="F1099" i="14"/>
  <c r="F1098" i="14"/>
  <c r="F1097" i="14"/>
  <c r="F1096" i="14"/>
  <c r="F1095" i="14"/>
  <c r="F1094" i="14"/>
  <c r="F1093" i="14"/>
  <c r="F1092" i="14"/>
  <c r="F1091" i="14"/>
  <c r="F1090" i="14"/>
  <c r="F1089" i="14"/>
  <c r="F1088" i="14"/>
  <c r="F1087" i="14"/>
  <c r="F1086" i="14"/>
  <c r="F1085" i="14"/>
  <c r="F1084" i="14"/>
  <c r="F1083" i="14"/>
  <c r="F1082" i="14"/>
  <c r="F1081" i="14"/>
  <c r="F1080" i="14"/>
  <c r="F1079" i="14"/>
  <c r="F1078" i="14"/>
  <c r="F1077" i="14"/>
  <c r="F1076" i="14"/>
  <c r="F1072" i="14"/>
  <c r="F1071" i="14"/>
  <c r="F1070" i="14"/>
  <c r="F1069" i="14"/>
  <c r="F1068" i="14"/>
  <c r="F1067" i="14"/>
  <c r="F1066" i="14"/>
  <c r="F1065" i="14"/>
  <c r="F1064" i="14"/>
  <c r="F1063" i="14"/>
  <c r="F1062" i="14"/>
  <c r="F1061" i="14"/>
  <c r="F1060" i="14"/>
  <c r="F1059" i="14"/>
  <c r="F1058" i="14"/>
  <c r="F1057" i="14"/>
  <c r="F1056" i="14"/>
  <c r="F1055" i="14"/>
  <c r="F1054" i="14"/>
  <c r="F1053" i="14"/>
  <c r="F1052" i="14"/>
  <c r="F1051" i="14"/>
  <c r="F1050" i="14"/>
  <c r="F1049" i="14"/>
  <c r="F1048" i="14"/>
  <c r="F1047" i="14"/>
  <c r="F1046" i="14"/>
  <c r="F1045" i="14"/>
  <c r="F1044" i="14"/>
  <c r="F1043" i="14"/>
  <c r="F1042" i="14"/>
  <c r="F1041" i="14"/>
  <c r="F1040" i="14"/>
  <c r="F1039" i="14"/>
  <c r="F1038" i="14"/>
  <c r="F1037" i="14"/>
  <c r="F1036" i="14"/>
  <c r="F1035" i="14"/>
  <c r="F1034" i="14"/>
  <c r="F1033" i="14"/>
  <c r="F1032" i="14"/>
  <c r="F1031" i="14"/>
  <c r="F1030" i="14"/>
  <c r="F1029" i="14"/>
  <c r="F1028" i="14"/>
  <c r="F1027" i="14"/>
  <c r="F1026" i="14"/>
  <c r="F1025" i="14"/>
  <c r="F1024" i="14"/>
  <c r="F1023" i="14"/>
  <c r="F1022" i="14"/>
  <c r="F1021" i="14"/>
  <c r="F1020" i="14"/>
  <c r="F1019" i="14"/>
  <c r="F1018" i="14"/>
  <c r="F1017" i="14"/>
  <c r="F1016" i="14"/>
  <c r="F1015" i="14"/>
  <c r="F1014" i="14"/>
  <c r="F1013" i="14"/>
  <c r="F1012" i="14"/>
  <c r="F1011" i="14"/>
  <c r="F1010" i="14"/>
  <c r="F1009" i="14"/>
  <c r="F1008" i="14"/>
  <c r="F1007" i="14"/>
  <c r="F1006" i="14"/>
  <c r="F1005" i="14"/>
  <c r="F1004" i="14"/>
  <c r="F1003" i="14"/>
  <c r="F1002" i="14"/>
  <c r="F1001" i="14"/>
  <c r="F1000" i="14"/>
  <c r="F999" i="14"/>
  <c r="F998" i="14"/>
  <c r="F997" i="14"/>
  <c r="F996" i="14"/>
  <c r="F995" i="14"/>
  <c r="F994" i="14"/>
  <c r="F993" i="14"/>
  <c r="F992" i="14"/>
  <c r="F991" i="14"/>
  <c r="F990" i="14"/>
  <c r="F989" i="14"/>
  <c r="F988" i="14"/>
  <c r="F987" i="14"/>
  <c r="F986" i="14"/>
  <c r="F985" i="14"/>
  <c r="F984" i="14"/>
  <c r="F983" i="14"/>
  <c r="F982" i="14"/>
  <c r="F981" i="14"/>
  <c r="F980" i="14"/>
  <c r="F979" i="14"/>
  <c r="F978" i="14"/>
  <c r="F977" i="14"/>
  <c r="F976" i="14"/>
  <c r="F975" i="14"/>
  <c r="F974" i="14"/>
  <c r="F973" i="14"/>
  <c r="F971"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868"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762" i="14"/>
  <c r="F763" i="14"/>
  <c r="F761"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658"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553"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448"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343"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238"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133" i="14"/>
  <c r="M60" i="5"/>
  <c r="M67" i="5"/>
  <c r="M66" i="5"/>
  <c r="M65" i="5"/>
  <c r="M64" i="5"/>
  <c r="M63" i="5"/>
  <c r="M62" i="5"/>
  <c r="M61" i="5"/>
  <c r="M58" i="5"/>
  <c r="M49" i="5"/>
  <c r="M41" i="5"/>
  <c r="M40" i="5"/>
  <c r="M26" i="5"/>
  <c r="M24" i="5"/>
  <c r="M22" i="5"/>
  <c r="M21" i="5"/>
  <c r="M20" i="5"/>
  <c r="M18" i="5"/>
  <c r="M12" i="5"/>
  <c r="M11" i="5"/>
  <c r="M10" i="5"/>
  <c r="AI15" i="46"/>
  <c r="AI14" i="46"/>
  <c r="AI13" i="46"/>
  <c r="AI12" i="46"/>
  <c r="AI11" i="46"/>
  <c r="AI7" i="46" s="1"/>
  <c r="T22" i="11"/>
  <c r="M26" i="12"/>
  <c r="M17" i="12"/>
  <c r="M16" i="12"/>
  <c r="M15" i="12"/>
  <c r="M14" i="12"/>
  <c r="M13" i="12"/>
  <c r="M12" i="12"/>
  <c r="M11" i="12"/>
  <c r="T10" i="16"/>
  <c r="T3" i="16"/>
  <c r="T10" i="28"/>
  <c r="T4" i="28" s="1"/>
  <c r="I10" i="32"/>
  <c r="I8" i="32"/>
  <c r="K14" i="41"/>
  <c r="AE13" i="42"/>
  <c r="I3" i="32" l="1"/>
  <c r="G47" i="4" s="1"/>
  <c r="M3" i="5"/>
  <c r="G52" i="4"/>
  <c r="M11" i="49"/>
  <c r="M5" i="49" s="1"/>
  <c r="M15" i="49"/>
  <c r="G53" i="4"/>
  <c r="AD34" i="39"/>
  <c r="AD15" i="39"/>
  <c r="AD16" i="39"/>
  <c r="AD17" i="39"/>
  <c r="AD18" i="39"/>
  <c r="AD19" i="39"/>
  <c r="AD20" i="39"/>
  <c r="AD21" i="39"/>
  <c r="AD22" i="39"/>
  <c r="AD23" i="39"/>
  <c r="AD24" i="39"/>
  <c r="AD25" i="39"/>
  <c r="AD26" i="39"/>
  <c r="AD14" i="39"/>
  <c r="N63" i="47"/>
  <c r="N62" i="47"/>
  <c r="N50" i="47"/>
  <c r="N49" i="47"/>
  <c r="N48" i="47"/>
  <c r="N47" i="47"/>
  <c r="N46" i="47"/>
  <c r="N45" i="47"/>
  <c r="N37" i="47"/>
  <c r="N36" i="47"/>
  <c r="N35" i="47"/>
  <c r="N34" i="47"/>
  <c r="N33" i="47"/>
  <c r="N32" i="47"/>
  <c r="N31" i="47"/>
  <c r="N30" i="47"/>
  <c r="N29" i="47"/>
  <c r="N28" i="47"/>
  <c r="N27" i="47"/>
  <c r="N17" i="47"/>
  <c r="N16" i="47"/>
  <c r="N15" i="47"/>
  <c r="N8" i="47"/>
  <c r="N9" i="47"/>
  <c r="N10" i="47"/>
  <c r="N11" i="47"/>
  <c r="N7" i="47"/>
  <c r="H17" i="35"/>
  <c r="H4" i="35" s="1"/>
  <c r="G45" i="4" s="1"/>
  <c r="I17" i="22"/>
  <c r="I4" i="22" s="1"/>
  <c r="G44" i="4" s="1"/>
  <c r="G43" i="4"/>
  <c r="AU18" i="30"/>
  <c r="AU17" i="30"/>
  <c r="AU16" i="30"/>
  <c r="AU11" i="30"/>
  <c r="AU10" i="30"/>
  <c r="AU9" i="30"/>
  <c r="AC9" i="27"/>
  <c r="AC10" i="27"/>
  <c r="AC11" i="27"/>
  <c r="AC8" i="27"/>
  <c r="G40" i="4"/>
  <c r="AU35" i="15"/>
  <c r="AU34" i="15"/>
  <c r="AU33" i="15"/>
  <c r="AU32" i="15"/>
  <c r="AU31" i="15"/>
  <c r="AU30" i="15"/>
  <c r="AU29" i="15"/>
  <c r="AU28" i="15"/>
  <c r="AU27" i="15"/>
  <c r="AU26" i="15"/>
  <c r="AU25" i="15"/>
  <c r="AU24" i="15"/>
  <c r="AU20" i="15"/>
  <c r="AU19" i="15"/>
  <c r="AU18" i="15"/>
  <c r="AU17" i="15"/>
  <c r="AU16" i="15"/>
  <c r="AU15" i="15"/>
  <c r="AU14" i="15"/>
  <c r="AU13" i="15"/>
  <c r="AU12" i="15"/>
  <c r="AU11" i="15"/>
  <c r="AU10" i="15"/>
  <c r="AU9" i="15"/>
  <c r="AC19" i="14"/>
  <c r="AC9" i="14"/>
  <c r="AC10" i="14"/>
  <c r="AC11" i="14"/>
  <c r="AC12" i="14"/>
  <c r="AC13" i="14"/>
  <c r="AC14" i="14"/>
  <c r="AC15" i="14"/>
  <c r="AC16" i="14"/>
  <c r="AC17" i="14"/>
  <c r="AC18" i="14"/>
  <c r="AC8" i="14"/>
  <c r="AD7" i="39" l="1"/>
  <c r="G51" i="4" s="1"/>
  <c r="G54" i="4"/>
  <c r="AU4" i="30"/>
  <c r="G42" i="4" s="1"/>
  <c r="AC4" i="14"/>
  <c r="G38" i="4" s="1"/>
  <c r="AC4" i="27"/>
  <c r="G41" i="4" s="1"/>
  <c r="AU4" i="15"/>
  <c r="N3" i="47"/>
  <c r="I20" i="13"/>
  <c r="I19" i="13"/>
  <c r="T13" i="11"/>
  <c r="T14" i="11"/>
  <c r="T32" i="11"/>
  <c r="T8" i="11"/>
  <c r="T4" i="11" l="1"/>
  <c r="G35" i="4" s="1"/>
  <c r="I4" i="13"/>
  <c r="G37" i="4" s="1"/>
  <c r="G49" i="4"/>
  <c r="G39" i="4"/>
  <c r="M6" i="12"/>
  <c r="G36" i="4" s="1"/>
  <c r="AI33" i="46"/>
  <c r="AI35" i="46"/>
  <c r="AI34" i="46"/>
  <c r="O145" i="10"/>
  <c r="O139" i="10"/>
  <c r="O138" i="10"/>
  <c r="O134" i="10"/>
  <c r="O100" i="10"/>
  <c r="O86" i="10"/>
  <c r="O74" i="10"/>
  <c r="O70" i="10"/>
  <c r="O64" i="10"/>
  <c r="O63" i="10"/>
  <c r="O62" i="10"/>
  <c r="O56" i="10"/>
  <c r="O55" i="10"/>
  <c r="O54" i="10"/>
  <c r="O50" i="10"/>
  <c r="O46" i="10"/>
  <c r="O32" i="10"/>
  <c r="O28" i="10"/>
  <c r="O24" i="10"/>
  <c r="O18" i="10"/>
  <c r="O17" i="10"/>
  <c r="O16" i="10"/>
  <c r="O10" i="10"/>
  <c r="O9" i="10"/>
  <c r="G34" i="4" l="1"/>
  <c r="I20" i="9"/>
  <c r="I12" i="9"/>
  <c r="I13" i="9"/>
  <c r="I14" i="9"/>
  <c r="I15" i="9"/>
  <c r="I16" i="9"/>
  <c r="I17" i="9"/>
  <c r="I18" i="9"/>
  <c r="I19" i="9"/>
  <c r="I11" i="9"/>
  <c r="K21" i="8"/>
  <c r="K12" i="8"/>
  <c r="K13" i="8"/>
  <c r="K14" i="8"/>
  <c r="K15" i="8"/>
  <c r="K16" i="8"/>
  <c r="K17" i="8"/>
  <c r="K18" i="8"/>
  <c r="K19" i="8"/>
  <c r="K20" i="8"/>
  <c r="K11" i="8"/>
  <c r="O111" i="6"/>
  <c r="O102" i="6"/>
  <c r="O93" i="6"/>
  <c r="O84" i="6"/>
  <c r="O75" i="6"/>
  <c r="O66" i="6"/>
  <c r="O57" i="6"/>
  <c r="O48" i="6"/>
  <c r="O39" i="6"/>
  <c r="O30" i="6"/>
  <c r="O21" i="6"/>
  <c r="O12" i="6"/>
  <c r="G29" i="4"/>
  <c r="O110" i="6"/>
  <c r="O101" i="6"/>
  <c r="O92" i="6"/>
  <c r="O83" i="6"/>
  <c r="O74" i="6"/>
  <c r="O65" i="6"/>
  <c r="O56" i="6"/>
  <c r="O47" i="6"/>
  <c r="O38" i="6"/>
  <c r="O29" i="6"/>
  <c r="O20" i="6"/>
  <c r="O11" i="6"/>
  <c r="G20" i="4"/>
  <c r="G18" i="4"/>
  <c r="G19" i="4"/>
  <c r="G17" i="4"/>
  <c r="G12" i="4"/>
  <c r="O4" i="6" l="1"/>
  <c r="G28" i="4" s="1"/>
  <c r="K5" i="8"/>
  <c r="G30" i="4" s="1"/>
  <c r="G27" i="4"/>
  <c r="F968" i="14"/>
  <c r="F863" i="14"/>
  <c r="F758" i="14"/>
  <c r="F653" i="14"/>
  <c r="F548" i="14"/>
  <c r="F443" i="14"/>
  <c r="F338" i="14"/>
  <c r="F233" i="14"/>
  <c r="F128" i="14"/>
  <c r="F867" i="14"/>
  <c r="F866" i="14"/>
  <c r="F657" i="14"/>
  <c r="F656" i="14"/>
  <c r="F552" i="14"/>
  <c r="F551" i="14"/>
  <c r="F447" i="14"/>
  <c r="F446" i="14"/>
  <c r="F342" i="14"/>
  <c r="F341" i="14"/>
  <c r="F237" i="14"/>
  <c r="F236" i="14"/>
  <c r="F132" i="14"/>
  <c r="F131"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28" i="14"/>
  <c r="U23" i="14" l="1"/>
  <c r="AD34" i="46" l="1"/>
  <c r="AD35" i="46"/>
  <c r="AD33" i="46"/>
  <c r="AD15" i="46"/>
  <c r="AF15" i="46"/>
  <c r="AD14" i="46"/>
  <c r="AF14" i="46"/>
  <c r="AD13" i="46"/>
  <c r="AF13" i="46"/>
  <c r="AD12" i="46"/>
  <c r="AF12" i="46"/>
  <c r="AD11" i="46"/>
  <c r="AF11" i="46"/>
  <c r="D13" i="36"/>
  <c r="AF17" i="46" l="1"/>
  <c r="AD17" i="46"/>
  <c r="B4" i="49"/>
  <c r="H41" i="43"/>
  <c r="H21" i="43"/>
  <c r="H25" i="43" s="1"/>
  <c r="G12" i="47" l="1"/>
  <c r="F15" i="32" l="1"/>
  <c r="Q15" i="39" l="1"/>
  <c r="A4" i="39"/>
  <c r="H14" i="11" l="1"/>
  <c r="H13" i="11"/>
  <c r="H8" i="11"/>
  <c r="D41" i="10" l="1"/>
  <c r="Q336" i="27" l="1"/>
  <c r="Q337" i="27"/>
  <c r="T337" i="27" s="1"/>
  <c r="Q338" i="27"/>
  <c r="T338" i="27" s="1"/>
  <c r="Q339" i="27"/>
  <c r="T339" i="27" s="1"/>
  <c r="Q340" i="27"/>
  <c r="T340" i="27" s="1"/>
  <c r="Q341" i="27"/>
  <c r="T341" i="27" s="1"/>
  <c r="Q342" i="27"/>
  <c r="T342" i="27" s="1"/>
  <c r="Q343" i="27"/>
  <c r="T343" i="27" s="1"/>
  <c r="Q344" i="27"/>
  <c r="T344" i="27" s="1"/>
  <c r="Q345" i="27"/>
  <c r="T345" i="27" s="1"/>
  <c r="Q346" i="27"/>
  <c r="T346" i="27" s="1"/>
  <c r="Q347" i="27"/>
  <c r="T347" i="27" s="1"/>
  <c r="Q348" i="27"/>
  <c r="T348" i="27" s="1"/>
  <c r="Q349" i="27"/>
  <c r="T349" i="27" s="1"/>
  <c r="Q350" i="27"/>
  <c r="T350" i="27" s="1"/>
  <c r="Q351" i="27"/>
  <c r="T351" i="27" s="1"/>
  <c r="Q352" i="27"/>
  <c r="T352" i="27" s="1"/>
  <c r="Q353" i="27"/>
  <c r="T353" i="27" s="1"/>
  <c r="Q354" i="27"/>
  <c r="T354" i="27" s="1"/>
  <c r="Q355" i="27"/>
  <c r="T355" i="27" s="1"/>
  <c r="Q356" i="27"/>
  <c r="T356" i="27" s="1"/>
  <c r="Q357" i="27"/>
  <c r="T357" i="27" s="1"/>
  <c r="Q358" i="27"/>
  <c r="T358" i="27" s="1"/>
  <c r="Q359" i="27"/>
  <c r="T359" i="27" s="1"/>
  <c r="Q360" i="27"/>
  <c r="T360" i="27" s="1"/>
  <c r="Q361" i="27"/>
  <c r="T361" i="27" s="1"/>
  <c r="Q362" i="27"/>
  <c r="T362" i="27" s="1"/>
  <c r="Q363" i="27"/>
  <c r="T363" i="27" s="1"/>
  <c r="Q364" i="27"/>
  <c r="T364" i="27" s="1"/>
  <c r="Q365" i="27"/>
  <c r="T365" i="27" s="1"/>
  <c r="Q366" i="27"/>
  <c r="T366" i="27" s="1"/>
  <c r="Q367" i="27"/>
  <c r="T367" i="27" s="1"/>
  <c r="Q368" i="27"/>
  <c r="T368" i="27" s="1"/>
  <c r="Q369" i="27"/>
  <c r="T369" i="27" s="1"/>
  <c r="Q370" i="27"/>
  <c r="T370" i="27" s="1"/>
  <c r="Q371" i="27"/>
  <c r="T371" i="27" s="1"/>
  <c r="Q372" i="27"/>
  <c r="T372" i="27" s="1"/>
  <c r="Q373" i="27"/>
  <c r="T373" i="27" s="1"/>
  <c r="Q374" i="27"/>
  <c r="T374" i="27" s="1"/>
  <c r="Q375" i="27"/>
  <c r="T375" i="27" s="1"/>
  <c r="Q376" i="27"/>
  <c r="T376" i="27" s="1"/>
  <c r="Q377" i="27"/>
  <c r="T377" i="27" s="1"/>
  <c r="Q378" i="27"/>
  <c r="T378" i="27" s="1"/>
  <c r="Q379" i="27"/>
  <c r="T379" i="27" s="1"/>
  <c r="Q380" i="27"/>
  <c r="T380" i="27" s="1"/>
  <c r="Q381" i="27"/>
  <c r="T381" i="27" s="1"/>
  <c r="Q382" i="27"/>
  <c r="T382" i="27" s="1"/>
  <c r="Q383" i="27"/>
  <c r="T383" i="27" s="1"/>
  <c r="Q384" i="27"/>
  <c r="T384" i="27" s="1"/>
  <c r="Q385" i="27"/>
  <c r="T385" i="27" s="1"/>
  <c r="Q386" i="27"/>
  <c r="T386" i="27" s="1"/>
  <c r="Q387" i="27"/>
  <c r="T387" i="27" s="1"/>
  <c r="Q388" i="27"/>
  <c r="T388" i="27" s="1"/>
  <c r="Q389" i="27"/>
  <c r="T389" i="27" s="1"/>
  <c r="Q390" i="27"/>
  <c r="T390" i="27" s="1"/>
  <c r="Q391" i="27"/>
  <c r="T391" i="27" s="1"/>
  <c r="Q392" i="27"/>
  <c r="T392" i="27" s="1"/>
  <c r="Q393" i="27"/>
  <c r="T393" i="27" s="1"/>
  <c r="Q394" i="27"/>
  <c r="T394" i="27" s="1"/>
  <c r="Q395" i="27"/>
  <c r="T395" i="27" s="1"/>
  <c r="Q396" i="27"/>
  <c r="T396" i="27" s="1"/>
  <c r="Q397" i="27"/>
  <c r="T397" i="27" s="1"/>
  <c r="Q398" i="27"/>
  <c r="T398" i="27" s="1"/>
  <c r="Q399" i="27"/>
  <c r="T399" i="27" s="1"/>
  <c r="Q400" i="27"/>
  <c r="T400" i="27" s="1"/>
  <c r="Q401" i="27"/>
  <c r="T401" i="27" s="1"/>
  <c r="Q402" i="27"/>
  <c r="T402" i="27" s="1"/>
  <c r="Q403" i="27"/>
  <c r="T403" i="27" s="1"/>
  <c r="Q404" i="27"/>
  <c r="T404" i="27" s="1"/>
  <c r="Q405" i="27"/>
  <c r="T405" i="27" s="1"/>
  <c r="Q406" i="27"/>
  <c r="T406" i="27" s="1"/>
  <c r="Q407" i="27"/>
  <c r="T407" i="27" s="1"/>
  <c r="Q408" i="27"/>
  <c r="T408" i="27" s="1"/>
  <c r="Q409" i="27"/>
  <c r="T409" i="27" s="1"/>
  <c r="Q410" i="27"/>
  <c r="T410" i="27" s="1"/>
  <c r="Q411" i="27"/>
  <c r="T411" i="27" s="1"/>
  <c r="Q412" i="27"/>
  <c r="T412" i="27" s="1"/>
  <c r="Q413" i="27"/>
  <c r="T413" i="27" s="1"/>
  <c r="Q414" i="27"/>
  <c r="T414" i="27" s="1"/>
  <c r="Q415" i="27"/>
  <c r="T415" i="27" s="1"/>
  <c r="Q416" i="27"/>
  <c r="T416" i="27" s="1"/>
  <c r="Q417" i="27"/>
  <c r="T417" i="27" s="1"/>
  <c r="Q418" i="27"/>
  <c r="T418" i="27" s="1"/>
  <c r="Q419" i="27"/>
  <c r="T419" i="27" s="1"/>
  <c r="Q420" i="27"/>
  <c r="T420" i="27" s="1"/>
  <c r="Q421" i="27"/>
  <c r="T421" i="27" s="1"/>
  <c r="Q422" i="27"/>
  <c r="T422" i="27" s="1"/>
  <c r="Q423" i="27"/>
  <c r="T423" i="27" s="1"/>
  <c r="Q424" i="27"/>
  <c r="T424" i="27" s="1"/>
  <c r="Q425" i="27"/>
  <c r="T425" i="27" s="1"/>
  <c r="Q426" i="27"/>
  <c r="T426" i="27" s="1"/>
  <c r="Q427" i="27"/>
  <c r="T427" i="27" s="1"/>
  <c r="Q428" i="27"/>
  <c r="T428" i="27" s="1"/>
  <c r="Q429" i="27"/>
  <c r="T429" i="27" s="1"/>
  <c r="Q430" i="27"/>
  <c r="T430" i="27" s="1"/>
  <c r="Q431" i="27"/>
  <c r="T431" i="27" s="1"/>
  <c r="Q432" i="27"/>
  <c r="T432" i="27" s="1"/>
  <c r="Q433" i="27"/>
  <c r="T433" i="27" s="1"/>
  <c r="Q434" i="27"/>
  <c r="T434" i="27" s="1"/>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335" i="27"/>
  <c r="Q231" i="27"/>
  <c r="T231" i="27" s="1"/>
  <c r="Q232" i="27"/>
  <c r="T232" i="27" s="1"/>
  <c r="Q233" i="27"/>
  <c r="T233" i="27" s="1"/>
  <c r="Q234" i="27"/>
  <c r="T234" i="27" s="1"/>
  <c r="Q235" i="27"/>
  <c r="T235" i="27" s="1"/>
  <c r="Q236" i="27"/>
  <c r="T236" i="27" s="1"/>
  <c r="Q237" i="27"/>
  <c r="T237" i="27" s="1"/>
  <c r="Q238" i="27"/>
  <c r="T238" i="27" s="1"/>
  <c r="Q239" i="27"/>
  <c r="T239" i="27" s="1"/>
  <c r="Q240" i="27"/>
  <c r="T240" i="27" s="1"/>
  <c r="Q241" i="27"/>
  <c r="T241" i="27" s="1"/>
  <c r="Q242" i="27"/>
  <c r="T242" i="27" s="1"/>
  <c r="Q243" i="27"/>
  <c r="T243" i="27" s="1"/>
  <c r="Q244" i="27"/>
  <c r="T244" i="27" s="1"/>
  <c r="Q245" i="27"/>
  <c r="T245" i="27" s="1"/>
  <c r="Q246" i="27"/>
  <c r="T246" i="27" s="1"/>
  <c r="Q247" i="27"/>
  <c r="T247" i="27" s="1"/>
  <c r="Q248" i="27"/>
  <c r="T248" i="27" s="1"/>
  <c r="Q249" i="27"/>
  <c r="T249" i="27" s="1"/>
  <c r="Q250" i="27"/>
  <c r="T250" i="27" s="1"/>
  <c r="Q251" i="27"/>
  <c r="T251" i="27" s="1"/>
  <c r="Q252" i="27"/>
  <c r="T252" i="27" s="1"/>
  <c r="Q253" i="27"/>
  <c r="T253" i="27" s="1"/>
  <c r="Q254" i="27"/>
  <c r="T254" i="27" s="1"/>
  <c r="Q255" i="27"/>
  <c r="T255" i="27" s="1"/>
  <c r="Q256" i="27"/>
  <c r="T256" i="27" s="1"/>
  <c r="Q257" i="27"/>
  <c r="T257" i="27" s="1"/>
  <c r="Q258" i="27"/>
  <c r="T258" i="27" s="1"/>
  <c r="Q259" i="27"/>
  <c r="T259" i="27" s="1"/>
  <c r="Q260" i="27"/>
  <c r="T260" i="27" s="1"/>
  <c r="Q261" i="27"/>
  <c r="T261" i="27" s="1"/>
  <c r="Q262" i="27"/>
  <c r="T262" i="27" s="1"/>
  <c r="Q263" i="27"/>
  <c r="T263" i="27" s="1"/>
  <c r="Q264" i="27"/>
  <c r="T264" i="27" s="1"/>
  <c r="Q265" i="27"/>
  <c r="T265" i="27" s="1"/>
  <c r="Q266" i="27"/>
  <c r="T266" i="27" s="1"/>
  <c r="Q267" i="27"/>
  <c r="T267" i="27" s="1"/>
  <c r="Q268" i="27"/>
  <c r="T268" i="27" s="1"/>
  <c r="Q269" i="27"/>
  <c r="T269" i="27" s="1"/>
  <c r="Q270" i="27"/>
  <c r="T270" i="27" s="1"/>
  <c r="Q271" i="27"/>
  <c r="T271" i="27" s="1"/>
  <c r="Q272" i="27"/>
  <c r="T272" i="27" s="1"/>
  <c r="Q273" i="27"/>
  <c r="T273" i="27" s="1"/>
  <c r="Q274" i="27"/>
  <c r="T274" i="27" s="1"/>
  <c r="Q275" i="27"/>
  <c r="T275" i="27" s="1"/>
  <c r="Q276" i="27"/>
  <c r="T276" i="27" s="1"/>
  <c r="Q277" i="27"/>
  <c r="T277" i="27" s="1"/>
  <c r="Q278" i="27"/>
  <c r="T278" i="27" s="1"/>
  <c r="Q279" i="27"/>
  <c r="T279" i="27" s="1"/>
  <c r="Q280" i="27"/>
  <c r="T280" i="27" s="1"/>
  <c r="Q281" i="27"/>
  <c r="T281" i="27" s="1"/>
  <c r="Q282" i="27"/>
  <c r="T282" i="27" s="1"/>
  <c r="Q283" i="27"/>
  <c r="T283" i="27" s="1"/>
  <c r="Q284" i="27"/>
  <c r="T284" i="27" s="1"/>
  <c r="Q285" i="27"/>
  <c r="T285" i="27" s="1"/>
  <c r="Q286" i="27"/>
  <c r="T286" i="27" s="1"/>
  <c r="Q287" i="27"/>
  <c r="T287" i="27" s="1"/>
  <c r="Q288" i="27"/>
  <c r="T288" i="27" s="1"/>
  <c r="Q289" i="27"/>
  <c r="T289" i="27" s="1"/>
  <c r="Q290" i="27"/>
  <c r="T290" i="27" s="1"/>
  <c r="Q291" i="27"/>
  <c r="T291" i="27" s="1"/>
  <c r="Q292" i="27"/>
  <c r="T292" i="27" s="1"/>
  <c r="Q293" i="27"/>
  <c r="T293" i="27" s="1"/>
  <c r="Q294" i="27"/>
  <c r="T294" i="27" s="1"/>
  <c r="Q295" i="27"/>
  <c r="T295" i="27" s="1"/>
  <c r="Q296" i="27"/>
  <c r="T296" i="27" s="1"/>
  <c r="Q297" i="27"/>
  <c r="T297" i="27" s="1"/>
  <c r="Q298" i="27"/>
  <c r="T298" i="27" s="1"/>
  <c r="Q299" i="27"/>
  <c r="T299" i="27" s="1"/>
  <c r="Q300" i="27"/>
  <c r="T300" i="27" s="1"/>
  <c r="Q301" i="27"/>
  <c r="T301" i="27" s="1"/>
  <c r="Q302" i="27"/>
  <c r="T302" i="27" s="1"/>
  <c r="Q303" i="27"/>
  <c r="T303" i="27" s="1"/>
  <c r="Q304" i="27"/>
  <c r="T304" i="27" s="1"/>
  <c r="Q305" i="27"/>
  <c r="T305" i="27" s="1"/>
  <c r="Q306" i="27"/>
  <c r="T306" i="27" s="1"/>
  <c r="Q307" i="27"/>
  <c r="T307" i="27" s="1"/>
  <c r="Q308" i="27"/>
  <c r="T308" i="27" s="1"/>
  <c r="Q309" i="27"/>
  <c r="T309" i="27" s="1"/>
  <c r="Q310" i="27"/>
  <c r="T310" i="27" s="1"/>
  <c r="Q311" i="27"/>
  <c r="T311" i="27" s="1"/>
  <c r="Q312" i="27"/>
  <c r="T312" i="27" s="1"/>
  <c r="Q313" i="27"/>
  <c r="T313" i="27" s="1"/>
  <c r="Q314" i="27"/>
  <c r="T314" i="27" s="1"/>
  <c r="Q315" i="27"/>
  <c r="T315" i="27" s="1"/>
  <c r="Q316" i="27"/>
  <c r="T316" i="27" s="1"/>
  <c r="Q317" i="27"/>
  <c r="T317" i="27" s="1"/>
  <c r="Q318" i="27"/>
  <c r="T318" i="27" s="1"/>
  <c r="Q319" i="27"/>
  <c r="T319" i="27" s="1"/>
  <c r="Q320" i="27"/>
  <c r="T320" i="27" s="1"/>
  <c r="Q321" i="27"/>
  <c r="T321" i="27" s="1"/>
  <c r="Q322" i="27"/>
  <c r="T322" i="27" s="1"/>
  <c r="Q323" i="27"/>
  <c r="T323" i="27" s="1"/>
  <c r="Q324" i="27"/>
  <c r="T324" i="27" s="1"/>
  <c r="Q325" i="27"/>
  <c r="T325" i="27" s="1"/>
  <c r="Q326" i="27"/>
  <c r="T326" i="27" s="1"/>
  <c r="Q327" i="27"/>
  <c r="T327" i="27" s="1"/>
  <c r="Q328" i="27"/>
  <c r="T328" i="27" s="1"/>
  <c r="Q329" i="27"/>
  <c r="T329" i="27" s="1"/>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230" i="27"/>
  <c r="Q126" i="27"/>
  <c r="T126" i="27" s="1"/>
  <c r="Q127" i="27"/>
  <c r="T127" i="27" s="1"/>
  <c r="Q128" i="27"/>
  <c r="T128" i="27" s="1"/>
  <c r="Q129" i="27"/>
  <c r="T129" i="27" s="1"/>
  <c r="Q130" i="27"/>
  <c r="T130" i="27" s="1"/>
  <c r="Q131" i="27"/>
  <c r="T131" i="27" s="1"/>
  <c r="Q132" i="27"/>
  <c r="T132" i="27" s="1"/>
  <c r="Q133" i="27"/>
  <c r="T133" i="27" s="1"/>
  <c r="Q134" i="27"/>
  <c r="T134" i="27" s="1"/>
  <c r="Q135" i="27"/>
  <c r="T135" i="27" s="1"/>
  <c r="Q136" i="27"/>
  <c r="T136" i="27" s="1"/>
  <c r="Q137" i="27"/>
  <c r="T137" i="27" s="1"/>
  <c r="Q138" i="27"/>
  <c r="T138" i="27" s="1"/>
  <c r="Q139" i="27"/>
  <c r="T139" i="27" s="1"/>
  <c r="Q140" i="27"/>
  <c r="T140" i="27" s="1"/>
  <c r="Q141" i="27"/>
  <c r="T141" i="27" s="1"/>
  <c r="Q142" i="27"/>
  <c r="T142" i="27" s="1"/>
  <c r="Q143" i="27"/>
  <c r="T143" i="27" s="1"/>
  <c r="Q144" i="27"/>
  <c r="T144" i="27" s="1"/>
  <c r="Q145" i="27"/>
  <c r="T145" i="27" s="1"/>
  <c r="Q146" i="27"/>
  <c r="T146" i="27" s="1"/>
  <c r="Q147" i="27"/>
  <c r="T147" i="27" s="1"/>
  <c r="Q148" i="27"/>
  <c r="T148" i="27" s="1"/>
  <c r="Q149" i="27"/>
  <c r="T149" i="27" s="1"/>
  <c r="Q150" i="27"/>
  <c r="T150" i="27" s="1"/>
  <c r="Q151" i="27"/>
  <c r="T151" i="27" s="1"/>
  <c r="Q152" i="27"/>
  <c r="T152" i="27" s="1"/>
  <c r="Q153" i="27"/>
  <c r="T153" i="27" s="1"/>
  <c r="Q154" i="27"/>
  <c r="T154" i="27" s="1"/>
  <c r="Q155" i="27"/>
  <c r="T155" i="27" s="1"/>
  <c r="Q156" i="27"/>
  <c r="T156" i="27" s="1"/>
  <c r="Q157" i="27"/>
  <c r="T157" i="27" s="1"/>
  <c r="Q158" i="27"/>
  <c r="T158" i="27" s="1"/>
  <c r="Q159" i="27"/>
  <c r="T159" i="27" s="1"/>
  <c r="Q160" i="27"/>
  <c r="T160" i="27" s="1"/>
  <c r="Q161" i="27"/>
  <c r="T161" i="27" s="1"/>
  <c r="Q162" i="27"/>
  <c r="T162" i="27" s="1"/>
  <c r="Q163" i="27"/>
  <c r="T163" i="27" s="1"/>
  <c r="Q164" i="27"/>
  <c r="T164" i="27" s="1"/>
  <c r="Q165" i="27"/>
  <c r="T165" i="27" s="1"/>
  <c r="Q166" i="27"/>
  <c r="T166" i="27" s="1"/>
  <c r="Q167" i="27"/>
  <c r="T167" i="27" s="1"/>
  <c r="Q168" i="27"/>
  <c r="T168" i="27" s="1"/>
  <c r="Q169" i="27"/>
  <c r="T169" i="27" s="1"/>
  <c r="Q170" i="27"/>
  <c r="T170" i="27" s="1"/>
  <c r="Q171" i="27"/>
  <c r="T171" i="27" s="1"/>
  <c r="Q172" i="27"/>
  <c r="T172" i="27" s="1"/>
  <c r="Q173" i="27"/>
  <c r="T173" i="27" s="1"/>
  <c r="Q174" i="27"/>
  <c r="T174" i="27" s="1"/>
  <c r="Q175" i="27"/>
  <c r="T175" i="27" s="1"/>
  <c r="Q176" i="27"/>
  <c r="T176" i="27" s="1"/>
  <c r="Q177" i="27"/>
  <c r="T177" i="27" s="1"/>
  <c r="Q178" i="27"/>
  <c r="T178" i="27" s="1"/>
  <c r="Q179" i="27"/>
  <c r="T179" i="27" s="1"/>
  <c r="Q180" i="27"/>
  <c r="T180" i="27" s="1"/>
  <c r="Q181" i="27"/>
  <c r="T181" i="27" s="1"/>
  <c r="Q182" i="27"/>
  <c r="T182" i="27" s="1"/>
  <c r="Q183" i="27"/>
  <c r="T183" i="27" s="1"/>
  <c r="Q184" i="27"/>
  <c r="T184" i="27" s="1"/>
  <c r="Q185" i="27"/>
  <c r="T185" i="27" s="1"/>
  <c r="Q186" i="27"/>
  <c r="T186" i="27" s="1"/>
  <c r="Q187" i="27"/>
  <c r="T187" i="27" s="1"/>
  <c r="Q188" i="27"/>
  <c r="T188" i="27" s="1"/>
  <c r="Q189" i="27"/>
  <c r="T189" i="27" s="1"/>
  <c r="Q190" i="27"/>
  <c r="T190" i="27" s="1"/>
  <c r="Q191" i="27"/>
  <c r="T191" i="27" s="1"/>
  <c r="Q192" i="27"/>
  <c r="T192" i="27" s="1"/>
  <c r="Q193" i="27"/>
  <c r="T193" i="27" s="1"/>
  <c r="Q194" i="27"/>
  <c r="T194" i="27" s="1"/>
  <c r="Q195" i="27"/>
  <c r="T195" i="27" s="1"/>
  <c r="Q196" i="27"/>
  <c r="T196" i="27" s="1"/>
  <c r="Q197" i="27"/>
  <c r="T197" i="27" s="1"/>
  <c r="Q198" i="27"/>
  <c r="T198" i="27" s="1"/>
  <c r="Q199" i="27"/>
  <c r="T199" i="27" s="1"/>
  <c r="Q200" i="27"/>
  <c r="T200" i="27" s="1"/>
  <c r="Q201" i="27"/>
  <c r="T201" i="27" s="1"/>
  <c r="Q202" i="27"/>
  <c r="T202" i="27" s="1"/>
  <c r="Q203" i="27"/>
  <c r="T203" i="27" s="1"/>
  <c r="Q204" i="27"/>
  <c r="T204" i="27" s="1"/>
  <c r="Q205" i="27"/>
  <c r="T205" i="27" s="1"/>
  <c r="Q206" i="27"/>
  <c r="T206" i="27" s="1"/>
  <c r="Q207" i="27"/>
  <c r="T207" i="27" s="1"/>
  <c r="Q208" i="27"/>
  <c r="T208" i="27" s="1"/>
  <c r="Q209" i="27"/>
  <c r="T209" i="27" s="1"/>
  <c r="Q210" i="27"/>
  <c r="T210" i="27" s="1"/>
  <c r="Q211" i="27"/>
  <c r="T211" i="27" s="1"/>
  <c r="Q212" i="27"/>
  <c r="T212" i="27" s="1"/>
  <c r="Q213" i="27"/>
  <c r="T213" i="27" s="1"/>
  <c r="Q214" i="27"/>
  <c r="T214" i="27" s="1"/>
  <c r="Q215" i="27"/>
  <c r="T215" i="27" s="1"/>
  <c r="Q216" i="27"/>
  <c r="T216" i="27" s="1"/>
  <c r="Q217" i="27"/>
  <c r="T217" i="27" s="1"/>
  <c r="Q218" i="27"/>
  <c r="T218" i="27" s="1"/>
  <c r="Q219" i="27"/>
  <c r="T219" i="27" s="1"/>
  <c r="Q220" i="27"/>
  <c r="T220" i="27" s="1"/>
  <c r="Q221" i="27"/>
  <c r="T221" i="27" s="1"/>
  <c r="Q222" i="27"/>
  <c r="T222" i="27" s="1"/>
  <c r="Q223" i="27"/>
  <c r="T223" i="27" s="1"/>
  <c r="Q224" i="27"/>
  <c r="T224" i="27" s="1"/>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125" i="27"/>
  <c r="Q21" i="27"/>
  <c r="T21" i="27" s="1"/>
  <c r="Q22" i="27"/>
  <c r="T22" i="27" s="1"/>
  <c r="Q23" i="27"/>
  <c r="T23" i="27" s="1"/>
  <c r="Q24" i="27"/>
  <c r="T24" i="27" s="1"/>
  <c r="Q25" i="27"/>
  <c r="T25" i="27" s="1"/>
  <c r="Q26" i="27"/>
  <c r="T26" i="27" s="1"/>
  <c r="Q27" i="27"/>
  <c r="T27" i="27" s="1"/>
  <c r="Q28" i="27"/>
  <c r="T28" i="27" s="1"/>
  <c r="Q29" i="27"/>
  <c r="T29" i="27" s="1"/>
  <c r="Q30" i="27"/>
  <c r="T30" i="27" s="1"/>
  <c r="Q31" i="27"/>
  <c r="T31" i="27" s="1"/>
  <c r="Q32" i="27"/>
  <c r="T32" i="27" s="1"/>
  <c r="Q33" i="27"/>
  <c r="T33" i="27" s="1"/>
  <c r="Q34" i="27"/>
  <c r="T34" i="27" s="1"/>
  <c r="Q35" i="27"/>
  <c r="T35" i="27" s="1"/>
  <c r="Q36" i="27"/>
  <c r="T36" i="27" s="1"/>
  <c r="Q37" i="27"/>
  <c r="T37" i="27" s="1"/>
  <c r="Q38" i="27"/>
  <c r="T38" i="27" s="1"/>
  <c r="Q39" i="27"/>
  <c r="T39" i="27" s="1"/>
  <c r="Q40" i="27"/>
  <c r="T40" i="27" s="1"/>
  <c r="Q41" i="27"/>
  <c r="T41" i="27" s="1"/>
  <c r="Q42" i="27"/>
  <c r="T42" i="27" s="1"/>
  <c r="Q43" i="27"/>
  <c r="T43" i="27" s="1"/>
  <c r="Q44" i="27"/>
  <c r="T44" i="27" s="1"/>
  <c r="Q45" i="27"/>
  <c r="T45" i="27" s="1"/>
  <c r="Q46" i="27"/>
  <c r="T46" i="27" s="1"/>
  <c r="Q47" i="27"/>
  <c r="T47" i="27" s="1"/>
  <c r="Q48" i="27"/>
  <c r="T48" i="27" s="1"/>
  <c r="Q49" i="27"/>
  <c r="T49" i="27" s="1"/>
  <c r="Q50" i="27"/>
  <c r="T50" i="27" s="1"/>
  <c r="Q51" i="27"/>
  <c r="T51" i="27" s="1"/>
  <c r="Q52" i="27"/>
  <c r="T52" i="27" s="1"/>
  <c r="Q53" i="27"/>
  <c r="T53" i="27" s="1"/>
  <c r="Q54" i="27"/>
  <c r="T54" i="27" s="1"/>
  <c r="Q55" i="27"/>
  <c r="T55" i="27" s="1"/>
  <c r="Q56" i="27"/>
  <c r="T56" i="27" s="1"/>
  <c r="Q57" i="27"/>
  <c r="T57" i="27" s="1"/>
  <c r="Q58" i="27"/>
  <c r="T58" i="27" s="1"/>
  <c r="Q59" i="27"/>
  <c r="T59" i="27" s="1"/>
  <c r="Q60" i="27"/>
  <c r="T60" i="27" s="1"/>
  <c r="Q61" i="27"/>
  <c r="T61" i="27" s="1"/>
  <c r="Q62" i="27"/>
  <c r="T62" i="27" s="1"/>
  <c r="Q63" i="27"/>
  <c r="T63" i="27" s="1"/>
  <c r="Q64" i="27"/>
  <c r="T64" i="27" s="1"/>
  <c r="Q65" i="27"/>
  <c r="T65" i="27" s="1"/>
  <c r="Q66" i="27"/>
  <c r="T66" i="27" s="1"/>
  <c r="Q67" i="27"/>
  <c r="T67" i="27" s="1"/>
  <c r="Q68" i="27"/>
  <c r="T68" i="27" s="1"/>
  <c r="Q69" i="27"/>
  <c r="T69" i="27" s="1"/>
  <c r="Q70" i="27"/>
  <c r="T70" i="27" s="1"/>
  <c r="Q71" i="27"/>
  <c r="T71" i="27" s="1"/>
  <c r="Q72" i="27"/>
  <c r="T72" i="27" s="1"/>
  <c r="Q73" i="27"/>
  <c r="T73" i="27" s="1"/>
  <c r="Q74" i="27"/>
  <c r="T74" i="27" s="1"/>
  <c r="Q75" i="27"/>
  <c r="T75" i="27" s="1"/>
  <c r="Q76" i="27"/>
  <c r="T76" i="27" s="1"/>
  <c r="Q77" i="27"/>
  <c r="T77" i="27" s="1"/>
  <c r="Q78" i="27"/>
  <c r="T78" i="27" s="1"/>
  <c r="Q79" i="27"/>
  <c r="T79" i="27" s="1"/>
  <c r="Q80" i="27"/>
  <c r="T80" i="27" s="1"/>
  <c r="Q81" i="27"/>
  <c r="T81" i="27" s="1"/>
  <c r="Q82" i="27"/>
  <c r="T82" i="27" s="1"/>
  <c r="Q83" i="27"/>
  <c r="T83" i="27" s="1"/>
  <c r="Q84" i="27"/>
  <c r="T84" i="27" s="1"/>
  <c r="Q85" i="27"/>
  <c r="T85" i="27" s="1"/>
  <c r="Q86" i="27"/>
  <c r="T86" i="27" s="1"/>
  <c r="Q87" i="27"/>
  <c r="T87" i="27" s="1"/>
  <c r="Q88" i="27"/>
  <c r="T88" i="27" s="1"/>
  <c r="Q89" i="27"/>
  <c r="T89" i="27" s="1"/>
  <c r="Q90" i="27"/>
  <c r="T90" i="27" s="1"/>
  <c r="Q91" i="27"/>
  <c r="T91" i="27" s="1"/>
  <c r="Q92" i="27"/>
  <c r="T92" i="27" s="1"/>
  <c r="Q93" i="27"/>
  <c r="T93" i="27" s="1"/>
  <c r="Q94" i="27"/>
  <c r="T94" i="27" s="1"/>
  <c r="Q95" i="27"/>
  <c r="T95" i="27" s="1"/>
  <c r="Q96" i="27"/>
  <c r="T96" i="27" s="1"/>
  <c r="Q97" i="27"/>
  <c r="T97" i="27" s="1"/>
  <c r="Q98" i="27"/>
  <c r="T98" i="27" s="1"/>
  <c r="Q99" i="27"/>
  <c r="T99" i="27" s="1"/>
  <c r="Q100" i="27"/>
  <c r="T100" i="27" s="1"/>
  <c r="Q101" i="27"/>
  <c r="T101" i="27" s="1"/>
  <c r="Q102" i="27"/>
  <c r="T102" i="27" s="1"/>
  <c r="Q103" i="27"/>
  <c r="T103" i="27" s="1"/>
  <c r="Q104" i="27"/>
  <c r="T104" i="27" s="1"/>
  <c r="Q105" i="27"/>
  <c r="T105" i="27" s="1"/>
  <c r="Q106" i="27"/>
  <c r="T106" i="27" s="1"/>
  <c r="Q107" i="27"/>
  <c r="T107" i="27" s="1"/>
  <c r="Q108" i="27"/>
  <c r="T108" i="27" s="1"/>
  <c r="Q109" i="27"/>
  <c r="T109" i="27" s="1"/>
  <c r="Q110" i="27"/>
  <c r="T110" i="27" s="1"/>
  <c r="Q111" i="27"/>
  <c r="T111" i="27" s="1"/>
  <c r="Q112" i="27"/>
  <c r="T112" i="27" s="1"/>
  <c r="Q113" i="27"/>
  <c r="T113" i="27" s="1"/>
  <c r="Q114" i="27"/>
  <c r="T114" i="27" s="1"/>
  <c r="Q115" i="27"/>
  <c r="T115" i="27" s="1"/>
  <c r="Q116" i="27"/>
  <c r="T116" i="27" s="1"/>
  <c r="Q117" i="27"/>
  <c r="T117" i="27" s="1"/>
  <c r="Q118" i="27"/>
  <c r="T118" i="27" s="1"/>
  <c r="Q119" i="27"/>
  <c r="T119" i="27" s="1"/>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20" i="27"/>
  <c r="Q1184" i="14"/>
  <c r="Q1185" i="14"/>
  <c r="Q1186" i="14"/>
  <c r="Q1187" i="14"/>
  <c r="Q1188" i="14"/>
  <c r="Q1189" i="14"/>
  <c r="Q1190" i="14"/>
  <c r="Q1191" i="14"/>
  <c r="Q1192" i="14"/>
  <c r="Q1193" i="14"/>
  <c r="Q1194" i="14"/>
  <c r="Q1195" i="14"/>
  <c r="Q1196" i="14"/>
  <c r="Q1197" i="14"/>
  <c r="Q1198" i="14"/>
  <c r="Q1199" i="14"/>
  <c r="Q1200" i="14"/>
  <c r="Q1201" i="14"/>
  <c r="Q1202" i="14"/>
  <c r="Q1203" i="14"/>
  <c r="Q1204" i="14"/>
  <c r="Q1205" i="14"/>
  <c r="Q1206" i="14"/>
  <c r="Q1207" i="14"/>
  <c r="Q1208" i="14"/>
  <c r="Q1209" i="14"/>
  <c r="Q1210" i="14"/>
  <c r="Q1211" i="14"/>
  <c r="Q1212" i="14"/>
  <c r="Q1213" i="14"/>
  <c r="Q1214" i="14"/>
  <c r="Q1215" i="14"/>
  <c r="Q1216" i="14"/>
  <c r="Q1217" i="14"/>
  <c r="Q1218" i="14"/>
  <c r="Q1219" i="14"/>
  <c r="Q1220" i="14"/>
  <c r="Q1221" i="14"/>
  <c r="Q1222" i="14"/>
  <c r="Q1223" i="14"/>
  <c r="Q1224" i="14"/>
  <c r="Q1225" i="14"/>
  <c r="Q1226" i="14"/>
  <c r="Q1227" i="14"/>
  <c r="Q1228" i="14"/>
  <c r="Q1229" i="14"/>
  <c r="Q1230" i="14"/>
  <c r="Q1231" i="14"/>
  <c r="Q1232" i="14"/>
  <c r="Q1233" i="14"/>
  <c r="Q1234" i="14"/>
  <c r="Q1235" i="14"/>
  <c r="Q1236" i="14"/>
  <c r="Q1237" i="14"/>
  <c r="Q1238" i="14"/>
  <c r="Q1239" i="14"/>
  <c r="Q1240" i="14"/>
  <c r="Q1241" i="14"/>
  <c r="Q1242" i="14"/>
  <c r="Q1243" i="14"/>
  <c r="Q1244" i="14"/>
  <c r="Q1245" i="14"/>
  <c r="Q1246" i="14"/>
  <c r="Q1247" i="14"/>
  <c r="Q1248" i="14"/>
  <c r="Q1249" i="14"/>
  <c r="Q1250" i="14"/>
  <c r="Q1251" i="14"/>
  <c r="Q1252" i="14"/>
  <c r="Q1253" i="14"/>
  <c r="Q1254" i="14"/>
  <c r="Q1255" i="14"/>
  <c r="Q1256" i="14"/>
  <c r="Q1257" i="14"/>
  <c r="Q1258" i="14"/>
  <c r="Q1259" i="14"/>
  <c r="Q1260" i="14"/>
  <c r="Q1261" i="14"/>
  <c r="Q1262" i="14"/>
  <c r="Q1263" i="14"/>
  <c r="Q1264" i="14"/>
  <c r="Q1265" i="14"/>
  <c r="Q1266" i="14"/>
  <c r="Q1267" i="14"/>
  <c r="Q1268" i="14"/>
  <c r="Q1269" i="14"/>
  <c r="Q1270" i="14"/>
  <c r="Q1271" i="14"/>
  <c r="Q1272" i="14"/>
  <c r="Q1273" i="14"/>
  <c r="Q1274" i="14"/>
  <c r="Q1275" i="14"/>
  <c r="Q1276" i="14"/>
  <c r="Q1277" i="14"/>
  <c r="Q1278" i="14"/>
  <c r="Q1279" i="14"/>
  <c r="Q1280" i="14"/>
  <c r="Q1281" i="14"/>
  <c r="Q1282" i="14"/>
  <c r="Q1079" i="14"/>
  <c r="Q1080" i="14"/>
  <c r="Q1081" i="14"/>
  <c r="Q1082" i="14"/>
  <c r="Q1083" i="14"/>
  <c r="Q1084" i="14"/>
  <c r="Q1085" i="14"/>
  <c r="Q1086" i="14"/>
  <c r="Q1087" i="14"/>
  <c r="Q1088" i="14"/>
  <c r="Q1089" i="14"/>
  <c r="Q1090" i="14"/>
  <c r="Q1091" i="14"/>
  <c r="Q1092" i="14"/>
  <c r="Q1093" i="14"/>
  <c r="Q1094" i="14"/>
  <c r="Q1095" i="14"/>
  <c r="Q1096" i="14"/>
  <c r="Q1097" i="14"/>
  <c r="Q1098" i="14"/>
  <c r="Q1099" i="14"/>
  <c r="Q1100" i="14"/>
  <c r="Q1101" i="14"/>
  <c r="Q1102" i="14"/>
  <c r="Q1103" i="14"/>
  <c r="Q1104" i="14"/>
  <c r="Q1105" i="14"/>
  <c r="Q1106" i="14"/>
  <c r="Q1107" i="14"/>
  <c r="Q1108" i="14"/>
  <c r="Q1109" i="14"/>
  <c r="Q1110" i="14"/>
  <c r="Q1111" i="14"/>
  <c r="Q1112" i="14"/>
  <c r="Q1113" i="14"/>
  <c r="Q1114" i="14"/>
  <c r="Q1115" i="14"/>
  <c r="Q1116" i="14"/>
  <c r="Q1117" i="14"/>
  <c r="Q1118" i="14"/>
  <c r="Q1119" i="14"/>
  <c r="Q1120" i="14"/>
  <c r="Q1121" i="14"/>
  <c r="Q1122" i="14"/>
  <c r="Q1123" i="14"/>
  <c r="Q1124" i="14"/>
  <c r="Q1125" i="14"/>
  <c r="Q1126" i="14"/>
  <c r="Q1127" i="14"/>
  <c r="Q1128" i="14"/>
  <c r="Q1129" i="14"/>
  <c r="Q1130" i="14"/>
  <c r="Q1131" i="14"/>
  <c r="Q1132" i="14"/>
  <c r="Q1133" i="14"/>
  <c r="Q1134" i="14"/>
  <c r="Q1135" i="14"/>
  <c r="Q1136" i="14"/>
  <c r="Q1137" i="14"/>
  <c r="Q1138" i="14"/>
  <c r="Q1139" i="14"/>
  <c r="Q1140" i="14"/>
  <c r="Q1141" i="14"/>
  <c r="Q1142" i="14"/>
  <c r="Q1143" i="14"/>
  <c r="Q1144" i="14"/>
  <c r="Q1145" i="14"/>
  <c r="Q1146" i="14"/>
  <c r="Q1147" i="14"/>
  <c r="Q1148" i="14"/>
  <c r="Q1149" i="14"/>
  <c r="Q1150" i="14"/>
  <c r="Q1151" i="14"/>
  <c r="Q1152" i="14"/>
  <c r="Q1153" i="14"/>
  <c r="Q1154" i="14"/>
  <c r="Q1155" i="14"/>
  <c r="Q1156" i="14"/>
  <c r="Q1157" i="14"/>
  <c r="Q1158" i="14"/>
  <c r="Q1159" i="14"/>
  <c r="Q1160" i="14"/>
  <c r="Q1161" i="14"/>
  <c r="Q1162" i="14"/>
  <c r="Q1163" i="14"/>
  <c r="Q1164" i="14"/>
  <c r="Q1165" i="14"/>
  <c r="Q1166" i="14"/>
  <c r="Q1167" i="14"/>
  <c r="Q1168" i="14"/>
  <c r="Q1169" i="14"/>
  <c r="Q1170" i="14"/>
  <c r="Q1171" i="14"/>
  <c r="Q1172" i="14"/>
  <c r="Q1173" i="14"/>
  <c r="Q1174" i="14"/>
  <c r="Q1175" i="14"/>
  <c r="Q1176" i="14"/>
  <c r="Q1177"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1026" i="14"/>
  <c r="Q1027" i="14"/>
  <c r="Q1028" i="14"/>
  <c r="Q1029" i="14"/>
  <c r="Q1030" i="14"/>
  <c r="Q1031" i="14"/>
  <c r="Q1032" i="14"/>
  <c r="Q1033" i="14"/>
  <c r="Q1034" i="14"/>
  <c r="Q1035" i="14"/>
  <c r="Q1036" i="14"/>
  <c r="Q1037" i="14"/>
  <c r="Q1038" i="14"/>
  <c r="Q1039" i="14"/>
  <c r="Q1040" i="14"/>
  <c r="Q1041" i="14"/>
  <c r="Q1042" i="14"/>
  <c r="Q1043" i="14"/>
  <c r="Q1044" i="14"/>
  <c r="Q1045" i="14"/>
  <c r="Q1046" i="14"/>
  <c r="Q1047" i="14"/>
  <c r="Q1048" i="14"/>
  <c r="Q1049" i="14"/>
  <c r="Q1050" i="14"/>
  <c r="Q1051" i="14"/>
  <c r="Q1052" i="14"/>
  <c r="Q1053" i="14"/>
  <c r="Q1054" i="14"/>
  <c r="Q1055" i="14"/>
  <c r="Q1056" i="14"/>
  <c r="Q1057" i="14"/>
  <c r="Q1058" i="14"/>
  <c r="Q1059" i="14"/>
  <c r="Q1060" i="14"/>
  <c r="Q1061" i="14"/>
  <c r="Q1062" i="14"/>
  <c r="Q1063" i="14"/>
  <c r="Q1064" i="14"/>
  <c r="Q1065" i="14"/>
  <c r="Q1066" i="14"/>
  <c r="Q1067" i="14"/>
  <c r="Q1068" i="14"/>
  <c r="Q1069" i="14"/>
  <c r="Q1070" i="14"/>
  <c r="Q1071" i="14"/>
  <c r="Q1072"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S15" i="27" l="1"/>
  <c r="Q69" i="28" l="1"/>
  <c r="Q68" i="28"/>
  <c r="Q67" i="28"/>
  <c r="Q66" i="28"/>
  <c r="Q65" i="28"/>
  <c r="Q64" i="28"/>
  <c r="Q63" i="28"/>
  <c r="Q62" i="28"/>
  <c r="Q61" i="28"/>
  <c r="Q60" i="28"/>
  <c r="Q59" i="28"/>
  <c r="Q58" i="28"/>
  <c r="Q57" i="28"/>
  <c r="Q56" i="28"/>
  <c r="Q55" i="28"/>
  <c r="Q54" i="28"/>
  <c r="Q53" i="28"/>
  <c r="Q52" i="28"/>
  <c r="Q51" i="28"/>
  <c r="Q50" i="28"/>
  <c r="Q49" i="28"/>
  <c r="Q48" i="28"/>
  <c r="Q47" i="28"/>
  <c r="Q46" i="28"/>
  <c r="Q45" i="28"/>
  <c r="Q44" i="28"/>
  <c r="Q43" i="28"/>
  <c r="Q42" i="28"/>
  <c r="Q41" i="28"/>
  <c r="Q40" i="28"/>
  <c r="Q39" i="28"/>
  <c r="Q38" i="28"/>
  <c r="Q37" i="28"/>
  <c r="Q36" i="28"/>
  <c r="Q35" i="28"/>
  <c r="Q34" i="28"/>
  <c r="Q33" i="28"/>
  <c r="Q32" i="28"/>
  <c r="Q31" i="28"/>
  <c r="Q30" i="28"/>
  <c r="Q29" i="28"/>
  <c r="Q28" i="28"/>
  <c r="Q27" i="28"/>
  <c r="Q26" i="28"/>
  <c r="Q25" i="28"/>
  <c r="Q24" i="28"/>
  <c r="Q23" i="28"/>
  <c r="Q22" i="28"/>
  <c r="Q21" i="28"/>
  <c r="Q20" i="28"/>
  <c r="Q19" i="28"/>
  <c r="Q18" i="28"/>
  <c r="Q17" i="28"/>
  <c r="Q16" i="28"/>
  <c r="Q15" i="28"/>
  <c r="Q14" i="28"/>
  <c r="Q13" i="28"/>
  <c r="Q12" i="28"/>
  <c r="Q11" i="28"/>
  <c r="Q10" i="28"/>
  <c r="Q99" i="16"/>
  <c r="Q98" i="16"/>
  <c r="Q97" i="16"/>
  <c r="Q96" i="16"/>
  <c r="Q95" i="16"/>
  <c r="Q94" i="16"/>
  <c r="Q93" i="16"/>
  <c r="Q92" i="16"/>
  <c r="Q91" i="16"/>
  <c r="Q90" i="16"/>
  <c r="Q89" i="16"/>
  <c r="Q88" i="16"/>
  <c r="Q87" i="16"/>
  <c r="Q86" i="16"/>
  <c r="Q85" i="16"/>
  <c r="Q84" i="16"/>
  <c r="Q83" i="16"/>
  <c r="Q82" i="16"/>
  <c r="Q81" i="16"/>
  <c r="Q80" i="16"/>
  <c r="Q79" i="16"/>
  <c r="Q78" i="16"/>
  <c r="Q77" i="16"/>
  <c r="Q76" i="16"/>
  <c r="Q75" i="16"/>
  <c r="Q74" i="16"/>
  <c r="Q73" i="16"/>
  <c r="Q72" i="16"/>
  <c r="Q71" i="16"/>
  <c r="Q70" i="16"/>
  <c r="Q69" i="16"/>
  <c r="Q68" i="16"/>
  <c r="Q67" i="16"/>
  <c r="Q66" i="16"/>
  <c r="Q65" i="16"/>
  <c r="Q64" i="16"/>
  <c r="Q63" i="16"/>
  <c r="Q62" i="16"/>
  <c r="Q61" i="16"/>
  <c r="Q60" i="16"/>
  <c r="Q59" i="16"/>
  <c r="Q58" i="16"/>
  <c r="Q57" i="16"/>
  <c r="Q56" i="16"/>
  <c r="Q55" i="16"/>
  <c r="Q54" i="16"/>
  <c r="Q53" i="16"/>
  <c r="Q52" i="16"/>
  <c r="Q51" i="16"/>
  <c r="Q50" i="16"/>
  <c r="Q49" i="16"/>
  <c r="Q48" i="16"/>
  <c r="Q47" i="16"/>
  <c r="Q46" i="16"/>
  <c r="Q45" i="16"/>
  <c r="Q44" i="16"/>
  <c r="Q43" i="16"/>
  <c r="Q42" i="16"/>
  <c r="Q41" i="16"/>
  <c r="Q40" i="16"/>
  <c r="Q39" i="16"/>
  <c r="Q38" i="16"/>
  <c r="Q37" i="16"/>
  <c r="Q36" i="16"/>
  <c r="Q35" i="16"/>
  <c r="Q34" i="16"/>
  <c r="Q33" i="16"/>
  <c r="Q32" i="16"/>
  <c r="Q31" i="16"/>
  <c r="Q30" i="16"/>
  <c r="Q29" i="16"/>
  <c r="Q28" i="16"/>
  <c r="Q27" i="16"/>
  <c r="Q26" i="16"/>
  <c r="Q25" i="16"/>
  <c r="Q24" i="16"/>
  <c r="Q23" i="16"/>
  <c r="Q22" i="16"/>
  <c r="Q21" i="16"/>
  <c r="Q20" i="16"/>
  <c r="Q19" i="16"/>
  <c r="Q18" i="16"/>
  <c r="Q17" i="16"/>
  <c r="Q16" i="16"/>
  <c r="Q15" i="16"/>
  <c r="Q14" i="16"/>
  <c r="Q13" i="16"/>
  <c r="Q12" i="16"/>
  <c r="Q11" i="16"/>
  <c r="Q10" i="16"/>
  <c r="J119" i="6" l="1"/>
  <c r="J155" i="7" s="1"/>
  <c r="E34" i="12" l="1"/>
  <c r="E33" i="12"/>
  <c r="E36" i="21" l="1"/>
  <c r="AC333" i="27" l="1"/>
  <c r="Z333" i="27"/>
  <c r="AC228" i="27"/>
  <c r="Z228" i="27"/>
  <c r="AC123" i="27"/>
  <c r="Z123" i="27"/>
  <c r="AC18" i="27"/>
  <c r="Z18" i="27"/>
  <c r="AC335" i="27" l="1"/>
  <c r="AC336" i="27"/>
  <c r="AC340" i="27"/>
  <c r="AC344" i="27"/>
  <c r="AC348" i="27"/>
  <c r="AC352" i="27"/>
  <c r="AC356" i="27"/>
  <c r="AC360" i="27"/>
  <c r="AC364" i="27"/>
  <c r="AC368" i="27"/>
  <c r="AC372" i="27"/>
  <c r="AC376" i="27"/>
  <c r="AC380" i="27"/>
  <c r="AC384" i="27"/>
  <c r="AC388" i="27"/>
  <c r="AC392" i="27"/>
  <c r="AC396" i="27"/>
  <c r="AC400" i="27"/>
  <c r="AC404" i="27"/>
  <c r="AC408" i="27"/>
  <c r="AC412" i="27"/>
  <c r="AC416" i="27"/>
  <c r="AC420" i="27"/>
  <c r="AC424" i="27"/>
  <c r="AC428" i="27"/>
  <c r="AC432" i="27"/>
  <c r="AC343" i="27"/>
  <c r="AC337" i="27"/>
  <c r="AC341" i="27"/>
  <c r="AC345" i="27"/>
  <c r="AC349" i="27"/>
  <c r="AC353" i="27"/>
  <c r="AC357" i="27"/>
  <c r="AC361" i="27"/>
  <c r="AC365" i="27"/>
  <c r="AC369" i="27"/>
  <c r="AC373" i="27"/>
  <c r="AC377" i="27"/>
  <c r="AC381" i="27"/>
  <c r="AC385" i="27"/>
  <c r="AC389" i="27"/>
  <c r="AC393" i="27"/>
  <c r="AC397" i="27"/>
  <c r="AC401" i="27"/>
  <c r="AC405" i="27"/>
  <c r="AC409" i="27"/>
  <c r="AC413" i="27"/>
  <c r="AC417" i="27"/>
  <c r="AC421" i="27"/>
  <c r="AC425" i="27"/>
  <c r="AC429" i="27"/>
  <c r="AC433" i="27"/>
  <c r="AC339" i="27"/>
  <c r="AC355" i="27"/>
  <c r="AC363" i="27"/>
  <c r="AC371" i="27"/>
  <c r="AC379" i="27"/>
  <c r="AC387" i="27"/>
  <c r="AC395" i="27"/>
  <c r="AC403" i="27"/>
  <c r="AC411" i="27"/>
  <c r="AC419" i="27"/>
  <c r="AC427" i="27"/>
  <c r="AC431" i="27"/>
  <c r="AC338" i="27"/>
  <c r="AC342" i="27"/>
  <c r="AC346" i="27"/>
  <c r="AC350" i="27"/>
  <c r="AC354" i="27"/>
  <c r="AC358" i="27"/>
  <c r="AC362" i="27"/>
  <c r="AC366" i="27"/>
  <c r="AC370" i="27"/>
  <c r="AC374" i="27"/>
  <c r="AC378" i="27"/>
  <c r="AC382" i="27"/>
  <c r="AC386" i="27"/>
  <c r="AC390" i="27"/>
  <c r="AC394" i="27"/>
  <c r="AC398" i="27"/>
  <c r="AC402" i="27"/>
  <c r="AC406" i="27"/>
  <c r="AC410" i="27"/>
  <c r="AC414" i="27"/>
  <c r="AC418" i="27"/>
  <c r="AC422" i="27"/>
  <c r="AC426" i="27"/>
  <c r="AC430" i="27"/>
  <c r="AC434" i="27"/>
  <c r="AC347" i="27"/>
  <c r="AC351" i="27"/>
  <c r="AC359" i="27"/>
  <c r="AC367" i="27"/>
  <c r="AC375" i="27"/>
  <c r="AC383" i="27"/>
  <c r="AC391" i="27"/>
  <c r="AC399" i="27"/>
  <c r="AC407" i="27"/>
  <c r="AC415" i="27"/>
  <c r="AC423" i="27"/>
  <c r="Z336" i="27"/>
  <c r="Z340" i="27"/>
  <c r="Z344" i="27"/>
  <c r="Z348" i="27"/>
  <c r="Z352" i="27"/>
  <c r="Z356" i="27"/>
  <c r="Z360" i="27"/>
  <c r="Z364" i="27"/>
  <c r="Z368" i="27"/>
  <c r="Z372" i="27"/>
  <c r="Z376" i="27"/>
  <c r="Z380" i="27"/>
  <c r="Z384" i="27"/>
  <c r="Z388" i="27"/>
  <c r="Z392" i="27"/>
  <c r="Z396" i="27"/>
  <c r="Z400" i="27"/>
  <c r="Z404" i="27"/>
  <c r="Z408" i="27"/>
  <c r="Z412" i="27"/>
  <c r="Z416" i="27"/>
  <c r="Z420" i="27"/>
  <c r="Z424" i="27"/>
  <c r="Z428" i="27"/>
  <c r="Z432" i="27"/>
  <c r="Z343" i="27"/>
  <c r="Z371" i="27"/>
  <c r="Z379" i="27"/>
  <c r="Z383" i="27"/>
  <c r="Z395" i="27"/>
  <c r="Z403" i="27"/>
  <c r="Z411" i="27"/>
  <c r="Z419" i="27"/>
  <c r="Z427" i="27"/>
  <c r="Z337" i="27"/>
  <c r="Z341" i="27"/>
  <c r="Z345" i="27"/>
  <c r="Z349" i="27"/>
  <c r="Z353" i="27"/>
  <c r="Z357" i="27"/>
  <c r="Z361" i="27"/>
  <c r="Z365" i="27"/>
  <c r="Z369" i="27"/>
  <c r="Z373" i="27"/>
  <c r="Z377" i="27"/>
  <c r="Z381" i="27"/>
  <c r="Z385" i="27"/>
  <c r="Z389" i="27"/>
  <c r="Z393" i="27"/>
  <c r="Z397" i="27"/>
  <c r="Z401" i="27"/>
  <c r="Z405" i="27"/>
  <c r="Z409" i="27"/>
  <c r="Z413" i="27"/>
  <c r="Z417" i="27"/>
  <c r="Z421" i="27"/>
  <c r="Z425" i="27"/>
  <c r="Z429" i="27"/>
  <c r="Z433" i="27"/>
  <c r="Z347" i="27"/>
  <c r="Z338" i="27"/>
  <c r="Z342" i="27"/>
  <c r="Z346" i="27"/>
  <c r="Z350" i="27"/>
  <c r="Z354" i="27"/>
  <c r="Z358" i="27"/>
  <c r="Z362" i="27"/>
  <c r="Z366" i="27"/>
  <c r="Z370" i="27"/>
  <c r="Z374" i="27"/>
  <c r="Z378" i="27"/>
  <c r="Z382" i="27"/>
  <c r="Z386" i="27"/>
  <c r="Z390" i="27"/>
  <c r="Z394" i="27"/>
  <c r="Z398" i="27"/>
  <c r="Z402" i="27"/>
  <c r="Z406" i="27"/>
  <c r="Z410" i="27"/>
  <c r="Z414" i="27"/>
  <c r="Z418" i="27"/>
  <c r="Z422" i="27"/>
  <c r="Z426" i="27"/>
  <c r="Z430" i="27"/>
  <c r="Z434" i="27"/>
  <c r="Z339" i="27"/>
  <c r="Z351" i="27"/>
  <c r="Z355" i="27"/>
  <c r="Z359" i="27"/>
  <c r="Z363" i="27"/>
  <c r="Z367" i="27"/>
  <c r="Z375" i="27"/>
  <c r="Z387" i="27"/>
  <c r="Z391" i="27"/>
  <c r="Z399" i="27"/>
  <c r="Z407" i="27"/>
  <c r="Z415" i="27"/>
  <c r="Z423" i="27"/>
  <c r="Z431" i="27"/>
  <c r="AC230" i="27"/>
  <c r="AC231" i="27"/>
  <c r="AC235" i="27"/>
  <c r="AC239" i="27"/>
  <c r="AC243" i="27"/>
  <c r="AC247" i="27"/>
  <c r="AC251" i="27"/>
  <c r="AC255" i="27"/>
  <c r="AC259" i="27"/>
  <c r="AC263" i="27"/>
  <c r="AC267" i="27"/>
  <c r="AC271" i="27"/>
  <c r="AC275" i="27"/>
  <c r="AC279" i="27"/>
  <c r="AC283" i="27"/>
  <c r="AC287" i="27"/>
  <c r="AC291" i="27"/>
  <c r="AC295" i="27"/>
  <c r="AC299" i="27"/>
  <c r="AC303" i="27"/>
  <c r="AC307" i="27"/>
  <c r="AC311" i="27"/>
  <c r="AC315" i="27"/>
  <c r="AC319" i="27"/>
  <c r="AC323" i="27"/>
  <c r="AC327" i="27"/>
  <c r="AC238" i="27"/>
  <c r="AC250" i="27"/>
  <c r="AC258" i="27"/>
  <c r="AC262" i="27"/>
  <c r="AC270" i="27"/>
  <c r="AC278" i="27"/>
  <c r="AC286" i="27"/>
  <c r="AC294" i="27"/>
  <c r="AC302" i="27"/>
  <c r="AC314" i="27"/>
  <c r="AC318" i="27"/>
  <c r="AC232" i="27"/>
  <c r="AC236" i="27"/>
  <c r="AC240" i="27"/>
  <c r="AC244" i="27"/>
  <c r="AC248" i="27"/>
  <c r="AC252" i="27"/>
  <c r="AC256" i="27"/>
  <c r="AC260" i="27"/>
  <c r="AC264" i="27"/>
  <c r="AC268" i="27"/>
  <c r="AC272" i="27"/>
  <c r="AC276" i="27"/>
  <c r="AC280" i="27"/>
  <c r="AC284" i="27"/>
  <c r="AC288" i="27"/>
  <c r="AC292" i="27"/>
  <c r="AC296" i="27"/>
  <c r="AC300" i="27"/>
  <c r="AC304" i="27"/>
  <c r="AC308" i="27"/>
  <c r="AC312" i="27"/>
  <c r="AC316" i="27"/>
  <c r="AC320" i="27"/>
  <c r="AC324" i="27"/>
  <c r="AC328" i="27"/>
  <c r="AC234" i="27"/>
  <c r="AC246" i="27"/>
  <c r="AC254" i="27"/>
  <c r="AC266" i="27"/>
  <c r="AC274" i="27"/>
  <c r="AC282" i="27"/>
  <c r="AC290" i="27"/>
  <c r="AC298" i="27"/>
  <c r="AC310" i="27"/>
  <c r="AC322" i="27"/>
  <c r="AC233" i="27"/>
  <c r="AC237" i="27"/>
  <c r="AC241" i="27"/>
  <c r="AC245" i="27"/>
  <c r="AC249" i="27"/>
  <c r="AC253" i="27"/>
  <c r="AC257" i="27"/>
  <c r="AC261" i="27"/>
  <c r="AC265" i="27"/>
  <c r="AC269" i="27"/>
  <c r="AC273" i="27"/>
  <c r="AC277" i="27"/>
  <c r="AC281" i="27"/>
  <c r="AC285" i="27"/>
  <c r="AC289" i="27"/>
  <c r="AC293" i="27"/>
  <c r="AC297" i="27"/>
  <c r="AC301" i="27"/>
  <c r="AC305" i="27"/>
  <c r="AC309" i="27"/>
  <c r="AC313" i="27"/>
  <c r="AC317" i="27"/>
  <c r="AC321" i="27"/>
  <c r="AC325" i="27"/>
  <c r="AC329" i="27"/>
  <c r="AC242" i="27"/>
  <c r="AC306" i="27"/>
  <c r="AC326" i="27"/>
  <c r="Z231" i="27"/>
  <c r="Z235" i="27"/>
  <c r="Z239" i="27"/>
  <c r="Z243" i="27"/>
  <c r="Z247" i="27"/>
  <c r="Z251" i="27"/>
  <c r="Z255" i="27"/>
  <c r="Z259" i="27"/>
  <c r="Z263" i="27"/>
  <c r="Z267" i="27"/>
  <c r="Z271" i="27"/>
  <c r="Z275" i="27"/>
  <c r="Z279" i="27"/>
  <c r="Z283" i="27"/>
  <c r="Z287" i="27"/>
  <c r="Z291" i="27"/>
  <c r="Z295" i="27"/>
  <c r="Z299" i="27"/>
  <c r="Z303" i="27"/>
  <c r="Z307" i="27"/>
  <c r="Z311" i="27"/>
  <c r="Z315" i="27"/>
  <c r="Z319" i="27"/>
  <c r="Z323" i="27"/>
  <c r="Z327" i="27"/>
  <c r="Z232" i="27"/>
  <c r="Z236" i="27"/>
  <c r="Z240" i="27"/>
  <c r="Z244" i="27"/>
  <c r="Z248" i="27"/>
  <c r="Z252" i="27"/>
  <c r="Z256" i="27"/>
  <c r="Z260" i="27"/>
  <c r="Z264" i="27"/>
  <c r="Z268" i="27"/>
  <c r="Z272" i="27"/>
  <c r="Z276" i="27"/>
  <c r="Z280" i="27"/>
  <c r="Z284" i="27"/>
  <c r="Z288" i="27"/>
  <c r="Z292" i="27"/>
  <c r="Z296" i="27"/>
  <c r="Z300" i="27"/>
  <c r="Z304" i="27"/>
  <c r="Z308" i="27"/>
  <c r="Z312" i="27"/>
  <c r="Z316" i="27"/>
  <c r="Z320" i="27"/>
  <c r="Z324" i="27"/>
  <c r="Z328" i="27"/>
  <c r="Z234" i="27"/>
  <c r="Z242" i="27"/>
  <c r="Z246" i="27"/>
  <c r="Z250" i="27"/>
  <c r="Z254" i="27"/>
  <c r="Z258" i="27"/>
  <c r="Z262" i="27"/>
  <c r="Z266" i="27"/>
  <c r="Z270" i="27"/>
  <c r="Z274" i="27"/>
  <c r="Z278" i="27"/>
  <c r="Z282" i="27"/>
  <c r="Z286" i="27"/>
  <c r="Z294" i="27"/>
  <c r="Z298" i="27"/>
  <c r="Z306" i="27"/>
  <c r="Z314" i="27"/>
  <c r="Z322" i="27"/>
  <c r="Z326" i="27"/>
  <c r="Z233" i="27"/>
  <c r="Z237" i="27"/>
  <c r="Z241" i="27"/>
  <c r="Z245" i="27"/>
  <c r="Z249" i="27"/>
  <c r="Z253" i="27"/>
  <c r="Z257" i="27"/>
  <c r="Z261" i="27"/>
  <c r="Z265" i="27"/>
  <c r="Z269" i="27"/>
  <c r="Z273" i="27"/>
  <c r="Z277" i="27"/>
  <c r="Z281" i="27"/>
  <c r="Z285" i="27"/>
  <c r="Z289" i="27"/>
  <c r="Z293" i="27"/>
  <c r="Z297" i="27"/>
  <c r="Z301" i="27"/>
  <c r="Z305" i="27"/>
  <c r="Z309" i="27"/>
  <c r="Z313" i="27"/>
  <c r="Z317" i="27"/>
  <c r="Z321" i="27"/>
  <c r="Z325" i="27"/>
  <c r="Z329" i="27"/>
  <c r="Z238" i="27"/>
  <c r="Z290" i="27"/>
  <c r="Z302" i="27"/>
  <c r="Z310" i="27"/>
  <c r="Z318" i="27"/>
  <c r="AC125" i="27"/>
  <c r="AC126" i="27"/>
  <c r="AC130" i="27"/>
  <c r="AC134" i="27"/>
  <c r="AC138" i="27"/>
  <c r="AC142" i="27"/>
  <c r="AC146" i="27"/>
  <c r="AC150" i="27"/>
  <c r="AC154" i="27"/>
  <c r="AC158" i="27"/>
  <c r="AC162" i="27"/>
  <c r="AC166" i="27"/>
  <c r="AC170" i="27"/>
  <c r="AC174" i="27"/>
  <c r="AC178" i="27"/>
  <c r="AC182" i="27"/>
  <c r="AC186" i="27"/>
  <c r="AC190" i="27"/>
  <c r="AC194" i="27"/>
  <c r="AC198" i="27"/>
  <c r="AC202" i="27"/>
  <c r="AC206" i="27"/>
  <c r="AC210" i="27"/>
  <c r="AC214" i="27"/>
  <c r="AC218" i="27"/>
  <c r="AC222" i="27"/>
  <c r="AC137" i="27"/>
  <c r="AC145" i="27"/>
  <c r="AC149" i="27"/>
  <c r="AC161" i="27"/>
  <c r="AC173" i="27"/>
  <c r="AC185" i="27"/>
  <c r="AC197" i="27"/>
  <c r="AC205" i="27"/>
  <c r="AC217" i="27"/>
  <c r="AC127" i="27"/>
  <c r="AC131" i="27"/>
  <c r="AC135" i="27"/>
  <c r="AC139" i="27"/>
  <c r="AC143" i="27"/>
  <c r="AC147" i="27"/>
  <c r="AC151" i="27"/>
  <c r="AC155" i="27"/>
  <c r="AC159" i="27"/>
  <c r="AC163" i="27"/>
  <c r="AC167" i="27"/>
  <c r="AC171" i="27"/>
  <c r="AC175" i="27"/>
  <c r="AC179" i="27"/>
  <c r="AC183" i="27"/>
  <c r="AC187" i="27"/>
  <c r="AC191" i="27"/>
  <c r="AC195" i="27"/>
  <c r="AC199" i="27"/>
  <c r="AC203" i="27"/>
  <c r="AC207" i="27"/>
  <c r="AC211" i="27"/>
  <c r="AC215" i="27"/>
  <c r="AC219" i="27"/>
  <c r="AC223" i="27"/>
  <c r="AC129" i="27"/>
  <c r="AC141" i="27"/>
  <c r="AC153" i="27"/>
  <c r="AC165" i="27"/>
  <c r="AC177" i="27"/>
  <c r="AC189" i="27"/>
  <c r="AC201" i="27"/>
  <c r="AC213" i="27"/>
  <c r="AC128" i="27"/>
  <c r="AC132" i="27"/>
  <c r="AC136" i="27"/>
  <c r="AC140" i="27"/>
  <c r="AC144" i="27"/>
  <c r="AC148" i="27"/>
  <c r="AC152" i="27"/>
  <c r="AC156" i="27"/>
  <c r="AC160" i="27"/>
  <c r="AC164" i="27"/>
  <c r="AC168" i="27"/>
  <c r="AC172" i="27"/>
  <c r="AC176" i="27"/>
  <c r="AC180" i="27"/>
  <c r="AC184" i="27"/>
  <c r="AC188" i="27"/>
  <c r="AC192" i="27"/>
  <c r="AC196" i="27"/>
  <c r="AC200" i="27"/>
  <c r="AC204" i="27"/>
  <c r="AC208" i="27"/>
  <c r="AC212" i="27"/>
  <c r="AC216" i="27"/>
  <c r="AC220" i="27"/>
  <c r="AC224" i="27"/>
  <c r="AC133" i="27"/>
  <c r="AC157" i="27"/>
  <c r="AC169" i="27"/>
  <c r="AC181" i="27"/>
  <c r="AC193" i="27"/>
  <c r="AC209" i="27"/>
  <c r="AC221" i="27"/>
  <c r="Z126" i="27"/>
  <c r="Z130" i="27"/>
  <c r="Z134" i="27"/>
  <c r="Z138" i="27"/>
  <c r="Z142" i="27"/>
  <c r="Z146" i="27"/>
  <c r="Z150" i="27"/>
  <c r="Z154" i="27"/>
  <c r="Z158" i="27"/>
  <c r="Z162" i="27"/>
  <c r="Z166" i="27"/>
  <c r="Z170" i="27"/>
  <c r="Z174" i="27"/>
  <c r="Z178" i="27"/>
  <c r="Z182" i="27"/>
  <c r="Z186" i="27"/>
  <c r="Z190" i="27"/>
  <c r="Z194" i="27"/>
  <c r="Z198" i="27"/>
  <c r="Z202" i="27"/>
  <c r="Z206" i="27"/>
  <c r="Z210" i="27"/>
  <c r="Z214" i="27"/>
  <c r="Z218" i="27"/>
  <c r="Z222" i="27"/>
  <c r="Z137" i="27"/>
  <c r="Z127" i="27"/>
  <c r="Z131" i="27"/>
  <c r="Z135" i="27"/>
  <c r="Z139" i="27"/>
  <c r="Z143" i="27"/>
  <c r="Z147" i="27"/>
  <c r="Z151" i="27"/>
  <c r="Z155" i="27"/>
  <c r="Z159" i="27"/>
  <c r="Z163" i="27"/>
  <c r="Z167" i="27"/>
  <c r="Z171" i="27"/>
  <c r="Z175" i="27"/>
  <c r="Z179" i="27"/>
  <c r="Z183" i="27"/>
  <c r="Z187" i="27"/>
  <c r="Z191" i="27"/>
  <c r="Z195" i="27"/>
  <c r="Z199" i="27"/>
  <c r="Z203" i="27"/>
  <c r="Z207" i="27"/>
  <c r="Z211" i="27"/>
  <c r="Z215" i="27"/>
  <c r="Z219" i="27"/>
  <c r="Z223" i="27"/>
  <c r="Z129" i="27"/>
  <c r="Z145" i="27"/>
  <c r="Z153" i="27"/>
  <c r="Z161" i="27"/>
  <c r="Z169" i="27"/>
  <c r="Z173" i="27"/>
  <c r="Z181" i="27"/>
  <c r="Z189" i="27"/>
  <c r="Z197" i="27"/>
  <c r="Z209" i="27"/>
  <c r="Z217" i="27"/>
  <c r="Z128" i="27"/>
  <c r="Z132" i="27"/>
  <c r="Z136" i="27"/>
  <c r="Z140" i="27"/>
  <c r="Z144" i="27"/>
  <c r="Z148" i="27"/>
  <c r="Z152" i="27"/>
  <c r="Z156" i="27"/>
  <c r="Z160" i="27"/>
  <c r="Z164" i="27"/>
  <c r="Z168" i="27"/>
  <c r="Z172" i="27"/>
  <c r="Z176" i="27"/>
  <c r="Z180" i="27"/>
  <c r="Z184" i="27"/>
  <c r="Z188" i="27"/>
  <c r="Z192" i="27"/>
  <c r="Z196" i="27"/>
  <c r="Z200" i="27"/>
  <c r="Z204" i="27"/>
  <c r="Z208" i="27"/>
  <c r="Z212" i="27"/>
  <c r="Z216" i="27"/>
  <c r="Z220" i="27"/>
  <c r="Z224" i="27"/>
  <c r="Z133" i="27"/>
  <c r="Z141" i="27"/>
  <c r="Z149" i="27"/>
  <c r="Z157" i="27"/>
  <c r="Z165" i="27"/>
  <c r="Z177" i="27"/>
  <c r="Z185" i="27"/>
  <c r="Z193" i="27"/>
  <c r="Z201" i="27"/>
  <c r="Z205" i="27"/>
  <c r="Z213" i="27"/>
  <c r="Z221" i="27"/>
  <c r="AC20" i="27"/>
  <c r="AC21" i="27"/>
  <c r="AC25" i="27"/>
  <c r="AC29" i="27"/>
  <c r="AC33" i="27"/>
  <c r="AC37" i="27"/>
  <c r="AC41" i="27"/>
  <c r="AC45" i="27"/>
  <c r="AC49" i="27"/>
  <c r="AC53" i="27"/>
  <c r="AC57" i="27"/>
  <c r="AC61" i="27"/>
  <c r="AC65" i="27"/>
  <c r="AC69" i="27"/>
  <c r="AC73" i="27"/>
  <c r="AC77" i="27"/>
  <c r="AC81" i="27"/>
  <c r="AC85" i="27"/>
  <c r="AC89" i="27"/>
  <c r="AC93" i="27"/>
  <c r="AC97" i="27"/>
  <c r="AC101" i="27"/>
  <c r="AC105" i="27"/>
  <c r="AC109" i="27"/>
  <c r="AC113" i="27"/>
  <c r="AC117" i="27"/>
  <c r="AC22" i="27"/>
  <c r="AC26" i="27"/>
  <c r="AC30" i="27"/>
  <c r="AC34" i="27"/>
  <c r="AC38" i="27"/>
  <c r="AC42" i="27"/>
  <c r="AC46" i="27"/>
  <c r="AC50" i="27"/>
  <c r="AC54" i="27"/>
  <c r="AC58" i="27"/>
  <c r="AC62" i="27"/>
  <c r="AC66" i="27"/>
  <c r="AC70" i="27"/>
  <c r="AC74" i="27"/>
  <c r="AC78" i="27"/>
  <c r="AC82" i="27"/>
  <c r="AC86" i="27"/>
  <c r="AC90" i="27"/>
  <c r="AC94" i="27"/>
  <c r="AC98" i="27"/>
  <c r="AC102" i="27"/>
  <c r="AC106" i="27"/>
  <c r="AC110" i="27"/>
  <c r="AC114" i="27"/>
  <c r="AC118" i="27"/>
  <c r="AC28" i="27"/>
  <c r="AC32" i="27"/>
  <c r="AC40" i="27"/>
  <c r="AC48" i="27"/>
  <c r="AC60" i="27"/>
  <c r="AC68" i="27"/>
  <c r="AC72" i="27"/>
  <c r="AC76" i="27"/>
  <c r="AC80" i="27"/>
  <c r="AC84" i="27"/>
  <c r="AC88" i="27"/>
  <c r="AC92" i="27"/>
  <c r="AC96" i="27"/>
  <c r="AC100" i="27"/>
  <c r="AC104" i="27"/>
  <c r="AC108" i="27"/>
  <c r="AC112" i="27"/>
  <c r="AC116" i="27"/>
  <c r="AC23" i="27"/>
  <c r="AC27" i="27"/>
  <c r="AC31" i="27"/>
  <c r="AC35" i="27"/>
  <c r="AC39" i="27"/>
  <c r="AC43" i="27"/>
  <c r="AC47" i="27"/>
  <c r="AC51" i="27"/>
  <c r="AC55" i="27"/>
  <c r="AC59" i="27"/>
  <c r="AC63" i="27"/>
  <c r="AC67" i="27"/>
  <c r="AC71" i="27"/>
  <c r="AC75" i="27"/>
  <c r="AC79" i="27"/>
  <c r="AC83" i="27"/>
  <c r="AC87" i="27"/>
  <c r="AC91" i="27"/>
  <c r="AC95" i="27"/>
  <c r="AC99" i="27"/>
  <c r="AC103" i="27"/>
  <c r="AC107" i="27"/>
  <c r="AC111" i="27"/>
  <c r="AC115" i="27"/>
  <c r="AC119" i="27"/>
  <c r="AC24" i="27"/>
  <c r="AC36" i="27"/>
  <c r="AC44" i="27"/>
  <c r="AC52" i="27"/>
  <c r="AC56" i="27"/>
  <c r="AC64" i="27"/>
  <c r="Z21" i="27"/>
  <c r="Z25" i="27"/>
  <c r="Z29" i="27"/>
  <c r="Z33" i="27"/>
  <c r="Z37" i="27"/>
  <c r="Z41" i="27"/>
  <c r="Z45" i="27"/>
  <c r="Z49" i="27"/>
  <c r="Z53" i="27"/>
  <c r="Z57" i="27"/>
  <c r="Z61" i="27"/>
  <c r="Z65" i="27"/>
  <c r="Z69" i="27"/>
  <c r="Z73" i="27"/>
  <c r="Z77" i="27"/>
  <c r="Z81" i="27"/>
  <c r="Z85" i="27"/>
  <c r="Z89" i="27"/>
  <c r="Z93" i="27"/>
  <c r="Z97" i="27"/>
  <c r="Z101" i="27"/>
  <c r="Z105" i="27"/>
  <c r="Z109" i="27"/>
  <c r="Z113" i="27"/>
  <c r="Z117" i="27"/>
  <c r="Z32" i="27"/>
  <c r="Z40" i="27"/>
  <c r="Z52" i="27"/>
  <c r="Z68" i="27"/>
  <c r="Z76" i="27"/>
  <c r="Z88" i="27"/>
  <c r="Z100" i="27"/>
  <c r="Z112" i="27"/>
  <c r="Z22" i="27"/>
  <c r="Z26" i="27"/>
  <c r="Z30" i="27"/>
  <c r="Z34" i="27"/>
  <c r="Z38" i="27"/>
  <c r="Z42" i="27"/>
  <c r="Z46" i="27"/>
  <c r="Z50" i="27"/>
  <c r="Z54" i="27"/>
  <c r="Z58" i="27"/>
  <c r="Z62" i="27"/>
  <c r="Z66" i="27"/>
  <c r="Z70" i="27"/>
  <c r="Z74" i="27"/>
  <c r="Z78" i="27"/>
  <c r="Z82" i="27"/>
  <c r="Z86" i="27"/>
  <c r="Z90" i="27"/>
  <c r="Z94" i="27"/>
  <c r="Z98" i="27"/>
  <c r="Z102" i="27"/>
  <c r="Z106" i="27"/>
  <c r="Z110" i="27"/>
  <c r="Z114" i="27"/>
  <c r="Z118" i="27"/>
  <c r="Z24" i="27"/>
  <c r="Z44" i="27"/>
  <c r="Z56" i="27"/>
  <c r="Z64" i="27"/>
  <c r="Z80" i="27"/>
  <c r="Z84" i="27"/>
  <c r="Z96" i="27"/>
  <c r="Z108" i="27"/>
  <c r="Z116" i="27"/>
  <c r="Z23" i="27"/>
  <c r="Z27" i="27"/>
  <c r="Z31" i="27"/>
  <c r="Z35" i="27"/>
  <c r="Z39" i="27"/>
  <c r="Z43" i="27"/>
  <c r="Z47" i="27"/>
  <c r="Z51" i="27"/>
  <c r="Z55" i="27"/>
  <c r="Z59" i="27"/>
  <c r="Z63" i="27"/>
  <c r="Z67" i="27"/>
  <c r="Z71" i="27"/>
  <c r="Z75" i="27"/>
  <c r="Z79" i="27"/>
  <c r="Z83" i="27"/>
  <c r="Z87" i="27"/>
  <c r="Z91" i="27"/>
  <c r="Z95" i="27"/>
  <c r="Z99" i="27"/>
  <c r="Z103" i="27"/>
  <c r="Z107" i="27"/>
  <c r="Z111" i="27"/>
  <c r="Z115" i="27"/>
  <c r="Z119" i="27"/>
  <c r="Z28" i="27"/>
  <c r="Z36" i="27"/>
  <c r="Z48" i="27"/>
  <c r="Z60" i="27"/>
  <c r="Z72" i="27"/>
  <c r="Z92" i="27"/>
  <c r="Z104" i="27"/>
  <c r="J11" i="42" l="1"/>
  <c r="W12" i="39"/>
  <c r="U12" i="39"/>
  <c r="S12" i="39"/>
  <c r="Q12" i="39"/>
  <c r="O12" i="39"/>
  <c r="M12" i="39"/>
  <c r="K12" i="39"/>
  <c r="I12" i="39"/>
  <c r="G12" i="39"/>
  <c r="E12" i="39"/>
  <c r="C12" i="39"/>
  <c r="M35" i="38"/>
  <c r="I35" i="38"/>
  <c r="G35" i="38"/>
  <c r="E35" i="38"/>
  <c r="M11" i="38"/>
  <c r="I11" i="38"/>
  <c r="G11" i="38"/>
  <c r="R7" i="38" s="1"/>
  <c r="G50" i="4" s="1"/>
  <c r="E11" i="38"/>
  <c r="G65" i="47" l="1"/>
  <c r="G60" i="47"/>
  <c r="E60" i="47"/>
  <c r="G51" i="47"/>
  <c r="G43" i="47"/>
  <c r="E43" i="47"/>
  <c r="G39" i="47"/>
  <c r="G25" i="47"/>
  <c r="E25" i="47"/>
  <c r="I21" i="47"/>
  <c r="G18" i="47"/>
  <c r="G20" i="47" s="1"/>
  <c r="G5" i="47"/>
  <c r="E5" i="47"/>
  <c r="G54" i="47" l="1"/>
  <c r="G56" i="47" s="1"/>
  <c r="AD25" i="46"/>
  <c r="AF25" i="46" s="1"/>
  <c r="Z37" i="46"/>
  <c r="X37" i="46"/>
  <c r="V37" i="46"/>
  <c r="T37" i="46"/>
  <c r="R37" i="46"/>
  <c r="P37" i="46"/>
  <c r="N37" i="46"/>
  <c r="L37" i="46"/>
  <c r="J37" i="46"/>
  <c r="H37" i="46"/>
  <c r="F37" i="46"/>
  <c r="D37" i="46"/>
  <c r="J19" i="46" l="1" a="1"/>
  <c r="J19" i="46" s="1"/>
  <c r="P19" i="46" a="1"/>
  <c r="P19" i="46" s="1"/>
  <c r="T19" i="46" a="1"/>
  <c r="T19" i="46" s="1"/>
  <c r="Z19" i="46" a="1"/>
  <c r="Z19" i="46" s="1"/>
  <c r="X19" i="46" a="1"/>
  <c r="X19" i="46" s="1"/>
  <c r="V19" i="46" a="1"/>
  <c r="V19" i="46" s="1"/>
  <c r="R19" i="46" a="1"/>
  <c r="R19" i="46" s="1"/>
  <c r="N19" i="46" a="1"/>
  <c r="N19" i="46" s="1"/>
  <c r="L19" i="46" a="1"/>
  <c r="L19" i="46" s="1"/>
  <c r="H19" i="46" a="1"/>
  <c r="H19" i="46" s="1"/>
  <c r="F19" i="46" a="1"/>
  <c r="F19" i="46" s="1"/>
  <c r="D19" i="46" a="1"/>
  <c r="D19" i="46" s="1"/>
  <c r="Z17" i="46" l="1"/>
  <c r="Z21" i="46" s="1"/>
  <c r="X17" i="46"/>
  <c r="V17" i="46"/>
  <c r="V21" i="46" s="1"/>
  <c r="T17" i="46"/>
  <c r="R17" i="46"/>
  <c r="R21" i="46" s="1"/>
  <c r="P17" i="46"/>
  <c r="N17" i="46"/>
  <c r="N21" i="46" s="1"/>
  <c r="L17" i="46"/>
  <c r="J17" i="46"/>
  <c r="J21" i="46" s="1"/>
  <c r="H17" i="46"/>
  <c r="F17" i="46"/>
  <c r="F21" i="46" s="1"/>
  <c r="D17" i="46"/>
  <c r="X21" i="46" l="1"/>
  <c r="X27" i="46" s="1"/>
  <c r="T21" i="46"/>
  <c r="T27" i="46" s="1"/>
  <c r="T39" i="46" s="1"/>
  <c r="P21" i="46"/>
  <c r="P27" i="46" s="1"/>
  <c r="L21" i="46"/>
  <c r="L27" i="46" s="1"/>
  <c r="H21" i="46"/>
  <c r="H27" i="46" s="1"/>
  <c r="H39" i="46" s="1"/>
  <c r="D21" i="46"/>
  <c r="D27" i="46" s="1"/>
  <c r="AF19" i="46"/>
  <c r="AF21" i="46" s="1"/>
  <c r="F27" i="46"/>
  <c r="F39" i="46" s="1"/>
  <c r="J27" i="46"/>
  <c r="J39" i="46" s="1"/>
  <c r="N27" i="46"/>
  <c r="N39" i="46" s="1"/>
  <c r="R27" i="46"/>
  <c r="R39" i="46" s="1"/>
  <c r="V27" i="46"/>
  <c r="V39" i="46" s="1"/>
  <c r="Z27" i="46"/>
  <c r="Z39" i="46" s="1"/>
  <c r="X39" i="46" l="1"/>
  <c r="X41" i="46"/>
  <c r="T41" i="46"/>
  <c r="P39" i="46"/>
  <c r="P41" i="46"/>
  <c r="L39" i="46"/>
  <c r="L41" i="46"/>
  <c r="H41" i="46"/>
  <c r="D39" i="46"/>
  <c r="D41" i="46"/>
  <c r="R41" i="46"/>
  <c r="AF27" i="46"/>
  <c r="J41" i="46"/>
  <c r="V41" i="46"/>
  <c r="N41" i="46"/>
  <c r="F41" i="46"/>
  <c r="AB27" i="46"/>
  <c r="AB37" i="46" l="1"/>
  <c r="AB39" i="46" s="1"/>
  <c r="F14" i="15" l="1"/>
  <c r="B4" i="42"/>
  <c r="B4" i="41"/>
  <c r="W34" i="39"/>
  <c r="Q34" i="39"/>
  <c r="K34" i="39"/>
  <c r="U30" i="39"/>
  <c r="S30" i="39"/>
  <c r="O30" i="39"/>
  <c r="M30" i="39"/>
  <c r="I30" i="39"/>
  <c r="G30" i="39"/>
  <c r="E30" i="39"/>
  <c r="C30" i="39"/>
  <c r="W26" i="39"/>
  <c r="Y26" i="39" s="1"/>
  <c r="Q26" i="39"/>
  <c r="K26" i="39"/>
  <c r="W25" i="39"/>
  <c r="Y25" i="39" s="1"/>
  <c r="Q25" i="39"/>
  <c r="K25" i="39"/>
  <c r="W24" i="39"/>
  <c r="Y24" i="39" s="1"/>
  <c r="Q24" i="39"/>
  <c r="K24" i="39"/>
  <c r="W23" i="39"/>
  <c r="Y23" i="39" s="1"/>
  <c r="Q23" i="39"/>
  <c r="K23" i="39"/>
  <c r="W22" i="39"/>
  <c r="Y22" i="39" s="1"/>
  <c r="Q22" i="39"/>
  <c r="K22" i="39"/>
  <c r="W21" i="39"/>
  <c r="Y21" i="39" s="1"/>
  <c r="Q21" i="39"/>
  <c r="K21" i="39"/>
  <c r="W20" i="39"/>
  <c r="Y20" i="39" s="1"/>
  <c r="Q20" i="39"/>
  <c r="K20" i="39"/>
  <c r="W19" i="39"/>
  <c r="Y19" i="39" s="1"/>
  <c r="Q19" i="39"/>
  <c r="K19" i="39"/>
  <c r="W18" i="39"/>
  <c r="Y18" i="39" s="1"/>
  <c r="Q18" i="39"/>
  <c r="K18" i="39"/>
  <c r="W17" i="39"/>
  <c r="Y17" i="39" s="1"/>
  <c r="Q17" i="39"/>
  <c r="K17" i="39"/>
  <c r="W16" i="39"/>
  <c r="Y16" i="39" s="1"/>
  <c r="Q16" i="39"/>
  <c r="K16" i="39"/>
  <c r="W15" i="39"/>
  <c r="K15" i="39"/>
  <c r="W14" i="39"/>
  <c r="Q14" i="39"/>
  <c r="K14" i="39"/>
  <c r="A4" i="38"/>
  <c r="I46" i="38"/>
  <c r="I45" i="38"/>
  <c r="I44" i="38"/>
  <c r="I43" i="38"/>
  <c r="I42" i="38"/>
  <c r="I41" i="38"/>
  <c r="I40" i="38"/>
  <c r="I39" i="38"/>
  <c r="I38" i="38"/>
  <c r="I37" i="38"/>
  <c r="I24" i="38"/>
  <c r="I23" i="38"/>
  <c r="I22" i="38"/>
  <c r="I21" i="38"/>
  <c r="I20" i="38"/>
  <c r="I19" i="38"/>
  <c r="I18" i="38"/>
  <c r="I17" i="38"/>
  <c r="I16" i="38"/>
  <c r="I15" i="38"/>
  <c r="I14" i="38"/>
  <c r="I13" i="38"/>
  <c r="B4" i="37"/>
  <c r="Y34" i="39" l="1"/>
  <c r="Y15" i="39"/>
  <c r="Q30" i="39"/>
  <c r="Q36" i="39" s="1"/>
  <c r="K30" i="39"/>
  <c r="K36" i="39" s="1"/>
  <c r="W38" i="39" s="1"/>
  <c r="W30" i="39"/>
  <c r="Y14" i="39"/>
  <c r="Y30" i="39" l="1"/>
  <c r="W36" i="39"/>
  <c r="Y36" i="39" s="1"/>
  <c r="W44" i="39"/>
  <c r="W42" i="39" l="1"/>
  <c r="W40" i="39"/>
  <c r="F32" i="32"/>
  <c r="F31" i="32"/>
  <c r="F30" i="32"/>
  <c r="E46" i="35"/>
  <c r="E49" i="47" l="1"/>
  <c r="I49" i="47" s="1"/>
  <c r="J100" i="10"/>
  <c r="J102" i="10" s="1"/>
  <c r="H102" i="10"/>
  <c r="F102" i="10"/>
  <c r="F93" i="10"/>
  <c r="D102" i="10"/>
  <c r="Q8" i="14" l="1"/>
  <c r="BM52" i="33"/>
  <c r="BM28" i="33"/>
  <c r="BM29" i="33"/>
  <c r="BM30" i="33"/>
  <c r="BM31" i="33"/>
  <c r="BM32" i="33"/>
  <c r="BM33" i="33"/>
  <c r="BM34" i="33"/>
  <c r="BM35" i="33"/>
  <c r="BM36" i="33"/>
  <c r="BM37" i="33"/>
  <c r="BM38" i="33"/>
  <c r="BM39" i="33"/>
  <c r="BM40" i="33"/>
  <c r="BM41" i="33"/>
  <c r="BM42" i="33"/>
  <c r="BM43" i="33"/>
  <c r="BM44" i="33"/>
  <c r="BM45" i="33"/>
  <c r="BM46" i="33"/>
  <c r="BM47" i="33"/>
  <c r="BM48" i="33"/>
  <c r="BM49" i="33"/>
  <c r="BM50" i="33"/>
  <c r="BM51" i="33"/>
  <c r="BM53" i="33"/>
  <c r="BM54" i="33"/>
  <c r="BM55" i="33"/>
  <c r="BM56" i="33"/>
  <c r="BM57" i="33"/>
  <c r="Q335" i="27"/>
  <c r="Q230" i="27"/>
  <c r="Q125" i="27"/>
  <c r="Q20" i="27"/>
  <c r="Q11" i="27"/>
  <c r="Q10" i="27"/>
  <c r="Q9" i="27"/>
  <c r="Q8" i="27"/>
  <c r="F94" i="6"/>
  <c r="X17" i="33" s="1"/>
  <c r="Q1183" i="14"/>
  <c r="Q1078" i="14"/>
  <c r="Q973" i="14"/>
  <c r="Q868" i="14"/>
  <c r="Q763" i="14"/>
  <c r="Q658" i="14"/>
  <c r="Q553" i="14"/>
  <c r="Q448" i="14"/>
  <c r="Q343" i="14"/>
  <c r="Q238" i="14"/>
  <c r="Q133" i="14"/>
  <c r="Q28" i="14"/>
  <c r="Q19" i="14"/>
  <c r="Q18" i="14"/>
  <c r="Q17" i="14"/>
  <c r="K81" i="22" s="1"/>
  <c r="Q16" i="14"/>
  <c r="K80" i="22" s="1"/>
  <c r="Q15" i="14"/>
  <c r="K79" i="22" s="1"/>
  <c r="Q14" i="14"/>
  <c r="Q13" i="14"/>
  <c r="K77" i="22" s="1"/>
  <c r="Q12" i="14"/>
  <c r="K76" i="22" s="1"/>
  <c r="Q11" i="14"/>
  <c r="Q10" i="14"/>
  <c r="Q9" i="14"/>
  <c r="F28" i="32"/>
  <c r="S8" i="27"/>
  <c r="L63" i="35" s="1"/>
  <c r="S8" i="14"/>
  <c r="S11" i="27"/>
  <c r="L66" i="35" s="1"/>
  <c r="S10" i="27"/>
  <c r="L65" i="35" s="1"/>
  <c r="S9" i="27"/>
  <c r="L64" i="35" s="1"/>
  <c r="S19" i="14"/>
  <c r="M83" i="22" s="1"/>
  <c r="S18" i="14"/>
  <c r="M82" i="22" s="1"/>
  <c r="S17" i="14"/>
  <c r="S16" i="14"/>
  <c r="S15" i="14"/>
  <c r="S14" i="14"/>
  <c r="M78" i="22" s="1"/>
  <c r="S13" i="14"/>
  <c r="S12" i="14"/>
  <c r="M76" i="22" s="1"/>
  <c r="S11" i="14"/>
  <c r="S10" i="14"/>
  <c r="S9" i="14"/>
  <c r="M73" i="22" s="1"/>
  <c r="C1180" i="14"/>
  <c r="C1075" i="14"/>
  <c r="C970" i="14"/>
  <c r="C332" i="27"/>
  <c r="F435" i="27"/>
  <c r="F334" i="27"/>
  <c r="F333" i="27"/>
  <c r="F225" i="27"/>
  <c r="F124" i="27"/>
  <c r="F330" i="27"/>
  <c r="F229" i="27"/>
  <c r="F228" i="27"/>
  <c r="C227" i="27"/>
  <c r="F123" i="27"/>
  <c r="C122" i="27"/>
  <c r="F120" i="27"/>
  <c r="F19" i="27"/>
  <c r="F18" i="27"/>
  <c r="C17" i="27"/>
  <c r="AC1181" i="14"/>
  <c r="AC1076" i="14"/>
  <c r="AC971" i="14"/>
  <c r="D22" i="13" a="1"/>
  <c r="D22" i="13" s="1"/>
  <c r="D141" i="10"/>
  <c r="D149" i="10" s="1"/>
  <c r="K91" i="24"/>
  <c r="AC866" i="14"/>
  <c r="AC761" i="14"/>
  <c r="AC656" i="14"/>
  <c r="AC551" i="14"/>
  <c r="AC446" i="14"/>
  <c r="AC341" i="14"/>
  <c r="AC236" i="14"/>
  <c r="AC131" i="14"/>
  <c r="AC26" i="14"/>
  <c r="F26" i="14"/>
  <c r="C865" i="14"/>
  <c r="C760" i="14"/>
  <c r="C655" i="14"/>
  <c r="C550" i="14"/>
  <c r="C445" i="14"/>
  <c r="C340" i="14"/>
  <c r="C235" i="14"/>
  <c r="C130" i="14"/>
  <c r="C25" i="14"/>
  <c r="F27" i="14"/>
  <c r="Z26" i="14"/>
  <c r="Z131" i="14"/>
  <c r="Z236" i="14"/>
  <c r="Z341" i="14"/>
  <c r="Z446" i="14"/>
  <c r="Z551" i="14"/>
  <c r="Z656" i="14"/>
  <c r="Z761" i="14"/>
  <c r="Z866" i="14"/>
  <c r="Z971" i="14"/>
  <c r="G34" i="12"/>
  <c r="I34" i="12" s="1"/>
  <c r="Z1181" i="14"/>
  <c r="Z1076" i="14"/>
  <c r="M161" i="24" a="1"/>
  <c r="M161" i="24" s="1"/>
  <c r="L160" i="24" a="1"/>
  <c r="M160" i="24" s="1"/>
  <c r="N199" i="24"/>
  <c r="N198" i="24"/>
  <c r="N197" i="24"/>
  <c r="N196" i="24"/>
  <c r="N195" i="24"/>
  <c r="N194" i="24"/>
  <c r="N193" i="24"/>
  <c r="N192" i="24"/>
  <c r="N191" i="24"/>
  <c r="N190" i="24"/>
  <c r="N189" i="24"/>
  <c r="M200" i="24"/>
  <c r="M198" i="24"/>
  <c r="M197" i="24"/>
  <c r="M196" i="24"/>
  <c r="M195" i="24"/>
  <c r="M194" i="24"/>
  <c r="M193" i="24"/>
  <c r="M192" i="24"/>
  <c r="M191" i="24"/>
  <c r="M190" i="24"/>
  <c r="M189" i="24"/>
  <c r="L200" i="24"/>
  <c r="L199" i="24"/>
  <c r="L197" i="24"/>
  <c r="L196" i="24"/>
  <c r="L195" i="24"/>
  <c r="L194" i="24"/>
  <c r="L193" i="24"/>
  <c r="L192" i="24"/>
  <c r="L191" i="24"/>
  <c r="L190" i="24"/>
  <c r="L189" i="24"/>
  <c r="K200" i="24"/>
  <c r="K199" i="24"/>
  <c r="K198" i="24"/>
  <c r="K196" i="24"/>
  <c r="K195" i="24"/>
  <c r="K194" i="24"/>
  <c r="K193" i="24"/>
  <c r="K192" i="24"/>
  <c r="K191" i="24"/>
  <c r="K190" i="24"/>
  <c r="K189" i="24"/>
  <c r="J200" i="24"/>
  <c r="J199" i="24"/>
  <c r="J198" i="24"/>
  <c r="J197" i="24"/>
  <c r="J195" i="24"/>
  <c r="J194" i="24"/>
  <c r="J193" i="24"/>
  <c r="J192" i="24"/>
  <c r="J191" i="24"/>
  <c r="J190" i="24"/>
  <c r="J189" i="24"/>
  <c r="I200" i="24"/>
  <c r="I199" i="24"/>
  <c r="I198" i="24"/>
  <c r="I197" i="24"/>
  <c r="I196" i="24"/>
  <c r="I194" i="24"/>
  <c r="I193" i="24"/>
  <c r="I192" i="24"/>
  <c r="I191" i="24"/>
  <c r="I190" i="24"/>
  <c r="I189" i="24"/>
  <c r="H200" i="24"/>
  <c r="H199" i="24"/>
  <c r="H198" i="24"/>
  <c r="H197" i="24"/>
  <c r="H196" i="24"/>
  <c r="H195" i="24"/>
  <c r="H193" i="24"/>
  <c r="H192" i="24"/>
  <c r="H191" i="24"/>
  <c r="H190" i="24"/>
  <c r="H189" i="24"/>
  <c r="G200" i="24"/>
  <c r="G199" i="24"/>
  <c r="G198" i="24"/>
  <c r="G197" i="24"/>
  <c r="G196" i="24"/>
  <c r="G195" i="24"/>
  <c r="G194" i="24"/>
  <c r="G192" i="24"/>
  <c r="G191" i="24"/>
  <c r="G190" i="24"/>
  <c r="G189" i="24"/>
  <c r="F200" i="24"/>
  <c r="F199" i="24"/>
  <c r="F198" i="24"/>
  <c r="F197" i="24"/>
  <c r="F196" i="24"/>
  <c r="F195" i="24"/>
  <c r="F194" i="24"/>
  <c r="F193" i="24"/>
  <c r="F191" i="24"/>
  <c r="F190" i="24"/>
  <c r="F189" i="24"/>
  <c r="E200" i="24"/>
  <c r="E199" i="24"/>
  <c r="E198" i="24"/>
  <c r="E197" i="24"/>
  <c r="E196" i="24"/>
  <c r="E195" i="24"/>
  <c r="E194" i="24"/>
  <c r="E193" i="24"/>
  <c r="E192" i="24"/>
  <c r="E190" i="24"/>
  <c r="E189" i="24"/>
  <c r="D200" i="24"/>
  <c r="D199" i="24"/>
  <c r="D198" i="24"/>
  <c r="D197" i="24"/>
  <c r="D196" i="24"/>
  <c r="D195" i="24"/>
  <c r="D194" i="24"/>
  <c r="D193" i="24"/>
  <c r="D192" i="24"/>
  <c r="D191" i="24"/>
  <c r="D189" i="24"/>
  <c r="C200" i="24"/>
  <c r="C199" i="24"/>
  <c r="C198" i="24"/>
  <c r="C197" i="24"/>
  <c r="C196" i="24"/>
  <c r="C195" i="24"/>
  <c r="C194" i="24"/>
  <c r="C193" i="24"/>
  <c r="C192" i="24"/>
  <c r="C191" i="24"/>
  <c r="C190" i="24"/>
  <c r="F213" i="24"/>
  <c r="E212" i="24" a="1"/>
  <c r="E212" i="24" s="1"/>
  <c r="D211" i="24" a="1"/>
  <c r="D211" i="24" s="1"/>
  <c r="F139" i="7"/>
  <c r="BF17" i="33" s="1"/>
  <c r="D139" i="7"/>
  <c r="D142" i="7" s="1"/>
  <c r="AR26" i="30"/>
  <c r="AP26" i="30"/>
  <c r="AN26" i="30"/>
  <c r="AL26" i="30"/>
  <c r="AJ26" i="30"/>
  <c r="AH26" i="30"/>
  <c r="AF26" i="30"/>
  <c r="AD26" i="30"/>
  <c r="AB26" i="30"/>
  <c r="Z26" i="30"/>
  <c r="X26" i="30"/>
  <c r="V26" i="30"/>
  <c r="T26" i="30"/>
  <c r="R26" i="30"/>
  <c r="P26" i="30"/>
  <c r="N26" i="30"/>
  <c r="L26" i="30"/>
  <c r="J26" i="30"/>
  <c r="H26" i="30"/>
  <c r="AR25" i="30"/>
  <c r="AP25" i="30"/>
  <c r="AN25" i="30"/>
  <c r="AL25" i="30"/>
  <c r="AJ25" i="30"/>
  <c r="AH25" i="30"/>
  <c r="AF25" i="30"/>
  <c r="AD25" i="30"/>
  <c r="AB25" i="30"/>
  <c r="Z25" i="30"/>
  <c r="X25" i="30"/>
  <c r="V25" i="30"/>
  <c r="T25" i="30"/>
  <c r="R25" i="30"/>
  <c r="P25" i="30"/>
  <c r="N25" i="30"/>
  <c r="L25" i="30"/>
  <c r="J25" i="30"/>
  <c r="H25" i="30"/>
  <c r="AR24" i="30"/>
  <c r="AP24" i="30"/>
  <c r="AN24" i="30"/>
  <c r="AL24" i="30"/>
  <c r="AJ24" i="30"/>
  <c r="AH24" i="30"/>
  <c r="AF24" i="30"/>
  <c r="AD24" i="30"/>
  <c r="AB24" i="30"/>
  <c r="Z24" i="30"/>
  <c r="X24" i="30"/>
  <c r="V24" i="30"/>
  <c r="T24" i="30"/>
  <c r="R24" i="30"/>
  <c r="P24" i="30"/>
  <c r="N24" i="30"/>
  <c r="L24" i="30"/>
  <c r="J24" i="30"/>
  <c r="H24" i="30"/>
  <c r="AR23" i="30"/>
  <c r="AP23" i="30"/>
  <c r="AN23" i="30"/>
  <c r="AL23" i="30"/>
  <c r="AJ23" i="30"/>
  <c r="AH23" i="30"/>
  <c r="AF23" i="30"/>
  <c r="AD23" i="30"/>
  <c r="AB23" i="30"/>
  <c r="Z23" i="30"/>
  <c r="X23" i="30"/>
  <c r="V23" i="30"/>
  <c r="T23" i="30"/>
  <c r="R23" i="30"/>
  <c r="P23" i="30"/>
  <c r="N23" i="30"/>
  <c r="L23" i="30"/>
  <c r="J23" i="30"/>
  <c r="H23" i="30"/>
  <c r="F19" i="30"/>
  <c r="F18" i="30"/>
  <c r="F17" i="30"/>
  <c r="F16" i="30"/>
  <c r="F12" i="30"/>
  <c r="F11" i="30"/>
  <c r="F10" i="30"/>
  <c r="F9" i="30"/>
  <c r="F112" i="7"/>
  <c r="AZ17" i="33" s="1"/>
  <c r="D112" i="7"/>
  <c r="D115" i="7" s="1"/>
  <c r="F103" i="7"/>
  <c r="AX17" i="33" s="1"/>
  <c r="D103" i="7"/>
  <c r="D106" i="7" s="1"/>
  <c r="F94" i="7"/>
  <c r="AV17" i="33" s="1"/>
  <c r="D94" i="7"/>
  <c r="D97" i="7" s="1"/>
  <c r="F103" i="6"/>
  <c r="Z17" i="33" s="1"/>
  <c r="D103" i="6"/>
  <c r="D106" i="6" s="1"/>
  <c r="D94" i="6"/>
  <c r="D97" i="6" s="1"/>
  <c r="F85" i="6"/>
  <c r="V17" i="33" s="1"/>
  <c r="D85" i="6"/>
  <c r="D88" i="6" s="1"/>
  <c r="Q71" i="28"/>
  <c r="E36" i="35" s="1"/>
  <c r="E8" i="35" s="1"/>
  <c r="E32" i="12"/>
  <c r="G32" i="12" s="1"/>
  <c r="I32" i="12" s="1"/>
  <c r="F22" i="7"/>
  <c r="AF17" i="33" s="1"/>
  <c r="D22" i="7"/>
  <c r="D25" i="7" s="1"/>
  <c r="F22" i="6"/>
  <c r="H17" i="33" s="1"/>
  <c r="D22" i="6"/>
  <c r="D25" i="6" s="1"/>
  <c r="AP50" i="15"/>
  <c r="AP49" i="15"/>
  <c r="AP48" i="15"/>
  <c r="AP47" i="15"/>
  <c r="AP46" i="15"/>
  <c r="AP45" i="15"/>
  <c r="AP44" i="15"/>
  <c r="AP43" i="15"/>
  <c r="AP42" i="15"/>
  <c r="AP41" i="15"/>
  <c r="AP40" i="15"/>
  <c r="AP39" i="15"/>
  <c r="F25" i="15"/>
  <c r="F10" i="15"/>
  <c r="AR40" i="15"/>
  <c r="AN40" i="15"/>
  <c r="AL40" i="15"/>
  <c r="AJ40" i="15"/>
  <c r="AH40" i="15"/>
  <c r="AF40" i="15"/>
  <c r="AD40" i="15"/>
  <c r="AB40" i="15"/>
  <c r="Z40" i="15"/>
  <c r="X40" i="15"/>
  <c r="V40" i="15"/>
  <c r="T40" i="15"/>
  <c r="R40" i="15"/>
  <c r="P40" i="15"/>
  <c r="N40" i="15"/>
  <c r="L40" i="15"/>
  <c r="J40" i="15"/>
  <c r="H40" i="15"/>
  <c r="G17" i="12"/>
  <c r="G16" i="12"/>
  <c r="G15" i="12"/>
  <c r="G14" i="12"/>
  <c r="G13" i="12"/>
  <c r="G12" i="12"/>
  <c r="G11" i="12"/>
  <c r="E19" i="12"/>
  <c r="E63" i="21"/>
  <c r="E12" i="21" s="1"/>
  <c r="E45" i="21"/>
  <c r="I45" i="21" s="1"/>
  <c r="N45" i="21" s="1"/>
  <c r="E9" i="21" s="1"/>
  <c r="E35" i="21"/>
  <c r="I35" i="21" s="1"/>
  <c r="N35" i="21" s="1"/>
  <c r="I36" i="21"/>
  <c r="N36" i="21" s="1"/>
  <c r="F23" i="8"/>
  <c r="E17" i="47" s="1"/>
  <c r="I17" i="47" s="1"/>
  <c r="D23" i="8"/>
  <c r="D148" i="7"/>
  <c r="D151" i="7" s="1"/>
  <c r="D130" i="7"/>
  <c r="D133" i="7" s="1"/>
  <c r="D121" i="7"/>
  <c r="D124" i="7" s="1"/>
  <c r="D85" i="7"/>
  <c r="D88" i="7" s="1"/>
  <c r="D76" i="7"/>
  <c r="D79" i="7" s="1"/>
  <c r="D67" i="7"/>
  <c r="D70" i="7" s="1"/>
  <c r="D58" i="7"/>
  <c r="D61" i="7" s="1"/>
  <c r="D49" i="7"/>
  <c r="D52" i="7" s="1"/>
  <c r="D40" i="7"/>
  <c r="D43" i="7" s="1"/>
  <c r="D31" i="7"/>
  <c r="D34" i="7" s="1"/>
  <c r="D13" i="7"/>
  <c r="D16" i="7" s="1"/>
  <c r="D112" i="6"/>
  <c r="D115" i="6" s="1"/>
  <c r="D76" i="6"/>
  <c r="D79" i="6" s="1"/>
  <c r="D67" i="6"/>
  <c r="D70" i="6" s="1"/>
  <c r="D58" i="6"/>
  <c r="D61" i="6" s="1"/>
  <c r="D49" i="6"/>
  <c r="D52" i="6" s="1"/>
  <c r="D40" i="6"/>
  <c r="D43" i="6" s="1"/>
  <c r="D31" i="6"/>
  <c r="D34" i="6" s="1"/>
  <c r="D13" i="6"/>
  <c r="D16" i="6" s="1"/>
  <c r="D98" i="24"/>
  <c r="C90" i="24" s="1"/>
  <c r="D22" i="9"/>
  <c r="D36" i="9" s="1"/>
  <c r="F148" i="7"/>
  <c r="BH17" i="33" s="1"/>
  <c r="F130" i="7"/>
  <c r="BD17" i="33" s="1"/>
  <c r="F121" i="7"/>
  <c r="BB17" i="33" s="1"/>
  <c r="F76" i="7"/>
  <c r="AR17" i="33" s="1"/>
  <c r="F67" i="7"/>
  <c r="AP17" i="33" s="1"/>
  <c r="F40" i="7"/>
  <c r="AJ17" i="33" s="1"/>
  <c r="F31" i="7"/>
  <c r="AH17" i="33" s="1"/>
  <c r="F49" i="7"/>
  <c r="AL17" i="33" s="1"/>
  <c r="F13" i="7"/>
  <c r="AD17" i="33" s="1"/>
  <c r="F85" i="7"/>
  <c r="AT17" i="33" s="1"/>
  <c r="F76" i="6"/>
  <c r="T17" i="33" s="1"/>
  <c r="F112" i="6"/>
  <c r="AB17" i="33" s="1"/>
  <c r="F13" i="6"/>
  <c r="F31" i="6"/>
  <c r="J17" i="33" s="1"/>
  <c r="F49" i="6"/>
  <c r="N17" i="33" s="1"/>
  <c r="F67" i="6"/>
  <c r="R17" i="33" s="1"/>
  <c r="F40" i="6"/>
  <c r="L17" i="33" s="1"/>
  <c r="F58" i="6"/>
  <c r="P17" i="33" s="1"/>
  <c r="F58" i="7"/>
  <c r="AN17" i="33" s="1"/>
  <c r="F7" i="13"/>
  <c r="P92" i="24" a="1"/>
  <c r="P92" i="24" s="1"/>
  <c r="O91" i="24" a="1"/>
  <c r="P91" i="24" s="1"/>
  <c r="N90" i="24" a="1"/>
  <c r="P90" i="24" s="1"/>
  <c r="M89" i="24" a="1"/>
  <c r="N89" i="24" s="1"/>
  <c r="K14" i="11"/>
  <c r="E25" i="21" s="1"/>
  <c r="F42" i="10"/>
  <c r="D38" i="10"/>
  <c r="J145" i="10"/>
  <c r="H141" i="10"/>
  <c r="H149" i="10" s="1"/>
  <c r="F141" i="10"/>
  <c r="F149" i="10" s="1"/>
  <c r="J139" i="10"/>
  <c r="J138" i="10"/>
  <c r="J134" i="10"/>
  <c r="H96" i="10"/>
  <c r="D96" i="10"/>
  <c r="J94" i="10"/>
  <c r="H89" i="10"/>
  <c r="F89" i="10"/>
  <c r="J87" i="10"/>
  <c r="J86" i="10"/>
  <c r="J74" i="10"/>
  <c r="F20" i="9" s="1"/>
  <c r="J70" i="10"/>
  <c r="H66" i="10"/>
  <c r="F66" i="10"/>
  <c r="D66" i="10"/>
  <c r="J64" i="10"/>
  <c r="J63" i="10"/>
  <c r="J62" i="10"/>
  <c r="H58" i="10"/>
  <c r="F58" i="10"/>
  <c r="D58" i="10"/>
  <c r="J56" i="10"/>
  <c r="J55" i="10"/>
  <c r="J54" i="10"/>
  <c r="J50" i="10"/>
  <c r="F17" i="9" s="1"/>
  <c r="E33" i="47" s="1"/>
  <c r="I33" i="47" s="1"/>
  <c r="J46" i="10"/>
  <c r="F16" i="9" s="1"/>
  <c r="E32" i="47" s="1"/>
  <c r="I32" i="47" s="1"/>
  <c r="J32" i="10"/>
  <c r="F15" i="9" s="1"/>
  <c r="E31" i="47" s="1"/>
  <c r="I31" i="47" s="1"/>
  <c r="J28" i="10"/>
  <c r="F14" i="9" s="1"/>
  <c r="E30" i="47" s="1"/>
  <c r="I30" i="47" s="1"/>
  <c r="J24" i="10"/>
  <c r="F13" i="9" s="1"/>
  <c r="E29" i="47" s="1"/>
  <c r="I29" i="47" s="1"/>
  <c r="H20" i="10"/>
  <c r="F20" i="10"/>
  <c r="D20" i="10"/>
  <c r="J18" i="10"/>
  <c r="J17" i="10"/>
  <c r="J16" i="10"/>
  <c r="H12" i="10"/>
  <c r="F12" i="10"/>
  <c r="D12" i="10"/>
  <c r="J9" i="10"/>
  <c r="J40" i="10"/>
  <c r="F96" i="10"/>
  <c r="J93" i="10"/>
  <c r="O91" i="24"/>
  <c r="H42" i="10"/>
  <c r="F53" i="5"/>
  <c r="E10" i="47" s="1"/>
  <c r="I10" i="47" s="1"/>
  <c r="D53" i="5"/>
  <c r="F206" i="24" a="1"/>
  <c r="F206" i="24" s="1"/>
  <c r="E205" i="24" a="1"/>
  <c r="E205" i="24" s="1"/>
  <c r="D204" i="24" a="1"/>
  <c r="E204" i="24" s="1"/>
  <c r="G237" i="24" a="1"/>
  <c r="G237" i="24" s="1"/>
  <c r="F236" i="24" a="1"/>
  <c r="F236" i="24" s="1"/>
  <c r="E235" i="24" a="1"/>
  <c r="G235" i="24" s="1"/>
  <c r="D234" i="24" a="1"/>
  <c r="D234" i="24" s="1"/>
  <c r="K78" i="22"/>
  <c r="K75" i="22"/>
  <c r="K82" i="22"/>
  <c r="K74" i="22"/>
  <c r="F20" i="15"/>
  <c r="F19" i="15"/>
  <c r="F18" i="15"/>
  <c r="F17" i="15"/>
  <c r="F16" i="15"/>
  <c r="F15" i="15"/>
  <c r="F13" i="15"/>
  <c r="F12" i="15"/>
  <c r="F11" i="15"/>
  <c r="F9" i="15"/>
  <c r="F35" i="15"/>
  <c r="F34" i="15"/>
  <c r="F33" i="15"/>
  <c r="F32" i="15"/>
  <c r="F31" i="15"/>
  <c r="F30" i="15"/>
  <c r="F29" i="15"/>
  <c r="F28" i="15"/>
  <c r="F27" i="15"/>
  <c r="F26" i="15"/>
  <c r="F24" i="15"/>
  <c r="AR50" i="15"/>
  <c r="AR49" i="15"/>
  <c r="AR48" i="15"/>
  <c r="AR47" i="15"/>
  <c r="AR46" i="15"/>
  <c r="AR45" i="15"/>
  <c r="AR44" i="15"/>
  <c r="AR43" i="15"/>
  <c r="AR42" i="15"/>
  <c r="AR41" i="15"/>
  <c r="AR39" i="15"/>
  <c r="AN50" i="15"/>
  <c r="AL50" i="15"/>
  <c r="AJ50" i="15"/>
  <c r="AH50" i="15"/>
  <c r="AF50" i="15"/>
  <c r="AD50" i="15"/>
  <c r="AB50" i="15"/>
  <c r="Z50" i="15"/>
  <c r="X50" i="15"/>
  <c r="V50" i="15"/>
  <c r="T50" i="15"/>
  <c r="R50" i="15"/>
  <c r="P50" i="15"/>
  <c r="N50" i="15"/>
  <c r="L50" i="15"/>
  <c r="J50" i="15"/>
  <c r="AN49" i="15"/>
  <c r="AL49" i="15"/>
  <c r="AJ49" i="15"/>
  <c r="AH49" i="15"/>
  <c r="AF49" i="15"/>
  <c r="AD49" i="15"/>
  <c r="AB49" i="15"/>
  <c r="Z49" i="15"/>
  <c r="X49" i="15"/>
  <c r="V49" i="15"/>
  <c r="T49" i="15"/>
  <c r="R49" i="15"/>
  <c r="P49" i="15"/>
  <c r="N49" i="15"/>
  <c r="L49" i="15"/>
  <c r="J49" i="15"/>
  <c r="AN48" i="15"/>
  <c r="AL48" i="15"/>
  <c r="AJ48" i="15"/>
  <c r="AH48" i="15"/>
  <c r="AF48" i="15"/>
  <c r="AD48" i="15"/>
  <c r="AB48" i="15"/>
  <c r="Z48" i="15"/>
  <c r="X48" i="15"/>
  <c r="V48" i="15"/>
  <c r="T48" i="15"/>
  <c r="R48" i="15"/>
  <c r="P48" i="15"/>
  <c r="N48" i="15"/>
  <c r="L48" i="15"/>
  <c r="J48" i="15"/>
  <c r="AN47" i="15"/>
  <c r="AL47" i="15"/>
  <c r="AJ47" i="15"/>
  <c r="AH47" i="15"/>
  <c r="AF47" i="15"/>
  <c r="AD47" i="15"/>
  <c r="AB47" i="15"/>
  <c r="Z47" i="15"/>
  <c r="X47" i="15"/>
  <c r="V47" i="15"/>
  <c r="T47" i="15"/>
  <c r="R47" i="15"/>
  <c r="P47" i="15"/>
  <c r="N47" i="15"/>
  <c r="L47" i="15"/>
  <c r="J47" i="15"/>
  <c r="AN46" i="15"/>
  <c r="AL46" i="15"/>
  <c r="AJ46" i="15"/>
  <c r="AH46" i="15"/>
  <c r="AF46" i="15"/>
  <c r="AD46" i="15"/>
  <c r="AB46" i="15"/>
  <c r="Z46" i="15"/>
  <c r="X46" i="15"/>
  <c r="V46" i="15"/>
  <c r="T46" i="15"/>
  <c r="R46" i="15"/>
  <c r="P46" i="15"/>
  <c r="N46" i="15"/>
  <c r="L46" i="15"/>
  <c r="J46" i="15"/>
  <c r="AN45" i="15"/>
  <c r="AL45" i="15"/>
  <c r="AJ45" i="15"/>
  <c r="AH45" i="15"/>
  <c r="AF45" i="15"/>
  <c r="AD45" i="15"/>
  <c r="AB45" i="15"/>
  <c r="Z45" i="15"/>
  <c r="X45" i="15"/>
  <c r="V45" i="15"/>
  <c r="T45" i="15"/>
  <c r="R45" i="15"/>
  <c r="P45" i="15"/>
  <c r="N45" i="15"/>
  <c r="L45" i="15"/>
  <c r="J45" i="15"/>
  <c r="AN44" i="15"/>
  <c r="AL44" i="15"/>
  <c r="AJ44" i="15"/>
  <c r="AH44" i="15"/>
  <c r="AF44" i="15"/>
  <c r="AD44" i="15"/>
  <c r="AB44" i="15"/>
  <c r="Z44" i="15"/>
  <c r="X44" i="15"/>
  <c r="V44" i="15"/>
  <c r="T44" i="15"/>
  <c r="R44" i="15"/>
  <c r="P44" i="15"/>
  <c r="N44" i="15"/>
  <c r="L44" i="15"/>
  <c r="J44" i="15"/>
  <c r="AN43" i="15"/>
  <c r="AL43" i="15"/>
  <c r="AJ43" i="15"/>
  <c r="AH43" i="15"/>
  <c r="AF43" i="15"/>
  <c r="AD43" i="15"/>
  <c r="AB43" i="15"/>
  <c r="Z43" i="15"/>
  <c r="X43" i="15"/>
  <c r="V43" i="15"/>
  <c r="T43" i="15"/>
  <c r="R43" i="15"/>
  <c r="P43" i="15"/>
  <c r="N43" i="15"/>
  <c r="L43" i="15"/>
  <c r="J43" i="15"/>
  <c r="AN42" i="15"/>
  <c r="AL42" i="15"/>
  <c r="AJ42" i="15"/>
  <c r="AH42" i="15"/>
  <c r="AF42" i="15"/>
  <c r="AD42" i="15"/>
  <c r="AB42" i="15"/>
  <c r="Z42" i="15"/>
  <c r="X42" i="15"/>
  <c r="V42" i="15"/>
  <c r="T42" i="15"/>
  <c r="R42" i="15"/>
  <c r="P42" i="15"/>
  <c r="N42" i="15"/>
  <c r="L42" i="15"/>
  <c r="J42" i="15"/>
  <c r="AN41" i="15"/>
  <c r="AL41" i="15"/>
  <c r="AJ41" i="15"/>
  <c r="AH41" i="15"/>
  <c r="AF41" i="15"/>
  <c r="AD41" i="15"/>
  <c r="AB41" i="15"/>
  <c r="Z41" i="15"/>
  <c r="X41" i="15"/>
  <c r="V41" i="15"/>
  <c r="T41" i="15"/>
  <c r="R41" i="15"/>
  <c r="P41" i="15"/>
  <c r="N41" i="15"/>
  <c r="L41" i="15"/>
  <c r="J41" i="15"/>
  <c r="AN39" i="15"/>
  <c r="AL39" i="15"/>
  <c r="AJ39" i="15"/>
  <c r="AH39" i="15"/>
  <c r="AF39" i="15"/>
  <c r="AD39" i="15"/>
  <c r="AB39" i="15"/>
  <c r="Z39" i="15"/>
  <c r="X39" i="15"/>
  <c r="V39" i="15"/>
  <c r="T39" i="15"/>
  <c r="R39" i="15"/>
  <c r="P39" i="15"/>
  <c r="N39" i="15"/>
  <c r="L39" i="15"/>
  <c r="J39" i="15"/>
  <c r="H39" i="15"/>
  <c r="H42" i="15"/>
  <c r="H41" i="15"/>
  <c r="H43" i="15"/>
  <c r="E161" i="24" a="1"/>
  <c r="E161" i="24" s="1"/>
  <c r="D160" i="24" a="1"/>
  <c r="D160" i="24" s="1"/>
  <c r="H44" i="15"/>
  <c r="H46" i="15"/>
  <c r="H45" i="15"/>
  <c r="H47" i="15"/>
  <c r="H48" i="15"/>
  <c r="G221" i="24" a="1"/>
  <c r="G221" i="24" s="1"/>
  <c r="F220" i="24" a="1"/>
  <c r="G220" i="24" s="1"/>
  <c r="E219" i="24" a="1"/>
  <c r="F219" i="24" s="1"/>
  <c r="D218" i="24" a="1"/>
  <c r="D218" i="24" s="1"/>
  <c r="H49" i="15"/>
  <c r="H50" i="15"/>
  <c r="H22" i="11"/>
  <c r="M22" i="11" s="1"/>
  <c r="Q22" i="11" s="1"/>
  <c r="F69" i="5"/>
  <c r="E11" i="47" s="1"/>
  <c r="I11" i="47" s="1"/>
  <c r="D69" i="5"/>
  <c r="F45" i="5"/>
  <c r="E9" i="47" s="1"/>
  <c r="I9" i="47" s="1"/>
  <c r="D45" i="5"/>
  <c r="F36" i="5"/>
  <c r="E8" i="47" s="1"/>
  <c r="I8" i="47" s="1"/>
  <c r="D36" i="5"/>
  <c r="F14" i="5"/>
  <c r="D14" i="5"/>
  <c r="Q120" i="24" a="1"/>
  <c r="Q120" i="24" s="1"/>
  <c r="P119" i="24" a="1"/>
  <c r="P119" i="24" s="1"/>
  <c r="O118" i="24" a="1"/>
  <c r="Q118" i="24" s="1"/>
  <c r="N117" i="24" a="1"/>
  <c r="N117" i="24" s="1"/>
  <c r="M116" i="24" a="1"/>
  <c r="P116" i="24" s="1"/>
  <c r="L115" i="24" a="1"/>
  <c r="P115" i="24" s="1"/>
  <c r="K114" i="24" a="1"/>
  <c r="P114" i="24" s="1"/>
  <c r="J113" i="24" a="1"/>
  <c r="Q113" i="24" s="1"/>
  <c r="I112" i="24" a="1"/>
  <c r="P112" i="24" s="1"/>
  <c r="H111" i="24" a="1"/>
  <c r="O111" i="24" s="1"/>
  <c r="G110" i="24" a="1"/>
  <c r="Q110" i="24" s="1"/>
  <c r="F109" i="24" a="1"/>
  <c r="P109" i="24" s="1"/>
  <c r="E108" i="24" a="1"/>
  <c r="P108" i="24" s="1"/>
  <c r="H92" i="24" a="1"/>
  <c r="H92" i="24" s="1"/>
  <c r="G91" i="24" a="1"/>
  <c r="H91" i="24" s="1"/>
  <c r="F90" i="24" a="1"/>
  <c r="H90" i="24" s="1"/>
  <c r="E89" i="24" a="1"/>
  <c r="H89" i="24" s="1"/>
  <c r="D107" i="24" a="1"/>
  <c r="D107" i="24" s="1"/>
  <c r="J38" i="10" l="1"/>
  <c r="F28" i="9" s="1"/>
  <c r="O38" i="10"/>
  <c r="O74" i="22"/>
  <c r="I110" i="24"/>
  <c r="C89" i="24"/>
  <c r="O117" i="24"/>
  <c r="Q112" i="24"/>
  <c r="G234" i="24"/>
  <c r="I109" i="24"/>
  <c r="O113" i="24"/>
  <c r="K112" i="24"/>
  <c r="Q115" i="24"/>
  <c r="G108" i="24"/>
  <c r="Q108" i="24"/>
  <c r="L115" i="24"/>
  <c r="O115" i="24"/>
  <c r="L111" i="24"/>
  <c r="C92" i="24"/>
  <c r="E89" i="24"/>
  <c r="O118" i="24"/>
  <c r="E160" i="24"/>
  <c r="H67" i="33"/>
  <c r="H89" i="33"/>
  <c r="G109" i="24"/>
  <c r="Q119" i="24"/>
  <c r="F204" i="24"/>
  <c r="L108" i="24"/>
  <c r="K114" i="24"/>
  <c r="N115" i="24"/>
  <c r="M115" i="24"/>
  <c r="O80" i="22"/>
  <c r="P117" i="24"/>
  <c r="J111" i="24"/>
  <c r="M111" i="24"/>
  <c r="Q117" i="24"/>
  <c r="D49" i="15"/>
  <c r="U18" i="14" s="1"/>
  <c r="W18" i="14" s="1"/>
  <c r="O89" i="24"/>
  <c r="D26" i="30"/>
  <c r="U11" i="27" s="1"/>
  <c r="W11" i="27" s="1"/>
  <c r="M113" i="24"/>
  <c r="O109" i="24"/>
  <c r="F109" i="24"/>
  <c r="O110" i="24"/>
  <c r="P113" i="24"/>
  <c r="N113" i="24"/>
  <c r="K109" i="24"/>
  <c r="Q109" i="24"/>
  <c r="J110" i="24"/>
  <c r="L113" i="24"/>
  <c r="J113" i="24"/>
  <c r="P111" i="24"/>
  <c r="N111" i="24"/>
  <c r="D48" i="15"/>
  <c r="U17" i="14" s="1"/>
  <c r="W17" i="14" s="1"/>
  <c r="F235" i="24"/>
  <c r="L160" i="24"/>
  <c r="H88" i="33"/>
  <c r="F17" i="33"/>
  <c r="E15" i="47"/>
  <c r="I15" i="47" s="1"/>
  <c r="L109" i="24"/>
  <c r="J109" i="24"/>
  <c r="K113" i="24"/>
  <c r="Q116" i="24"/>
  <c r="E219" i="24"/>
  <c r="F205" i="24"/>
  <c r="H78" i="10"/>
  <c r="I19" i="12"/>
  <c r="E51" i="21"/>
  <c r="E10" i="21" s="1"/>
  <c r="D24" i="30"/>
  <c r="U9" i="27" s="1"/>
  <c r="W9" i="27" s="1"/>
  <c r="D23" i="30"/>
  <c r="U8" i="27" s="1"/>
  <c r="W8" i="27" s="1"/>
  <c r="D25" i="30"/>
  <c r="U10" i="27" s="1"/>
  <c r="W10" i="27" s="1"/>
  <c r="O75" i="22"/>
  <c r="O79" i="22"/>
  <c r="O77" i="22"/>
  <c r="O81" i="22"/>
  <c r="BH19" i="33"/>
  <c r="BH24" i="33"/>
  <c r="BF24" i="33"/>
  <c r="BF19" i="33"/>
  <c r="BD24" i="33"/>
  <c r="BD19" i="33"/>
  <c r="BB24" i="33"/>
  <c r="BB19" i="33"/>
  <c r="AZ24" i="33"/>
  <c r="AZ19" i="33"/>
  <c r="AX24" i="33"/>
  <c r="AX19" i="33"/>
  <c r="AV24" i="33"/>
  <c r="AV19" i="33"/>
  <c r="AT24" i="33"/>
  <c r="AT19" i="33"/>
  <c r="AR24" i="33"/>
  <c r="AR19" i="33"/>
  <c r="AP24" i="33"/>
  <c r="AP19" i="33"/>
  <c r="AN24" i="33"/>
  <c r="AN19" i="33"/>
  <c r="AL24" i="33"/>
  <c r="AL19" i="33"/>
  <c r="AJ24" i="33"/>
  <c r="AJ19" i="33"/>
  <c r="AH24" i="33"/>
  <c r="AH19" i="33"/>
  <c r="AF24" i="33"/>
  <c r="AF19" i="33"/>
  <c r="AD24" i="33"/>
  <c r="AD19" i="33"/>
  <c r="AB24" i="33"/>
  <c r="AB19" i="33"/>
  <c r="Z71" i="33"/>
  <c r="Z24" i="33"/>
  <c r="Z19" i="33"/>
  <c r="X24" i="33"/>
  <c r="X19" i="33"/>
  <c r="V24" i="33"/>
  <c r="V19" i="33"/>
  <c r="T24" i="33"/>
  <c r="T19" i="33"/>
  <c r="R68" i="33"/>
  <c r="R24" i="33"/>
  <c r="R19" i="33"/>
  <c r="P24" i="33"/>
  <c r="P19" i="33"/>
  <c r="N24" i="33"/>
  <c r="N19" i="33"/>
  <c r="L24" i="33"/>
  <c r="L19" i="33"/>
  <c r="J24" i="33"/>
  <c r="J19" i="33"/>
  <c r="H73" i="33"/>
  <c r="H24" i="33"/>
  <c r="H19" i="33"/>
  <c r="Z335" i="27"/>
  <c r="Z125" i="27"/>
  <c r="Q13" i="27"/>
  <c r="Z20" i="27"/>
  <c r="AC1184" i="14"/>
  <c r="AC1188" i="14"/>
  <c r="AC1192" i="14"/>
  <c r="AC1196" i="14"/>
  <c r="AC1200" i="14"/>
  <c r="AC1204" i="14"/>
  <c r="AC1208" i="14"/>
  <c r="AC1212" i="14"/>
  <c r="AC1216" i="14"/>
  <c r="AC1220" i="14"/>
  <c r="AC1224" i="14"/>
  <c r="AC1228" i="14"/>
  <c r="AC1232" i="14"/>
  <c r="AC1236" i="14"/>
  <c r="AC1240" i="14"/>
  <c r="AC1244" i="14"/>
  <c r="AC1248" i="14"/>
  <c r="AC1252" i="14"/>
  <c r="AC1256" i="14"/>
  <c r="AC1260" i="14"/>
  <c r="AC1264" i="14"/>
  <c r="AC1268" i="14"/>
  <c r="AC1272" i="14"/>
  <c r="AC1276" i="14"/>
  <c r="AC1280" i="14"/>
  <c r="AC1185" i="14"/>
  <c r="AC1189" i="14"/>
  <c r="AC1193" i="14"/>
  <c r="AC1197" i="14"/>
  <c r="AC1201" i="14"/>
  <c r="AC1205" i="14"/>
  <c r="AC1209" i="14"/>
  <c r="AC1213" i="14"/>
  <c r="AC1217" i="14"/>
  <c r="AC1221" i="14"/>
  <c r="AC1225" i="14"/>
  <c r="AC1229" i="14"/>
  <c r="AC1233" i="14"/>
  <c r="AC1237" i="14"/>
  <c r="AC1241" i="14"/>
  <c r="AC1245" i="14"/>
  <c r="AC1249" i="14"/>
  <c r="AC1253" i="14"/>
  <c r="AC1257" i="14"/>
  <c r="AC1261" i="14"/>
  <c r="AC1265" i="14"/>
  <c r="AC1269" i="14"/>
  <c r="AC1273" i="14"/>
  <c r="AC1277" i="14"/>
  <c r="AC1281" i="14"/>
  <c r="AC1186" i="14"/>
  <c r="AC1190" i="14"/>
  <c r="AC1194" i="14"/>
  <c r="AC1198" i="14"/>
  <c r="AC1202" i="14"/>
  <c r="AC1206" i="14"/>
  <c r="AC1210" i="14"/>
  <c r="AC1214" i="14"/>
  <c r="AC1218" i="14"/>
  <c r="AC1222" i="14"/>
  <c r="AC1226" i="14"/>
  <c r="AC1230" i="14"/>
  <c r="AC1234" i="14"/>
  <c r="AC1238" i="14"/>
  <c r="AC1242" i="14"/>
  <c r="AC1246" i="14"/>
  <c r="AC1250" i="14"/>
  <c r="AC1254" i="14"/>
  <c r="AC1258" i="14"/>
  <c r="AC1262" i="14"/>
  <c r="AC1266" i="14"/>
  <c r="AC1270" i="14"/>
  <c r="AC1274" i="14"/>
  <c r="AC1278" i="14"/>
  <c r="AC1282" i="14"/>
  <c r="AC1187" i="14"/>
  <c r="AC1191" i="14"/>
  <c r="AC1195" i="14"/>
  <c r="AC1199" i="14"/>
  <c r="AC1203" i="14"/>
  <c r="AC1207" i="14"/>
  <c r="AC1211" i="14"/>
  <c r="AC1215" i="14"/>
  <c r="AC1219" i="14"/>
  <c r="AC1223" i="14"/>
  <c r="AC1227" i="14"/>
  <c r="AC1231" i="14"/>
  <c r="AC1235" i="14"/>
  <c r="AC1239" i="14"/>
  <c r="AC1243" i="14"/>
  <c r="AC1247" i="14"/>
  <c r="AC1251" i="14"/>
  <c r="AC1255" i="14"/>
  <c r="AC1259" i="14"/>
  <c r="AC1263" i="14"/>
  <c r="AC1267" i="14"/>
  <c r="AC1271" i="14"/>
  <c r="AC1275" i="14"/>
  <c r="AC1279" i="14"/>
  <c r="Z1184" i="14"/>
  <c r="Z1188" i="14"/>
  <c r="Z1192" i="14"/>
  <c r="Z1196" i="14"/>
  <c r="Z1200" i="14"/>
  <c r="Z1204" i="14"/>
  <c r="Z1208" i="14"/>
  <c r="Z1212" i="14"/>
  <c r="Z1216" i="14"/>
  <c r="Z1220" i="14"/>
  <c r="Z1224" i="14"/>
  <c r="Z1228" i="14"/>
  <c r="Z1232" i="14"/>
  <c r="Z1236" i="14"/>
  <c r="Z1240" i="14"/>
  <c r="Z1244" i="14"/>
  <c r="Z1248" i="14"/>
  <c r="Z1252" i="14"/>
  <c r="Z1256" i="14"/>
  <c r="Z1260" i="14"/>
  <c r="Z1264" i="14"/>
  <c r="Z1268" i="14"/>
  <c r="Z1272" i="14"/>
  <c r="Z1276" i="14"/>
  <c r="Z1280" i="14"/>
  <c r="Z1185" i="14"/>
  <c r="Z1189" i="14"/>
  <c r="Z1193" i="14"/>
  <c r="Z1197" i="14"/>
  <c r="Z1201" i="14"/>
  <c r="Z1205" i="14"/>
  <c r="Z1209" i="14"/>
  <c r="Z1213" i="14"/>
  <c r="Z1217" i="14"/>
  <c r="Z1221" i="14"/>
  <c r="Z1225" i="14"/>
  <c r="Z1229" i="14"/>
  <c r="Z1233" i="14"/>
  <c r="Z1237" i="14"/>
  <c r="Z1241" i="14"/>
  <c r="Z1245" i="14"/>
  <c r="Z1249" i="14"/>
  <c r="Z1253" i="14"/>
  <c r="Z1257" i="14"/>
  <c r="Z1261" i="14"/>
  <c r="Z1265" i="14"/>
  <c r="Z1269" i="14"/>
  <c r="Z1273" i="14"/>
  <c r="Z1277" i="14"/>
  <c r="Z1281" i="14"/>
  <c r="Z1191" i="14"/>
  <c r="Z1195" i="14"/>
  <c r="Z1199" i="14"/>
  <c r="Z1203" i="14"/>
  <c r="Z1207" i="14"/>
  <c r="Z1211" i="14"/>
  <c r="Z1215" i="14"/>
  <c r="Z1219" i="14"/>
  <c r="Z1223" i="14"/>
  <c r="Z1227" i="14"/>
  <c r="Z1231" i="14"/>
  <c r="Z1235" i="14"/>
  <c r="Z1239" i="14"/>
  <c r="Z1243" i="14"/>
  <c r="Z1247" i="14"/>
  <c r="Z1251" i="14"/>
  <c r="Z1255" i="14"/>
  <c r="Z1259" i="14"/>
  <c r="Z1263" i="14"/>
  <c r="Z1267" i="14"/>
  <c r="Z1271" i="14"/>
  <c r="Z1275" i="14"/>
  <c r="Z1279" i="14"/>
  <c r="Z1186" i="14"/>
  <c r="Z1190" i="14"/>
  <c r="Z1194" i="14"/>
  <c r="Z1198" i="14"/>
  <c r="Z1202" i="14"/>
  <c r="Z1206" i="14"/>
  <c r="Z1210" i="14"/>
  <c r="Z1214" i="14"/>
  <c r="Z1218" i="14"/>
  <c r="Z1222" i="14"/>
  <c r="Z1226" i="14"/>
  <c r="Z1230" i="14"/>
  <c r="Z1234" i="14"/>
  <c r="Z1238" i="14"/>
  <c r="Z1242" i="14"/>
  <c r="Z1246" i="14"/>
  <c r="Z1250" i="14"/>
  <c r="Z1254" i="14"/>
  <c r="Z1258" i="14"/>
  <c r="Z1262" i="14"/>
  <c r="Z1266" i="14"/>
  <c r="Z1270" i="14"/>
  <c r="Z1274" i="14"/>
  <c r="Z1278" i="14"/>
  <c r="Z1282" i="14"/>
  <c r="Z1187" i="14"/>
  <c r="M74" i="22"/>
  <c r="O82" i="22"/>
  <c r="O78" i="22"/>
  <c r="AC1079" i="14"/>
  <c r="AC1083" i="14"/>
  <c r="AC1087" i="14"/>
  <c r="AC1091" i="14"/>
  <c r="AC1095" i="14"/>
  <c r="AC1099" i="14"/>
  <c r="AC1103" i="14"/>
  <c r="AC1107" i="14"/>
  <c r="AC1111" i="14"/>
  <c r="AC1115" i="14"/>
  <c r="AC1119" i="14"/>
  <c r="AC1123" i="14"/>
  <c r="AC1127" i="14"/>
  <c r="AC1131" i="14"/>
  <c r="AC1135" i="14"/>
  <c r="AC1139" i="14"/>
  <c r="AC1143" i="14"/>
  <c r="AC1147" i="14"/>
  <c r="AC1151" i="14"/>
  <c r="AC1155" i="14"/>
  <c r="AC1159" i="14"/>
  <c r="AC1163" i="14"/>
  <c r="AC1167" i="14"/>
  <c r="AC1171" i="14"/>
  <c r="AC1175" i="14"/>
  <c r="AC1086" i="14"/>
  <c r="AC1154" i="14"/>
  <c r="AC1162" i="14"/>
  <c r="AC1170" i="14"/>
  <c r="AC1080" i="14"/>
  <c r="AC1084" i="14"/>
  <c r="AC1088" i="14"/>
  <c r="AC1092" i="14"/>
  <c r="AC1096" i="14"/>
  <c r="AC1100" i="14"/>
  <c r="AC1104" i="14"/>
  <c r="AC1108" i="14"/>
  <c r="AC1112" i="14"/>
  <c r="AC1116" i="14"/>
  <c r="AC1120" i="14"/>
  <c r="AC1124" i="14"/>
  <c r="AC1128" i="14"/>
  <c r="AC1132" i="14"/>
  <c r="AC1136" i="14"/>
  <c r="AC1140" i="14"/>
  <c r="AC1144" i="14"/>
  <c r="AC1148" i="14"/>
  <c r="AC1152" i="14"/>
  <c r="AC1156" i="14"/>
  <c r="AC1160" i="14"/>
  <c r="AC1164" i="14"/>
  <c r="AC1168" i="14"/>
  <c r="AC1172" i="14"/>
  <c r="AC1176" i="14"/>
  <c r="AC1090" i="14"/>
  <c r="AC1081" i="14"/>
  <c r="AC1085" i="14"/>
  <c r="AC1089" i="14"/>
  <c r="AC1093" i="14"/>
  <c r="AC1097" i="14"/>
  <c r="AC1101" i="14"/>
  <c r="AC1105" i="14"/>
  <c r="AC1109" i="14"/>
  <c r="AC1113" i="14"/>
  <c r="AC1117" i="14"/>
  <c r="AC1121" i="14"/>
  <c r="AC1125" i="14"/>
  <c r="AC1129" i="14"/>
  <c r="AC1133" i="14"/>
  <c r="AC1137" i="14"/>
  <c r="AC1141" i="14"/>
  <c r="AC1145" i="14"/>
  <c r="AC1149" i="14"/>
  <c r="AC1153" i="14"/>
  <c r="AC1157" i="14"/>
  <c r="AC1161" i="14"/>
  <c r="AC1165" i="14"/>
  <c r="AC1169" i="14"/>
  <c r="AC1173" i="14"/>
  <c r="AC1177" i="14"/>
  <c r="AC1082" i="14"/>
  <c r="AC1094" i="14"/>
  <c r="AC1098" i="14"/>
  <c r="AC1102" i="14"/>
  <c r="AC1106" i="14"/>
  <c r="AC1110" i="14"/>
  <c r="AC1114" i="14"/>
  <c r="AC1118" i="14"/>
  <c r="AC1122" i="14"/>
  <c r="AC1126" i="14"/>
  <c r="AC1130" i="14"/>
  <c r="AC1134" i="14"/>
  <c r="AC1138" i="14"/>
  <c r="AC1142" i="14"/>
  <c r="AC1146" i="14"/>
  <c r="AC1150" i="14"/>
  <c r="AC1158" i="14"/>
  <c r="AC1166" i="14"/>
  <c r="AC1174" i="14"/>
  <c r="Z1079" i="14"/>
  <c r="Z1083" i="14"/>
  <c r="Z1087" i="14"/>
  <c r="Z1091" i="14"/>
  <c r="Z1095" i="14"/>
  <c r="Z1099" i="14"/>
  <c r="Z1103" i="14"/>
  <c r="Z1107" i="14"/>
  <c r="Z1111" i="14"/>
  <c r="Z1115" i="14"/>
  <c r="Z1119" i="14"/>
  <c r="Z1123" i="14"/>
  <c r="Z1127" i="14"/>
  <c r="Z1131" i="14"/>
  <c r="Z1135" i="14"/>
  <c r="Z1139" i="14"/>
  <c r="Z1143" i="14"/>
  <c r="Z1147" i="14"/>
  <c r="Z1151" i="14"/>
  <c r="Z1155" i="14"/>
  <c r="Z1159" i="14"/>
  <c r="Z1163" i="14"/>
  <c r="Z1167" i="14"/>
  <c r="Z1171" i="14"/>
  <c r="Z1175" i="14"/>
  <c r="Z1080" i="14"/>
  <c r="Z1084" i="14"/>
  <c r="Z1088" i="14"/>
  <c r="Z1092" i="14"/>
  <c r="Z1096" i="14"/>
  <c r="Z1100" i="14"/>
  <c r="Z1104" i="14"/>
  <c r="Z1108" i="14"/>
  <c r="Z1112" i="14"/>
  <c r="Z1116" i="14"/>
  <c r="Z1120" i="14"/>
  <c r="Z1124" i="14"/>
  <c r="Z1128" i="14"/>
  <c r="Z1132" i="14"/>
  <c r="Z1136" i="14"/>
  <c r="Z1140" i="14"/>
  <c r="Z1144" i="14"/>
  <c r="Z1148" i="14"/>
  <c r="Z1152" i="14"/>
  <c r="Z1156" i="14"/>
  <c r="Z1160" i="14"/>
  <c r="Z1164" i="14"/>
  <c r="Z1168" i="14"/>
  <c r="Z1172" i="14"/>
  <c r="Z1176" i="14"/>
  <c r="Z1081" i="14"/>
  <c r="Z1085" i="14"/>
  <c r="Z1089" i="14"/>
  <c r="Z1093" i="14"/>
  <c r="Z1097" i="14"/>
  <c r="Z1101" i="14"/>
  <c r="Z1105" i="14"/>
  <c r="Z1109" i="14"/>
  <c r="Z1113" i="14"/>
  <c r="Z1117" i="14"/>
  <c r="Z1121" i="14"/>
  <c r="Z1125" i="14"/>
  <c r="Z1129" i="14"/>
  <c r="Z1133" i="14"/>
  <c r="Z1137" i="14"/>
  <c r="Z1141" i="14"/>
  <c r="Z1145" i="14"/>
  <c r="Z1149" i="14"/>
  <c r="Z1153" i="14"/>
  <c r="Z1157" i="14"/>
  <c r="Z1161" i="14"/>
  <c r="Z1165" i="14"/>
  <c r="Z1169" i="14"/>
  <c r="Z1173" i="14"/>
  <c r="Z1177" i="14"/>
  <c r="Z1082" i="14"/>
  <c r="Z1086" i="14"/>
  <c r="Z1090" i="14"/>
  <c r="Z1094" i="14"/>
  <c r="Z1098" i="14"/>
  <c r="Z1102" i="14"/>
  <c r="Z1106" i="14"/>
  <c r="Z1110" i="14"/>
  <c r="Z1114" i="14"/>
  <c r="Z1118" i="14"/>
  <c r="Z1122" i="14"/>
  <c r="Z1126" i="14"/>
  <c r="Z1130" i="14"/>
  <c r="Z1134" i="14"/>
  <c r="Z1138" i="14"/>
  <c r="Z1142" i="14"/>
  <c r="Z1146" i="14"/>
  <c r="Z1150" i="14"/>
  <c r="Z1154" i="14"/>
  <c r="Z1158" i="14"/>
  <c r="Z1162" i="14"/>
  <c r="Z1166" i="14"/>
  <c r="Z1170" i="14"/>
  <c r="Z1174" i="14"/>
  <c r="AC974" i="14"/>
  <c r="AC978" i="14"/>
  <c r="AC982" i="14"/>
  <c r="AC986" i="14"/>
  <c r="AC990" i="14"/>
  <c r="AC994" i="14"/>
  <c r="AC998" i="14"/>
  <c r="AC1002" i="14"/>
  <c r="AC1006" i="14"/>
  <c r="AC1010" i="14"/>
  <c r="AC1014" i="14"/>
  <c r="AC1018" i="14"/>
  <c r="AC1022" i="14"/>
  <c r="AC1026" i="14"/>
  <c r="AC1030" i="14"/>
  <c r="AC1034" i="14"/>
  <c r="AC1038" i="14"/>
  <c r="AC1042" i="14"/>
  <c r="AC1046" i="14"/>
  <c r="AC1050" i="14"/>
  <c r="AC1054" i="14"/>
  <c r="AC1058" i="14"/>
  <c r="AC1062" i="14"/>
  <c r="AC1066" i="14"/>
  <c r="AC1070" i="14"/>
  <c r="AC977" i="14"/>
  <c r="AC997" i="14"/>
  <c r="AC1009" i="14"/>
  <c r="AC1021" i="14"/>
  <c r="AC1033" i="14"/>
  <c r="AC1053" i="14"/>
  <c r="AC1065" i="14"/>
  <c r="AC975" i="14"/>
  <c r="AC979" i="14"/>
  <c r="AC983" i="14"/>
  <c r="AC987" i="14"/>
  <c r="AC991" i="14"/>
  <c r="AC995" i="14"/>
  <c r="AC999" i="14"/>
  <c r="AC1003" i="14"/>
  <c r="AC1007" i="14"/>
  <c r="AC1011" i="14"/>
  <c r="AC1015" i="14"/>
  <c r="AC1019" i="14"/>
  <c r="AC1023" i="14"/>
  <c r="AC1027" i="14"/>
  <c r="AC1031" i="14"/>
  <c r="AC1035" i="14"/>
  <c r="AC1039" i="14"/>
  <c r="AC1043" i="14"/>
  <c r="AC1047" i="14"/>
  <c r="AC1051" i="14"/>
  <c r="AC1055" i="14"/>
  <c r="AC1059" i="14"/>
  <c r="AC1063" i="14"/>
  <c r="AC1067" i="14"/>
  <c r="AC1071" i="14"/>
  <c r="AC981" i="14"/>
  <c r="AC989" i="14"/>
  <c r="AC1001" i="14"/>
  <c r="AC1013" i="14"/>
  <c r="AC1025" i="14"/>
  <c r="AC1037" i="14"/>
  <c r="AC1049" i="14"/>
  <c r="AC1061" i="14"/>
  <c r="AC976" i="14"/>
  <c r="AC980" i="14"/>
  <c r="AC984" i="14"/>
  <c r="AC988" i="14"/>
  <c r="AC992" i="14"/>
  <c r="AC996" i="14"/>
  <c r="AC1000" i="14"/>
  <c r="AC1004" i="14"/>
  <c r="AC1008" i="14"/>
  <c r="AC1012" i="14"/>
  <c r="AC1016" i="14"/>
  <c r="AC1020" i="14"/>
  <c r="AC1024" i="14"/>
  <c r="AC1028" i="14"/>
  <c r="AC1032" i="14"/>
  <c r="AC1036" i="14"/>
  <c r="AC1040" i="14"/>
  <c r="AC1044" i="14"/>
  <c r="AC1048" i="14"/>
  <c r="AC1052" i="14"/>
  <c r="AC1056" i="14"/>
  <c r="AC1060" i="14"/>
  <c r="AC1064" i="14"/>
  <c r="AC1068" i="14"/>
  <c r="AC1072" i="14"/>
  <c r="AC985" i="14"/>
  <c r="AC993" i="14"/>
  <c r="AC1005" i="14"/>
  <c r="AC1017" i="14"/>
  <c r="AC1029" i="14"/>
  <c r="AC1041" i="14"/>
  <c r="AC1045" i="14"/>
  <c r="AC1057" i="14"/>
  <c r="AC1069" i="14"/>
  <c r="Z973" i="14"/>
  <c r="Z974" i="14"/>
  <c r="Z978" i="14"/>
  <c r="Z982" i="14"/>
  <c r="Z986" i="14"/>
  <c r="Z990" i="14"/>
  <c r="Z994" i="14"/>
  <c r="Z998" i="14"/>
  <c r="Z1002" i="14"/>
  <c r="Z1006" i="14"/>
  <c r="Z1010" i="14"/>
  <c r="Z1014" i="14"/>
  <c r="Z1018" i="14"/>
  <c r="Z1022" i="14"/>
  <c r="Z1026" i="14"/>
  <c r="Z1030" i="14"/>
  <c r="Z1034" i="14"/>
  <c r="Z1038" i="14"/>
  <c r="Z1042" i="14"/>
  <c r="Z1046" i="14"/>
  <c r="Z1050" i="14"/>
  <c r="Z1054" i="14"/>
  <c r="Z1058" i="14"/>
  <c r="Z1062" i="14"/>
  <c r="Z1066" i="14"/>
  <c r="Z1070" i="14"/>
  <c r="Z977" i="14"/>
  <c r="Z993" i="14"/>
  <c r="Z1001" i="14"/>
  <c r="Z1009" i="14"/>
  <c r="Z1013" i="14"/>
  <c r="Z1021" i="14"/>
  <c r="Z1033" i="14"/>
  <c r="Z1041" i="14"/>
  <c r="Z1053" i="14"/>
  <c r="Z1065" i="14"/>
  <c r="Z975" i="14"/>
  <c r="Z979" i="14"/>
  <c r="Z983" i="14"/>
  <c r="Z987" i="14"/>
  <c r="Z991" i="14"/>
  <c r="Z995" i="14"/>
  <c r="Z999" i="14"/>
  <c r="Z1003" i="14"/>
  <c r="Z1007" i="14"/>
  <c r="Z1011" i="14"/>
  <c r="Z1015" i="14"/>
  <c r="Z1019" i="14"/>
  <c r="Z1023" i="14"/>
  <c r="Z1027" i="14"/>
  <c r="Z1031" i="14"/>
  <c r="Z1035" i="14"/>
  <c r="Z1039" i="14"/>
  <c r="Z1043" i="14"/>
  <c r="Z1047" i="14"/>
  <c r="Z1051" i="14"/>
  <c r="Z1055" i="14"/>
  <c r="Z1059" i="14"/>
  <c r="Z1063" i="14"/>
  <c r="Z1067" i="14"/>
  <c r="Z1071" i="14"/>
  <c r="Z981" i="14"/>
  <c r="Z989" i="14"/>
  <c r="Z997" i="14"/>
  <c r="Z1005" i="14"/>
  <c r="Z1017" i="14"/>
  <c r="Z1025" i="14"/>
  <c r="Z1037" i="14"/>
  <c r="Z1049" i="14"/>
  <c r="Z1061" i="14"/>
  <c r="Z976" i="14"/>
  <c r="Z980" i="14"/>
  <c r="Z984" i="14"/>
  <c r="Z988" i="14"/>
  <c r="Z992" i="14"/>
  <c r="Z996" i="14"/>
  <c r="Z1000" i="14"/>
  <c r="Z1004" i="14"/>
  <c r="Z1008" i="14"/>
  <c r="Z1012" i="14"/>
  <c r="Z1016" i="14"/>
  <c r="Z1020" i="14"/>
  <c r="Z1024" i="14"/>
  <c r="Z1028" i="14"/>
  <c r="Z1032" i="14"/>
  <c r="Z1036" i="14"/>
  <c r="Z1040" i="14"/>
  <c r="Z1044" i="14"/>
  <c r="Z1048" i="14"/>
  <c r="Z1052" i="14"/>
  <c r="Z1056" i="14"/>
  <c r="Z1060" i="14"/>
  <c r="Z1064" i="14"/>
  <c r="Z1068" i="14"/>
  <c r="Z1072" i="14"/>
  <c r="Z985" i="14"/>
  <c r="Z1029" i="14"/>
  <c r="Z1045" i="14"/>
  <c r="Z1057" i="14"/>
  <c r="Z1069" i="14"/>
  <c r="AC868" i="14"/>
  <c r="AC869" i="14"/>
  <c r="AC873" i="14"/>
  <c r="AC877" i="14"/>
  <c r="AC881" i="14"/>
  <c r="AC885" i="14"/>
  <c r="AC889" i="14"/>
  <c r="AC893" i="14"/>
  <c r="AC897" i="14"/>
  <c r="AC901" i="14"/>
  <c r="AC905" i="14"/>
  <c r="AC909" i="14"/>
  <c r="AC913" i="14"/>
  <c r="AC917" i="14"/>
  <c r="AC921" i="14"/>
  <c r="AC925" i="14"/>
  <c r="AC929" i="14"/>
  <c r="AC933" i="14"/>
  <c r="AC937" i="14"/>
  <c r="AC941" i="14"/>
  <c r="AC945" i="14"/>
  <c r="AC949" i="14"/>
  <c r="AC953" i="14"/>
  <c r="AC957" i="14"/>
  <c r="AC961" i="14"/>
  <c r="AC965" i="14"/>
  <c r="AC880" i="14"/>
  <c r="AC908" i="14"/>
  <c r="AC920" i="14"/>
  <c r="AC932" i="14"/>
  <c r="AC944" i="14"/>
  <c r="AC956" i="14"/>
  <c r="AC870" i="14"/>
  <c r="AC874" i="14"/>
  <c r="AC878" i="14"/>
  <c r="AC882" i="14"/>
  <c r="AC886" i="14"/>
  <c r="AC890" i="14"/>
  <c r="AC894" i="14"/>
  <c r="AC898" i="14"/>
  <c r="AC902" i="14"/>
  <c r="AC906" i="14"/>
  <c r="AC910" i="14"/>
  <c r="AC914" i="14"/>
  <c r="AC918" i="14"/>
  <c r="AC922" i="14"/>
  <c r="AC926" i="14"/>
  <c r="AC930" i="14"/>
  <c r="AC934" i="14"/>
  <c r="AC938" i="14"/>
  <c r="AC942" i="14"/>
  <c r="AC946" i="14"/>
  <c r="AC950" i="14"/>
  <c r="AC954" i="14"/>
  <c r="AC958" i="14"/>
  <c r="AC962" i="14"/>
  <c r="AC966" i="14"/>
  <c r="AC876" i="14"/>
  <c r="AC888" i="14"/>
  <c r="AC896" i="14"/>
  <c r="AC904" i="14"/>
  <c r="AC912" i="14"/>
  <c r="AC924" i="14"/>
  <c r="AC936" i="14"/>
  <c r="AC948" i="14"/>
  <c r="AC964" i="14"/>
  <c r="AC871" i="14"/>
  <c r="AC875" i="14"/>
  <c r="AC879" i="14"/>
  <c r="AC883" i="14"/>
  <c r="AC887" i="14"/>
  <c r="AC891" i="14"/>
  <c r="AC895" i="14"/>
  <c r="AC899" i="14"/>
  <c r="AC903" i="14"/>
  <c r="AC907" i="14"/>
  <c r="AC911" i="14"/>
  <c r="AC915" i="14"/>
  <c r="AC919" i="14"/>
  <c r="AC923" i="14"/>
  <c r="AC927" i="14"/>
  <c r="AC931" i="14"/>
  <c r="AC935" i="14"/>
  <c r="AC939" i="14"/>
  <c r="AC943" i="14"/>
  <c r="AC947" i="14"/>
  <c r="AC951" i="14"/>
  <c r="AC955" i="14"/>
  <c r="AC959" i="14"/>
  <c r="AC963" i="14"/>
  <c r="AC967" i="14"/>
  <c r="AC872" i="14"/>
  <c r="AC884" i="14"/>
  <c r="AC892" i="14"/>
  <c r="AC900" i="14"/>
  <c r="AC916" i="14"/>
  <c r="AC928" i="14"/>
  <c r="AC940" i="14"/>
  <c r="AC952" i="14"/>
  <c r="AC960" i="14"/>
  <c r="Z869" i="14"/>
  <c r="Z873" i="14"/>
  <c r="Z877" i="14"/>
  <c r="Z881" i="14"/>
  <c r="Z885" i="14"/>
  <c r="Z889" i="14"/>
  <c r="Z893" i="14"/>
  <c r="Z897" i="14"/>
  <c r="Z901" i="14"/>
  <c r="Z905" i="14"/>
  <c r="Z909" i="14"/>
  <c r="Z913" i="14"/>
  <c r="Z917" i="14"/>
  <c r="Z921" i="14"/>
  <c r="Z925" i="14"/>
  <c r="Z929" i="14"/>
  <c r="Z933" i="14"/>
  <c r="Z937" i="14"/>
  <c r="Z941" i="14"/>
  <c r="Z945" i="14"/>
  <c r="Z949" i="14"/>
  <c r="Z953" i="14"/>
  <c r="Z957" i="14"/>
  <c r="Z961" i="14"/>
  <c r="Z965" i="14"/>
  <c r="Z870" i="14"/>
  <c r="Z874" i="14"/>
  <c r="Z878" i="14"/>
  <c r="Z882" i="14"/>
  <c r="Z886" i="14"/>
  <c r="Z890" i="14"/>
  <c r="Z894" i="14"/>
  <c r="Z898" i="14"/>
  <c r="Z902" i="14"/>
  <c r="Z906" i="14"/>
  <c r="Z910" i="14"/>
  <c r="Z914" i="14"/>
  <c r="Z918" i="14"/>
  <c r="Z922" i="14"/>
  <c r="Z926" i="14"/>
  <c r="Z930" i="14"/>
  <c r="Z934" i="14"/>
  <c r="Z938" i="14"/>
  <c r="Z942" i="14"/>
  <c r="Z946" i="14"/>
  <c r="Z950" i="14"/>
  <c r="Z954" i="14"/>
  <c r="Z958" i="14"/>
  <c r="Z962" i="14"/>
  <c r="Z966" i="14"/>
  <c r="Z871" i="14"/>
  <c r="Z875" i="14"/>
  <c r="Z879" i="14"/>
  <c r="Z883" i="14"/>
  <c r="Z887" i="14"/>
  <c r="Z891" i="14"/>
  <c r="Z895" i="14"/>
  <c r="Z899" i="14"/>
  <c r="Z903" i="14"/>
  <c r="Z907" i="14"/>
  <c r="Z911" i="14"/>
  <c r="Z915" i="14"/>
  <c r="Z919" i="14"/>
  <c r="Z923" i="14"/>
  <c r="Z927" i="14"/>
  <c r="Z931" i="14"/>
  <c r="Z935" i="14"/>
  <c r="Z939" i="14"/>
  <c r="Z943" i="14"/>
  <c r="Z947" i="14"/>
  <c r="Z951" i="14"/>
  <c r="Z955" i="14"/>
  <c r="Z959" i="14"/>
  <c r="Z963" i="14"/>
  <c r="Z967" i="14"/>
  <c r="Z872" i="14"/>
  <c r="Z876" i="14"/>
  <c r="Z880" i="14"/>
  <c r="Z884" i="14"/>
  <c r="Z888" i="14"/>
  <c r="Z892" i="14"/>
  <c r="Z896" i="14"/>
  <c r="Z900" i="14"/>
  <c r="Z904" i="14"/>
  <c r="Z908" i="14"/>
  <c r="Z912" i="14"/>
  <c r="Z916" i="14"/>
  <c r="Z920" i="14"/>
  <c r="Z924" i="14"/>
  <c r="Z928" i="14"/>
  <c r="Z932" i="14"/>
  <c r="Z936" i="14"/>
  <c r="Z940" i="14"/>
  <c r="Z944" i="14"/>
  <c r="Z948" i="14"/>
  <c r="Z952" i="14"/>
  <c r="Z956" i="14"/>
  <c r="Z960" i="14"/>
  <c r="Z964" i="14"/>
  <c r="AC763" i="14"/>
  <c r="AC764" i="14"/>
  <c r="AC768" i="14"/>
  <c r="AC772" i="14"/>
  <c r="AC776" i="14"/>
  <c r="AC780" i="14"/>
  <c r="AC784" i="14"/>
  <c r="AC788" i="14"/>
  <c r="AC792" i="14"/>
  <c r="AC796" i="14"/>
  <c r="AC800" i="14"/>
  <c r="AC804" i="14"/>
  <c r="AC808" i="14"/>
  <c r="AC812" i="14"/>
  <c r="AC816" i="14"/>
  <c r="AC820" i="14"/>
  <c r="AC824" i="14"/>
  <c r="AC828" i="14"/>
  <c r="AC832" i="14"/>
  <c r="AC836" i="14"/>
  <c r="AC840" i="14"/>
  <c r="AC844" i="14"/>
  <c r="AC848" i="14"/>
  <c r="AC852" i="14"/>
  <c r="AC856" i="14"/>
  <c r="AC860" i="14"/>
  <c r="AC767" i="14"/>
  <c r="AC765" i="14"/>
  <c r="AC769" i="14"/>
  <c r="AC773" i="14"/>
  <c r="AC777" i="14"/>
  <c r="AC781" i="14"/>
  <c r="AC785" i="14"/>
  <c r="AC789" i="14"/>
  <c r="AC793" i="14"/>
  <c r="AC797" i="14"/>
  <c r="AC801" i="14"/>
  <c r="AC805" i="14"/>
  <c r="AC809" i="14"/>
  <c r="AC813" i="14"/>
  <c r="AC817" i="14"/>
  <c r="AC821" i="14"/>
  <c r="AC825" i="14"/>
  <c r="AC829" i="14"/>
  <c r="AC833" i="14"/>
  <c r="AC837" i="14"/>
  <c r="AC841" i="14"/>
  <c r="AC845" i="14"/>
  <c r="AC849" i="14"/>
  <c r="AC853" i="14"/>
  <c r="AC857" i="14"/>
  <c r="AC861" i="14"/>
  <c r="AC771" i="14"/>
  <c r="AC779" i="14"/>
  <c r="AC783" i="14"/>
  <c r="AC791" i="14"/>
  <c r="AC799" i="14"/>
  <c r="AC807" i="14"/>
  <c r="AC815" i="14"/>
  <c r="AC827" i="14"/>
  <c r="AC835" i="14"/>
  <c r="AC847" i="14"/>
  <c r="AC855" i="14"/>
  <c r="AC766" i="14"/>
  <c r="AC770" i="14"/>
  <c r="AC774" i="14"/>
  <c r="AC778" i="14"/>
  <c r="AC782" i="14"/>
  <c r="AC786" i="14"/>
  <c r="AC790" i="14"/>
  <c r="AC794" i="14"/>
  <c r="AC798" i="14"/>
  <c r="AC802" i="14"/>
  <c r="AC806" i="14"/>
  <c r="AC810" i="14"/>
  <c r="AC814" i="14"/>
  <c r="AC818" i="14"/>
  <c r="AC822" i="14"/>
  <c r="AC826" i="14"/>
  <c r="AC830" i="14"/>
  <c r="AC834" i="14"/>
  <c r="AC838" i="14"/>
  <c r="AC842" i="14"/>
  <c r="AC846" i="14"/>
  <c r="AC850" i="14"/>
  <c r="AC854" i="14"/>
  <c r="AC858" i="14"/>
  <c r="AC862" i="14"/>
  <c r="AC775" i="14"/>
  <c r="AC787" i="14"/>
  <c r="AC795" i="14"/>
  <c r="AC803" i="14"/>
  <c r="AC811" i="14"/>
  <c r="AC819" i="14"/>
  <c r="AC823" i="14"/>
  <c r="AC831" i="14"/>
  <c r="AC839" i="14"/>
  <c r="AC843" i="14"/>
  <c r="AC851" i="14"/>
  <c r="AC859" i="14"/>
  <c r="Z764" i="14"/>
  <c r="Z768" i="14"/>
  <c r="Z772" i="14"/>
  <c r="Z776" i="14"/>
  <c r="Z780" i="14"/>
  <c r="Z784" i="14"/>
  <c r="Z788" i="14"/>
  <c r="Z792" i="14"/>
  <c r="Z796" i="14"/>
  <c r="Z800" i="14"/>
  <c r="Z804" i="14"/>
  <c r="Z808" i="14"/>
  <c r="Z812" i="14"/>
  <c r="Z816" i="14"/>
  <c r="Z820" i="14"/>
  <c r="Z824" i="14"/>
  <c r="Z828" i="14"/>
  <c r="Z832" i="14"/>
  <c r="Z836" i="14"/>
  <c r="Z840" i="14"/>
  <c r="Z844" i="14"/>
  <c r="Z848" i="14"/>
  <c r="Z852" i="14"/>
  <c r="Z856" i="14"/>
  <c r="Z860" i="14"/>
  <c r="Z765" i="14"/>
  <c r="Z769" i="14"/>
  <c r="Z773" i="14"/>
  <c r="Z777" i="14"/>
  <c r="Z781" i="14"/>
  <c r="Z785" i="14"/>
  <c r="Z789" i="14"/>
  <c r="Z793" i="14"/>
  <c r="Z797" i="14"/>
  <c r="Z801" i="14"/>
  <c r="Z805" i="14"/>
  <c r="Z809" i="14"/>
  <c r="Z813" i="14"/>
  <c r="Z817" i="14"/>
  <c r="Z821" i="14"/>
  <c r="Z825" i="14"/>
  <c r="Z829" i="14"/>
  <c r="Z833" i="14"/>
  <c r="Z837" i="14"/>
  <c r="Z841" i="14"/>
  <c r="Z845" i="14"/>
  <c r="Z849" i="14"/>
  <c r="Z853" i="14"/>
  <c r="Z857" i="14"/>
  <c r="Z861" i="14"/>
  <c r="Z766" i="14"/>
  <c r="Z770" i="14"/>
  <c r="Z774" i="14"/>
  <c r="Z778" i="14"/>
  <c r="Z782" i="14"/>
  <c r="Z786" i="14"/>
  <c r="Z790" i="14"/>
  <c r="Z794" i="14"/>
  <c r="Z798" i="14"/>
  <c r="Z802" i="14"/>
  <c r="Z806" i="14"/>
  <c r="Z810" i="14"/>
  <c r="Z814" i="14"/>
  <c r="Z818" i="14"/>
  <c r="Z822" i="14"/>
  <c r="Z826" i="14"/>
  <c r="Z830" i="14"/>
  <c r="Z834" i="14"/>
  <c r="Z838" i="14"/>
  <c r="Z842" i="14"/>
  <c r="Z846" i="14"/>
  <c r="Z850" i="14"/>
  <c r="Z854" i="14"/>
  <c r="Z858" i="14"/>
  <c r="Z862" i="14"/>
  <c r="Z767" i="14"/>
  <c r="Z771" i="14"/>
  <c r="Z775" i="14"/>
  <c r="Z779" i="14"/>
  <c r="Z783" i="14"/>
  <c r="Z787" i="14"/>
  <c r="Z791" i="14"/>
  <c r="Z795" i="14"/>
  <c r="Z799" i="14"/>
  <c r="Z803" i="14"/>
  <c r="Z807" i="14"/>
  <c r="Z811" i="14"/>
  <c r="Z815" i="14"/>
  <c r="Z819" i="14"/>
  <c r="Z823" i="14"/>
  <c r="Z827" i="14"/>
  <c r="Z831" i="14"/>
  <c r="Z835" i="14"/>
  <c r="Z839" i="14"/>
  <c r="Z843" i="14"/>
  <c r="Z847" i="14"/>
  <c r="Z851" i="14"/>
  <c r="Z855" i="14"/>
  <c r="Z859" i="14"/>
  <c r="AC659" i="14"/>
  <c r="AC663" i="14"/>
  <c r="AC667" i="14"/>
  <c r="AC671" i="14"/>
  <c r="AC675" i="14"/>
  <c r="AC679" i="14"/>
  <c r="AC683" i="14"/>
  <c r="AC687" i="14"/>
  <c r="AC691" i="14"/>
  <c r="AC695" i="14"/>
  <c r="AC699" i="14"/>
  <c r="AC703" i="14"/>
  <c r="AC707" i="14"/>
  <c r="AC711" i="14"/>
  <c r="AC715" i="14"/>
  <c r="AC719" i="14"/>
  <c r="AC723" i="14"/>
  <c r="AC727" i="14"/>
  <c r="AC731" i="14"/>
  <c r="AC735" i="14"/>
  <c r="AC739" i="14"/>
  <c r="AC743" i="14"/>
  <c r="AC747" i="14"/>
  <c r="AC751" i="14"/>
  <c r="AC755" i="14"/>
  <c r="AC662" i="14"/>
  <c r="AC682" i="14"/>
  <c r="AC694" i="14"/>
  <c r="AC706" i="14"/>
  <c r="AC718" i="14"/>
  <c r="AC730" i="14"/>
  <c r="AC742" i="14"/>
  <c r="AC754" i="14"/>
  <c r="AC660" i="14"/>
  <c r="AC664" i="14"/>
  <c r="AC668" i="14"/>
  <c r="AC672" i="14"/>
  <c r="AC676" i="14"/>
  <c r="AC680" i="14"/>
  <c r="AC684" i="14"/>
  <c r="AC688" i="14"/>
  <c r="AC692" i="14"/>
  <c r="AC696" i="14"/>
  <c r="AC700" i="14"/>
  <c r="AC704" i="14"/>
  <c r="AC708" i="14"/>
  <c r="AC712" i="14"/>
  <c r="AC716" i="14"/>
  <c r="AC720" i="14"/>
  <c r="AC724" i="14"/>
  <c r="AC728" i="14"/>
  <c r="AC732" i="14"/>
  <c r="AC736" i="14"/>
  <c r="AC740" i="14"/>
  <c r="AC744" i="14"/>
  <c r="AC748" i="14"/>
  <c r="AC752" i="14"/>
  <c r="AC756" i="14"/>
  <c r="AC670" i="14"/>
  <c r="AC686" i="14"/>
  <c r="AC698" i="14"/>
  <c r="AC710" i="14"/>
  <c r="AC726" i="14"/>
  <c r="AC738" i="14"/>
  <c r="AC746" i="14"/>
  <c r="AC661" i="14"/>
  <c r="AC665" i="14"/>
  <c r="AC669" i="14"/>
  <c r="AC673" i="14"/>
  <c r="AC677" i="14"/>
  <c r="AC681" i="14"/>
  <c r="AC685" i="14"/>
  <c r="AC689" i="14"/>
  <c r="AC693" i="14"/>
  <c r="AC697" i="14"/>
  <c r="AC701" i="14"/>
  <c r="AC705" i="14"/>
  <c r="AC709" i="14"/>
  <c r="AC713" i="14"/>
  <c r="AC717" i="14"/>
  <c r="AC721" i="14"/>
  <c r="AC725" i="14"/>
  <c r="AC729" i="14"/>
  <c r="AC733" i="14"/>
  <c r="AC737" i="14"/>
  <c r="AC741" i="14"/>
  <c r="AC745" i="14"/>
  <c r="AC749" i="14"/>
  <c r="AC753" i="14"/>
  <c r="AC757" i="14"/>
  <c r="AC666" i="14"/>
  <c r="AC674" i="14"/>
  <c r="AC678" i="14"/>
  <c r="AC690" i="14"/>
  <c r="AC702" i="14"/>
  <c r="AC714" i="14"/>
  <c r="AC722" i="14"/>
  <c r="AC734" i="14"/>
  <c r="AC750" i="14"/>
  <c r="Z659" i="14"/>
  <c r="Z663" i="14"/>
  <c r="Z667" i="14"/>
  <c r="Z671" i="14"/>
  <c r="Z675" i="14"/>
  <c r="Z679" i="14"/>
  <c r="Z683" i="14"/>
  <c r="Z687" i="14"/>
  <c r="Z691" i="14"/>
  <c r="Z695" i="14"/>
  <c r="Z699" i="14"/>
  <c r="Z703" i="14"/>
  <c r="Z707" i="14"/>
  <c r="Z711" i="14"/>
  <c r="Z715" i="14"/>
  <c r="Z719" i="14"/>
  <c r="Z723" i="14"/>
  <c r="Z727" i="14"/>
  <c r="Z731" i="14"/>
  <c r="Z735" i="14"/>
  <c r="Z739" i="14"/>
  <c r="Z743" i="14"/>
  <c r="Z747" i="14"/>
  <c r="Z751" i="14"/>
  <c r="Z755" i="14"/>
  <c r="Z670" i="14"/>
  <c r="Z678" i="14"/>
  <c r="Z686" i="14"/>
  <c r="Z698" i="14"/>
  <c r="Z702" i="14"/>
  <c r="Z714" i="14"/>
  <c r="Z726" i="14"/>
  <c r="Z738" i="14"/>
  <c r="Z750" i="14"/>
  <c r="Z660" i="14"/>
  <c r="Z664" i="14"/>
  <c r="Z668" i="14"/>
  <c r="Z672" i="14"/>
  <c r="Z676" i="14"/>
  <c r="Z680" i="14"/>
  <c r="Z684" i="14"/>
  <c r="Z688" i="14"/>
  <c r="Z692" i="14"/>
  <c r="Z696" i="14"/>
  <c r="Z700" i="14"/>
  <c r="Z704" i="14"/>
  <c r="Z708" i="14"/>
  <c r="Z712" i="14"/>
  <c r="Z716" i="14"/>
  <c r="Z720" i="14"/>
  <c r="Z724" i="14"/>
  <c r="Z728" i="14"/>
  <c r="Z732" i="14"/>
  <c r="Z736" i="14"/>
  <c r="Z740" i="14"/>
  <c r="Z744" i="14"/>
  <c r="Z748" i="14"/>
  <c r="Z752" i="14"/>
  <c r="Z756" i="14"/>
  <c r="Z666" i="14"/>
  <c r="Z674" i="14"/>
  <c r="Z682" i="14"/>
  <c r="Z694" i="14"/>
  <c r="Z706" i="14"/>
  <c r="Z718" i="14"/>
  <c r="Z730" i="14"/>
  <c r="Z742" i="14"/>
  <c r="Z754" i="14"/>
  <c r="Z661" i="14"/>
  <c r="Z665" i="14"/>
  <c r="Z669" i="14"/>
  <c r="Z673" i="14"/>
  <c r="Z677" i="14"/>
  <c r="Z681" i="14"/>
  <c r="Z685" i="14"/>
  <c r="Z689" i="14"/>
  <c r="Z693" i="14"/>
  <c r="Z697" i="14"/>
  <c r="Z701" i="14"/>
  <c r="Z705" i="14"/>
  <c r="Z709" i="14"/>
  <c r="Z713" i="14"/>
  <c r="Z717" i="14"/>
  <c r="Z721" i="14"/>
  <c r="Z725" i="14"/>
  <c r="Z729" i="14"/>
  <c r="Z733" i="14"/>
  <c r="Z737" i="14"/>
  <c r="Z741" i="14"/>
  <c r="Z745" i="14"/>
  <c r="Z749" i="14"/>
  <c r="Z753" i="14"/>
  <c r="Z757" i="14"/>
  <c r="Z662" i="14"/>
  <c r="Z690" i="14"/>
  <c r="Z710" i="14"/>
  <c r="Z722" i="14"/>
  <c r="Z734" i="14"/>
  <c r="Z746" i="14"/>
  <c r="AC554" i="14"/>
  <c r="AC558" i="14"/>
  <c r="AC562" i="14"/>
  <c r="AC566" i="14"/>
  <c r="AC570" i="14"/>
  <c r="AC574" i="14"/>
  <c r="AC578" i="14"/>
  <c r="AC582" i="14"/>
  <c r="AC586" i="14"/>
  <c r="AC590" i="14"/>
  <c r="AC594" i="14"/>
  <c r="AC598" i="14"/>
  <c r="AC602" i="14"/>
  <c r="AC606" i="14"/>
  <c r="AC610" i="14"/>
  <c r="AC614" i="14"/>
  <c r="AC618" i="14"/>
  <c r="AC622" i="14"/>
  <c r="AC626" i="14"/>
  <c r="AC630" i="14"/>
  <c r="AC634" i="14"/>
  <c r="AC638" i="14"/>
  <c r="AC642" i="14"/>
  <c r="AC646" i="14"/>
  <c r="AC650" i="14"/>
  <c r="AC565" i="14"/>
  <c r="AC569" i="14"/>
  <c r="AC581" i="14"/>
  <c r="AC589" i="14"/>
  <c r="AC601" i="14"/>
  <c r="AC605" i="14"/>
  <c r="AC617" i="14"/>
  <c r="AC629" i="14"/>
  <c r="AC641" i="14"/>
  <c r="AC649" i="14"/>
  <c r="AC555" i="14"/>
  <c r="AC559" i="14"/>
  <c r="AC563" i="14"/>
  <c r="AC567" i="14"/>
  <c r="AC571" i="14"/>
  <c r="AC575" i="14"/>
  <c r="AC579" i="14"/>
  <c r="AC583" i="14"/>
  <c r="AC587" i="14"/>
  <c r="AC591" i="14"/>
  <c r="AC595" i="14"/>
  <c r="AC599" i="14"/>
  <c r="AC603" i="14"/>
  <c r="AC607" i="14"/>
  <c r="AC611" i="14"/>
  <c r="AC615" i="14"/>
  <c r="AC619" i="14"/>
  <c r="AC623" i="14"/>
  <c r="AC627" i="14"/>
  <c r="AC631" i="14"/>
  <c r="AC635" i="14"/>
  <c r="AC639" i="14"/>
  <c r="AC643" i="14"/>
  <c r="AC647" i="14"/>
  <c r="AC651" i="14"/>
  <c r="AC557" i="14"/>
  <c r="AC573" i="14"/>
  <c r="AC577" i="14"/>
  <c r="AC585" i="14"/>
  <c r="AC593" i="14"/>
  <c r="AC609" i="14"/>
  <c r="AC625" i="14"/>
  <c r="AC637" i="14"/>
  <c r="AC556" i="14"/>
  <c r="AC560" i="14"/>
  <c r="AC564" i="14"/>
  <c r="AC568" i="14"/>
  <c r="AC572" i="14"/>
  <c r="AC576" i="14"/>
  <c r="AC580" i="14"/>
  <c r="AC584" i="14"/>
  <c r="AC588" i="14"/>
  <c r="AC592" i="14"/>
  <c r="AC596" i="14"/>
  <c r="AC600" i="14"/>
  <c r="AC604" i="14"/>
  <c r="AC608" i="14"/>
  <c r="AC612" i="14"/>
  <c r="AC616" i="14"/>
  <c r="AC620" i="14"/>
  <c r="AC624" i="14"/>
  <c r="AC628" i="14"/>
  <c r="AC632" i="14"/>
  <c r="AC636" i="14"/>
  <c r="AC640" i="14"/>
  <c r="AC644" i="14"/>
  <c r="AC648" i="14"/>
  <c r="AC652" i="14"/>
  <c r="AC561" i="14"/>
  <c r="AC597" i="14"/>
  <c r="AC613" i="14"/>
  <c r="AC621" i="14"/>
  <c r="AC633" i="14"/>
  <c r="AC645" i="14"/>
  <c r="Z554" i="14"/>
  <c r="Z558" i="14"/>
  <c r="Z562" i="14"/>
  <c r="Z566" i="14"/>
  <c r="Z570" i="14"/>
  <c r="Z574" i="14"/>
  <c r="Z578" i="14"/>
  <c r="Z582" i="14"/>
  <c r="Z586" i="14"/>
  <c r="Z590" i="14"/>
  <c r="Z594" i="14"/>
  <c r="Z598" i="14"/>
  <c r="Z602" i="14"/>
  <c r="Z606" i="14"/>
  <c r="Z610" i="14"/>
  <c r="Z614" i="14"/>
  <c r="Z618" i="14"/>
  <c r="Z622" i="14"/>
  <c r="Z626" i="14"/>
  <c r="Z630" i="14"/>
  <c r="Z634" i="14"/>
  <c r="Z638" i="14"/>
  <c r="Z642" i="14"/>
  <c r="Z646" i="14"/>
  <c r="Z650" i="14"/>
  <c r="Z561" i="14"/>
  <c r="Z573" i="14"/>
  <c r="Z581" i="14"/>
  <c r="Z593" i="14"/>
  <c r="Z605" i="14"/>
  <c r="Z617" i="14"/>
  <c r="Z629" i="14"/>
  <c r="Z641" i="14"/>
  <c r="Z555" i="14"/>
  <c r="Z559" i="14"/>
  <c r="Z563" i="14"/>
  <c r="Z567" i="14"/>
  <c r="Z571" i="14"/>
  <c r="Z575" i="14"/>
  <c r="Z579" i="14"/>
  <c r="Z583" i="14"/>
  <c r="Z587" i="14"/>
  <c r="Z591" i="14"/>
  <c r="Z595" i="14"/>
  <c r="Z599" i="14"/>
  <c r="Z603" i="14"/>
  <c r="Z607" i="14"/>
  <c r="Z611" i="14"/>
  <c r="Z615" i="14"/>
  <c r="Z619" i="14"/>
  <c r="Z623" i="14"/>
  <c r="Z627" i="14"/>
  <c r="Z631" i="14"/>
  <c r="Z635" i="14"/>
  <c r="Z639" i="14"/>
  <c r="Z643" i="14"/>
  <c r="Z647" i="14"/>
  <c r="Z651" i="14"/>
  <c r="Z565" i="14"/>
  <c r="Z569" i="14"/>
  <c r="Z585" i="14"/>
  <c r="Z597" i="14"/>
  <c r="Z609" i="14"/>
  <c r="Z621" i="14"/>
  <c r="Z633" i="14"/>
  <c r="Z645" i="14"/>
  <c r="Z556" i="14"/>
  <c r="Z560" i="14"/>
  <c r="Z564" i="14"/>
  <c r="Z568" i="14"/>
  <c r="Z572" i="14"/>
  <c r="Z576" i="14"/>
  <c r="Z580" i="14"/>
  <c r="Z584" i="14"/>
  <c r="Z588" i="14"/>
  <c r="Z592" i="14"/>
  <c r="Z596" i="14"/>
  <c r="Z600" i="14"/>
  <c r="Z604" i="14"/>
  <c r="Z608" i="14"/>
  <c r="Z612" i="14"/>
  <c r="Z616" i="14"/>
  <c r="Z620" i="14"/>
  <c r="Z624" i="14"/>
  <c r="Z628" i="14"/>
  <c r="Z632" i="14"/>
  <c r="Z636" i="14"/>
  <c r="Z640" i="14"/>
  <c r="Z644" i="14"/>
  <c r="Z648" i="14"/>
  <c r="Z652" i="14"/>
  <c r="Z557" i="14"/>
  <c r="Z577" i="14"/>
  <c r="Z589" i="14"/>
  <c r="Z601" i="14"/>
  <c r="Z613" i="14"/>
  <c r="Z625" i="14"/>
  <c r="Z637" i="14"/>
  <c r="Z649" i="14"/>
  <c r="AC449" i="14"/>
  <c r="AC453" i="14"/>
  <c r="AC457" i="14"/>
  <c r="AC461" i="14"/>
  <c r="AC465" i="14"/>
  <c r="AC469" i="14"/>
  <c r="AC473" i="14"/>
  <c r="AC477" i="14"/>
  <c r="AC481" i="14"/>
  <c r="AC485" i="14"/>
  <c r="AC489" i="14"/>
  <c r="AC493" i="14"/>
  <c r="AC497" i="14"/>
  <c r="AC501" i="14"/>
  <c r="AC505" i="14"/>
  <c r="AC509" i="14"/>
  <c r="AC513" i="14"/>
  <c r="AC517" i="14"/>
  <c r="AC521" i="14"/>
  <c r="AC525" i="14"/>
  <c r="AC529" i="14"/>
  <c r="AC533" i="14"/>
  <c r="AC537" i="14"/>
  <c r="AC541" i="14"/>
  <c r="AC545" i="14"/>
  <c r="AC455" i="14"/>
  <c r="AC459" i="14"/>
  <c r="AC463" i="14"/>
  <c r="AC471" i="14"/>
  <c r="AC479" i="14"/>
  <c r="AC487" i="14"/>
  <c r="AC495" i="14"/>
  <c r="AC507" i="14"/>
  <c r="AC515" i="14"/>
  <c r="AC523" i="14"/>
  <c r="AC535" i="14"/>
  <c r="AC543" i="14"/>
  <c r="AC452" i="14"/>
  <c r="AC460" i="14"/>
  <c r="AC472" i="14"/>
  <c r="AC484" i="14"/>
  <c r="AC492" i="14"/>
  <c r="AC500" i="14"/>
  <c r="AC508" i="14"/>
  <c r="AC520" i="14"/>
  <c r="AC528" i="14"/>
  <c r="AC536" i="14"/>
  <c r="AC544" i="14"/>
  <c r="AC450" i="14"/>
  <c r="AC454" i="14"/>
  <c r="AC458" i="14"/>
  <c r="AC462" i="14"/>
  <c r="AC466" i="14"/>
  <c r="AC470" i="14"/>
  <c r="AC474" i="14"/>
  <c r="AC478" i="14"/>
  <c r="AC482" i="14"/>
  <c r="AC486" i="14"/>
  <c r="AC490" i="14"/>
  <c r="AC494" i="14"/>
  <c r="AC498" i="14"/>
  <c r="AC502" i="14"/>
  <c r="AC506" i="14"/>
  <c r="AC510" i="14"/>
  <c r="AC514" i="14"/>
  <c r="AC518" i="14"/>
  <c r="AC522" i="14"/>
  <c r="AC526" i="14"/>
  <c r="AC530" i="14"/>
  <c r="AC534" i="14"/>
  <c r="AC538" i="14"/>
  <c r="AC542" i="14"/>
  <c r="AC546" i="14"/>
  <c r="AC451" i="14"/>
  <c r="AC467" i="14"/>
  <c r="AC475" i="14"/>
  <c r="AC483" i="14"/>
  <c r="AC491" i="14"/>
  <c r="AC499" i="14"/>
  <c r="AC503" i="14"/>
  <c r="AC511" i="14"/>
  <c r="AC519" i="14"/>
  <c r="AC527" i="14"/>
  <c r="AC531" i="14"/>
  <c r="AC539" i="14"/>
  <c r="AC547" i="14"/>
  <c r="AC456" i="14"/>
  <c r="AC464" i="14"/>
  <c r="AC468" i="14"/>
  <c r="AC476" i="14"/>
  <c r="AC480" i="14"/>
  <c r="AC488" i="14"/>
  <c r="AC496" i="14"/>
  <c r="AC504" i="14"/>
  <c r="AC512" i="14"/>
  <c r="AC516" i="14"/>
  <c r="AC524" i="14"/>
  <c r="AC532" i="14"/>
  <c r="AC540" i="14"/>
  <c r="Z449" i="14"/>
  <c r="Z453" i="14"/>
  <c r="Z457" i="14"/>
  <c r="Z461" i="14"/>
  <c r="Z465" i="14"/>
  <c r="Z469" i="14"/>
  <c r="Z473" i="14"/>
  <c r="Z477" i="14"/>
  <c r="Z481" i="14"/>
  <c r="Z485" i="14"/>
  <c r="Z489" i="14"/>
  <c r="Z493" i="14"/>
  <c r="Z497" i="14"/>
  <c r="Z501" i="14"/>
  <c r="Z505" i="14"/>
  <c r="Z509" i="14"/>
  <c r="Z513" i="14"/>
  <c r="Z517" i="14"/>
  <c r="Z521" i="14"/>
  <c r="Z525" i="14"/>
  <c r="Z529" i="14"/>
  <c r="Z533" i="14"/>
  <c r="Z537" i="14"/>
  <c r="Z541" i="14"/>
  <c r="Z545" i="14"/>
  <c r="Z450" i="14"/>
  <c r="Z454" i="14"/>
  <c r="Z458" i="14"/>
  <c r="Z462" i="14"/>
  <c r="Z466" i="14"/>
  <c r="Z470" i="14"/>
  <c r="Z474" i="14"/>
  <c r="Z478" i="14"/>
  <c r="Z482" i="14"/>
  <c r="Z486" i="14"/>
  <c r="Z490" i="14"/>
  <c r="Z494" i="14"/>
  <c r="Z498" i="14"/>
  <c r="Z502" i="14"/>
  <c r="Z506" i="14"/>
  <c r="Z510" i="14"/>
  <c r="Z514" i="14"/>
  <c r="Z518" i="14"/>
  <c r="Z522" i="14"/>
  <c r="Z526" i="14"/>
  <c r="Z530" i="14"/>
  <c r="Z534" i="14"/>
  <c r="Z538" i="14"/>
  <c r="Z542" i="14"/>
  <c r="Z546" i="14"/>
  <c r="Z456" i="14"/>
  <c r="Z504" i="14"/>
  <c r="Z451" i="14"/>
  <c r="Z455" i="14"/>
  <c r="Z459" i="14"/>
  <c r="Z463" i="14"/>
  <c r="Z467" i="14"/>
  <c r="Z471" i="14"/>
  <c r="Z475" i="14"/>
  <c r="Z479" i="14"/>
  <c r="Z483" i="14"/>
  <c r="Z487" i="14"/>
  <c r="Z491" i="14"/>
  <c r="Z495" i="14"/>
  <c r="Z499" i="14"/>
  <c r="Z503" i="14"/>
  <c r="Z507" i="14"/>
  <c r="Z511" i="14"/>
  <c r="Z515" i="14"/>
  <c r="Z519" i="14"/>
  <c r="Z523" i="14"/>
  <c r="Z527" i="14"/>
  <c r="Z531" i="14"/>
  <c r="Z535" i="14"/>
  <c r="Z539" i="14"/>
  <c r="Z543" i="14"/>
  <c r="Z547" i="14"/>
  <c r="Z452" i="14"/>
  <c r="Z460" i="14"/>
  <c r="Z464" i="14"/>
  <c r="Z468" i="14"/>
  <c r="Z472" i="14"/>
  <c r="Z476" i="14"/>
  <c r="Z480" i="14"/>
  <c r="Z484" i="14"/>
  <c r="Z488" i="14"/>
  <c r="Z492" i="14"/>
  <c r="Z496" i="14"/>
  <c r="Z500" i="14"/>
  <c r="Z508" i="14"/>
  <c r="Z512" i="14"/>
  <c r="Z516" i="14"/>
  <c r="Z520" i="14"/>
  <c r="Z524" i="14"/>
  <c r="Z528" i="14"/>
  <c r="Z532" i="14"/>
  <c r="Z536" i="14"/>
  <c r="Z540" i="14"/>
  <c r="Z544" i="14"/>
  <c r="AC344" i="14"/>
  <c r="AC348" i="14"/>
  <c r="AC352" i="14"/>
  <c r="AC356" i="14"/>
  <c r="AC360" i="14"/>
  <c r="AC364" i="14"/>
  <c r="AC368" i="14"/>
  <c r="AC372" i="14"/>
  <c r="AC376" i="14"/>
  <c r="AC380" i="14"/>
  <c r="AC384" i="14"/>
  <c r="AC388" i="14"/>
  <c r="AC392" i="14"/>
  <c r="AC396" i="14"/>
  <c r="AC400" i="14"/>
  <c r="AC404" i="14"/>
  <c r="AC408" i="14"/>
  <c r="AC412" i="14"/>
  <c r="AC416" i="14"/>
  <c r="AC420" i="14"/>
  <c r="AC424" i="14"/>
  <c r="AC428" i="14"/>
  <c r="AC432" i="14"/>
  <c r="AC436" i="14"/>
  <c r="AC440" i="14"/>
  <c r="AC355" i="14"/>
  <c r="AC359" i="14"/>
  <c r="AC371" i="14"/>
  <c r="AC383" i="14"/>
  <c r="AC395" i="14"/>
  <c r="AC407" i="14"/>
  <c r="AC419" i="14"/>
  <c r="AC431" i="14"/>
  <c r="AC345" i="14"/>
  <c r="AC349" i="14"/>
  <c r="AC353" i="14"/>
  <c r="AC357" i="14"/>
  <c r="AC361" i="14"/>
  <c r="AC365" i="14"/>
  <c r="AC369" i="14"/>
  <c r="AC373" i="14"/>
  <c r="AC377" i="14"/>
  <c r="AC381" i="14"/>
  <c r="AC385" i="14"/>
  <c r="AC389" i="14"/>
  <c r="AC393" i="14"/>
  <c r="AC397" i="14"/>
  <c r="AC401" i="14"/>
  <c r="AC405" i="14"/>
  <c r="AC409" i="14"/>
  <c r="AC413" i="14"/>
  <c r="AC417" i="14"/>
  <c r="AC421" i="14"/>
  <c r="AC425" i="14"/>
  <c r="AC429" i="14"/>
  <c r="AC433" i="14"/>
  <c r="AC437" i="14"/>
  <c r="AC441" i="14"/>
  <c r="AC347" i="14"/>
  <c r="AC367" i="14"/>
  <c r="AC379" i="14"/>
  <c r="AC391" i="14"/>
  <c r="AC399" i="14"/>
  <c r="AC411" i="14"/>
  <c r="AC423" i="14"/>
  <c r="AC435" i="14"/>
  <c r="AC346" i="14"/>
  <c r="AC350" i="14"/>
  <c r="AC354" i="14"/>
  <c r="AC358" i="14"/>
  <c r="AC362" i="14"/>
  <c r="AC366" i="14"/>
  <c r="AC370" i="14"/>
  <c r="AC374" i="14"/>
  <c r="AC378" i="14"/>
  <c r="AC382" i="14"/>
  <c r="AC386" i="14"/>
  <c r="AC390" i="14"/>
  <c r="AC394" i="14"/>
  <c r="AC398" i="14"/>
  <c r="AC402" i="14"/>
  <c r="AC406" i="14"/>
  <c r="AC410" i="14"/>
  <c r="AC414" i="14"/>
  <c r="AC418" i="14"/>
  <c r="AC422" i="14"/>
  <c r="AC426" i="14"/>
  <c r="AC430" i="14"/>
  <c r="AC434" i="14"/>
  <c r="AC438" i="14"/>
  <c r="AC442" i="14"/>
  <c r="AC351" i="14"/>
  <c r="AC363" i="14"/>
  <c r="AC375" i="14"/>
  <c r="AC387" i="14"/>
  <c r="AC403" i="14"/>
  <c r="AC415" i="14"/>
  <c r="AC427" i="14"/>
  <c r="AC439" i="14"/>
  <c r="Z344" i="14"/>
  <c r="Z348" i="14"/>
  <c r="Z352" i="14"/>
  <c r="Z356" i="14"/>
  <c r="Z360" i="14"/>
  <c r="Z364" i="14"/>
  <c r="Z368" i="14"/>
  <c r="Z372" i="14"/>
  <c r="Z376" i="14"/>
  <c r="Z380" i="14"/>
  <c r="Z384" i="14"/>
  <c r="Z388" i="14"/>
  <c r="Z392" i="14"/>
  <c r="Z396" i="14"/>
  <c r="Z400" i="14"/>
  <c r="Z404" i="14"/>
  <c r="Z408" i="14"/>
  <c r="Z412" i="14"/>
  <c r="Z416" i="14"/>
  <c r="Z420" i="14"/>
  <c r="Z424" i="14"/>
  <c r="Z428" i="14"/>
  <c r="Z432" i="14"/>
  <c r="Z436" i="14"/>
  <c r="Z440" i="14"/>
  <c r="Z387" i="14"/>
  <c r="Z415" i="14"/>
  <c r="Z423" i="14"/>
  <c r="Z431" i="14"/>
  <c r="Z345" i="14"/>
  <c r="Z349" i="14"/>
  <c r="Z353" i="14"/>
  <c r="Z357" i="14"/>
  <c r="Z361" i="14"/>
  <c r="Z365" i="14"/>
  <c r="Z369" i="14"/>
  <c r="Z373" i="14"/>
  <c r="Z377" i="14"/>
  <c r="Z381" i="14"/>
  <c r="Z385" i="14"/>
  <c r="Z389" i="14"/>
  <c r="Z393" i="14"/>
  <c r="Z397" i="14"/>
  <c r="Z401" i="14"/>
  <c r="Z405" i="14"/>
  <c r="Z409" i="14"/>
  <c r="Z413" i="14"/>
  <c r="Z417" i="14"/>
  <c r="Z421" i="14"/>
  <c r="Z425" i="14"/>
  <c r="Z429" i="14"/>
  <c r="Z433" i="14"/>
  <c r="Z437" i="14"/>
  <c r="Z441" i="14"/>
  <c r="Z383" i="14"/>
  <c r="Z439" i="14"/>
  <c r="Z346" i="14"/>
  <c r="Z350" i="14"/>
  <c r="Z354" i="14"/>
  <c r="Z358" i="14"/>
  <c r="Z362" i="14"/>
  <c r="Z366" i="14"/>
  <c r="Z370" i="14"/>
  <c r="Z374" i="14"/>
  <c r="Z378" i="14"/>
  <c r="Z382" i="14"/>
  <c r="Z386" i="14"/>
  <c r="Z390" i="14"/>
  <c r="Z394" i="14"/>
  <c r="Z398" i="14"/>
  <c r="Z402" i="14"/>
  <c r="Z406" i="14"/>
  <c r="Z410" i="14"/>
  <c r="Z414" i="14"/>
  <c r="Z418" i="14"/>
  <c r="Z422" i="14"/>
  <c r="Z426" i="14"/>
  <c r="Z430" i="14"/>
  <c r="Z434" i="14"/>
  <c r="Z438" i="14"/>
  <c r="Z442" i="14"/>
  <c r="Z347" i="14"/>
  <c r="Z351" i="14"/>
  <c r="Z355" i="14"/>
  <c r="Z359" i="14"/>
  <c r="Z363" i="14"/>
  <c r="Z367" i="14"/>
  <c r="Z371" i="14"/>
  <c r="Z375" i="14"/>
  <c r="Z379" i="14"/>
  <c r="Z391" i="14"/>
  <c r="Z395" i="14"/>
  <c r="Z399" i="14"/>
  <c r="Z403" i="14"/>
  <c r="Z407" i="14"/>
  <c r="Z411" i="14"/>
  <c r="Z419" i="14"/>
  <c r="Z427" i="14"/>
  <c r="Z435" i="14"/>
  <c r="M81" i="22"/>
  <c r="M77" i="22"/>
  <c r="AC239" i="14"/>
  <c r="AC243" i="14"/>
  <c r="AC247" i="14"/>
  <c r="AC251" i="14"/>
  <c r="AC255" i="14"/>
  <c r="AC259" i="14"/>
  <c r="AC263" i="14"/>
  <c r="AC267" i="14"/>
  <c r="AC271" i="14"/>
  <c r="AC275" i="14"/>
  <c r="AC279" i="14"/>
  <c r="AC283" i="14"/>
  <c r="AC287" i="14"/>
  <c r="AC291" i="14"/>
  <c r="AC295" i="14"/>
  <c r="AC299" i="14"/>
  <c r="AC303" i="14"/>
  <c r="AC307" i="14"/>
  <c r="AC311" i="14"/>
  <c r="AC315" i="14"/>
  <c r="AC319" i="14"/>
  <c r="AC323" i="14"/>
  <c r="AC327" i="14"/>
  <c r="AC331" i="14"/>
  <c r="AC335" i="14"/>
  <c r="AC242" i="14"/>
  <c r="AC258" i="14"/>
  <c r="AC266" i="14"/>
  <c r="AC278" i="14"/>
  <c r="AC294" i="14"/>
  <c r="AC306" i="14"/>
  <c r="AC314" i="14"/>
  <c r="AC322" i="14"/>
  <c r="AC334" i="14"/>
  <c r="AC240" i="14"/>
  <c r="AC244" i="14"/>
  <c r="AC248" i="14"/>
  <c r="AC252" i="14"/>
  <c r="AC256" i="14"/>
  <c r="AC260" i="14"/>
  <c r="AC264" i="14"/>
  <c r="AC268" i="14"/>
  <c r="AC272" i="14"/>
  <c r="AC276" i="14"/>
  <c r="AC280" i="14"/>
  <c r="AC284" i="14"/>
  <c r="AC288" i="14"/>
  <c r="AC292" i="14"/>
  <c r="AC296" i="14"/>
  <c r="AC300" i="14"/>
  <c r="AC304" i="14"/>
  <c r="AC308" i="14"/>
  <c r="AC312" i="14"/>
  <c r="AC316" i="14"/>
  <c r="AC320" i="14"/>
  <c r="AC324" i="14"/>
  <c r="AC328" i="14"/>
  <c r="AC332" i="14"/>
  <c r="AC336" i="14"/>
  <c r="AC250" i="14"/>
  <c r="AC254" i="14"/>
  <c r="AC270" i="14"/>
  <c r="AC282" i="14"/>
  <c r="AC290" i="14"/>
  <c r="AC302" i="14"/>
  <c r="AC318" i="14"/>
  <c r="AC330" i="14"/>
  <c r="AC241" i="14"/>
  <c r="AC245" i="14"/>
  <c r="AC249" i="14"/>
  <c r="AC253" i="14"/>
  <c r="AC257" i="14"/>
  <c r="AC261" i="14"/>
  <c r="AC265" i="14"/>
  <c r="AC269" i="14"/>
  <c r="AC273" i="14"/>
  <c r="AC277" i="14"/>
  <c r="AC281" i="14"/>
  <c r="AC285" i="14"/>
  <c r="AC289" i="14"/>
  <c r="AC293" i="14"/>
  <c r="AC297" i="14"/>
  <c r="AC301" i="14"/>
  <c r="AC305" i="14"/>
  <c r="AC309" i="14"/>
  <c r="AC313" i="14"/>
  <c r="AC317" i="14"/>
  <c r="AC321" i="14"/>
  <c r="AC325" i="14"/>
  <c r="AC329" i="14"/>
  <c r="AC333" i="14"/>
  <c r="AC337" i="14"/>
  <c r="AC246" i="14"/>
  <c r="AC262" i="14"/>
  <c r="AC274" i="14"/>
  <c r="AC286" i="14"/>
  <c r="AC298" i="14"/>
  <c r="AC310" i="14"/>
  <c r="AC326" i="14"/>
  <c r="Z239" i="14"/>
  <c r="Z243" i="14"/>
  <c r="Z247" i="14"/>
  <c r="Z251" i="14"/>
  <c r="Z255" i="14"/>
  <c r="Z259" i="14"/>
  <c r="Z263" i="14"/>
  <c r="Z267" i="14"/>
  <c r="Z271" i="14"/>
  <c r="Z275" i="14"/>
  <c r="Z279" i="14"/>
  <c r="Z283" i="14"/>
  <c r="Z287" i="14"/>
  <c r="Z291" i="14"/>
  <c r="Z295" i="14"/>
  <c r="Z299" i="14"/>
  <c r="Z303" i="14"/>
  <c r="Z307" i="14"/>
  <c r="Z311" i="14"/>
  <c r="Z315" i="14"/>
  <c r="Z319" i="14"/>
  <c r="Z323" i="14"/>
  <c r="Z327" i="14"/>
  <c r="Z331" i="14"/>
  <c r="Z335" i="14"/>
  <c r="Z286" i="14"/>
  <c r="Z306" i="14"/>
  <c r="Z318" i="14"/>
  <c r="Z330" i="14"/>
  <c r="Z240" i="14"/>
  <c r="Z244" i="14"/>
  <c r="Z248" i="14"/>
  <c r="Z252" i="14"/>
  <c r="Z256" i="14"/>
  <c r="Z260" i="14"/>
  <c r="Z264" i="14"/>
  <c r="Z268" i="14"/>
  <c r="Z272" i="14"/>
  <c r="Z276" i="14"/>
  <c r="Z280" i="14"/>
  <c r="Z284" i="14"/>
  <c r="Z288" i="14"/>
  <c r="Z292" i="14"/>
  <c r="Z296" i="14"/>
  <c r="Z300" i="14"/>
  <c r="Z304" i="14"/>
  <c r="Z308" i="14"/>
  <c r="Z312" i="14"/>
  <c r="Z316" i="14"/>
  <c r="Z320" i="14"/>
  <c r="Z324" i="14"/>
  <c r="Z328" i="14"/>
  <c r="Z332" i="14"/>
  <c r="Z336" i="14"/>
  <c r="Z278" i="14"/>
  <c r="Z322" i="14"/>
  <c r="Z241" i="14"/>
  <c r="Z245" i="14"/>
  <c r="Z249" i="14"/>
  <c r="Z253" i="14"/>
  <c r="Z257" i="14"/>
  <c r="Z261" i="14"/>
  <c r="Z265" i="14"/>
  <c r="Z269" i="14"/>
  <c r="Z273" i="14"/>
  <c r="Z277" i="14"/>
  <c r="Z281" i="14"/>
  <c r="Z285" i="14"/>
  <c r="Z289" i="14"/>
  <c r="Z293" i="14"/>
  <c r="Z297" i="14"/>
  <c r="Z301" i="14"/>
  <c r="Z305" i="14"/>
  <c r="Z309" i="14"/>
  <c r="Z313" i="14"/>
  <c r="Z317" i="14"/>
  <c r="Z321" i="14"/>
  <c r="Z325" i="14"/>
  <c r="Z329" i="14"/>
  <c r="Z333" i="14"/>
  <c r="Z337" i="14"/>
  <c r="Z242" i="14"/>
  <c r="Z246" i="14"/>
  <c r="Z250" i="14"/>
  <c r="Z254" i="14"/>
  <c r="Z258" i="14"/>
  <c r="Z262" i="14"/>
  <c r="Z266" i="14"/>
  <c r="Z270" i="14"/>
  <c r="Z274" i="14"/>
  <c r="Z282" i="14"/>
  <c r="Z290" i="14"/>
  <c r="Z294" i="14"/>
  <c r="Z298" i="14"/>
  <c r="Z302" i="14"/>
  <c r="Z310" i="14"/>
  <c r="Z314" i="14"/>
  <c r="Z326" i="14"/>
  <c r="Z334" i="14"/>
  <c r="M80" i="22"/>
  <c r="O76" i="22"/>
  <c r="AC135" i="14"/>
  <c r="AC139" i="14"/>
  <c r="AC143" i="14"/>
  <c r="AC147" i="14"/>
  <c r="AC151" i="14"/>
  <c r="AC155" i="14"/>
  <c r="AC159" i="14"/>
  <c r="AC163" i="14"/>
  <c r="AC167" i="14"/>
  <c r="AC171" i="14"/>
  <c r="AC175" i="14"/>
  <c r="AC179" i="14"/>
  <c r="AC183" i="14"/>
  <c r="AC187" i="14"/>
  <c r="AC191" i="14"/>
  <c r="AC195" i="14"/>
  <c r="AC199" i="14"/>
  <c r="AC203" i="14"/>
  <c r="AC207" i="14"/>
  <c r="AC211" i="14"/>
  <c r="AC215" i="14"/>
  <c r="AC219" i="14"/>
  <c r="AC223" i="14"/>
  <c r="AC227" i="14"/>
  <c r="AC231" i="14"/>
  <c r="AC181" i="14"/>
  <c r="AC221" i="14"/>
  <c r="AC138" i="14"/>
  <c r="AC158" i="14"/>
  <c r="AC166" i="14"/>
  <c r="AC174" i="14"/>
  <c r="AC186" i="14"/>
  <c r="AC194" i="14"/>
  <c r="AC202" i="14"/>
  <c r="AC214" i="14"/>
  <c r="AC226" i="14"/>
  <c r="AC136" i="14"/>
  <c r="AC140" i="14"/>
  <c r="AC144" i="14"/>
  <c r="AC148" i="14"/>
  <c r="AC152" i="14"/>
  <c r="AC156" i="14"/>
  <c r="AC160" i="14"/>
  <c r="AC164" i="14"/>
  <c r="AC168" i="14"/>
  <c r="AC172" i="14"/>
  <c r="AC176" i="14"/>
  <c r="AC180" i="14"/>
  <c r="AC184" i="14"/>
  <c r="AC188" i="14"/>
  <c r="AC192" i="14"/>
  <c r="AC196" i="14"/>
  <c r="AC200" i="14"/>
  <c r="AC204" i="14"/>
  <c r="AC208" i="14"/>
  <c r="AC212" i="14"/>
  <c r="AC216" i="14"/>
  <c r="AC220" i="14"/>
  <c r="AC224" i="14"/>
  <c r="AC228" i="14"/>
  <c r="AC232" i="14"/>
  <c r="AC137" i="14"/>
  <c r="AC141" i="14"/>
  <c r="AC145" i="14"/>
  <c r="AC149" i="14"/>
  <c r="AC153" i="14"/>
  <c r="AC157" i="14"/>
  <c r="AC161" i="14"/>
  <c r="AC165" i="14"/>
  <c r="AC169" i="14"/>
  <c r="AC173" i="14"/>
  <c r="AC177" i="14"/>
  <c r="AC185" i="14"/>
  <c r="AC189" i="14"/>
  <c r="AC193" i="14"/>
  <c r="AC197" i="14"/>
  <c r="AC201" i="14"/>
  <c r="AC205" i="14"/>
  <c r="AC209" i="14"/>
  <c r="AC213" i="14"/>
  <c r="AC217" i="14"/>
  <c r="AC225" i="14"/>
  <c r="AC229" i="14"/>
  <c r="AC134" i="14"/>
  <c r="AC142" i="14"/>
  <c r="AC146" i="14"/>
  <c r="AC150" i="14"/>
  <c r="AC154" i="14"/>
  <c r="AC162" i="14"/>
  <c r="AC170" i="14"/>
  <c r="AC178" i="14"/>
  <c r="AC182" i="14"/>
  <c r="AC190" i="14"/>
  <c r="AC198" i="14"/>
  <c r="AC206" i="14"/>
  <c r="AC210" i="14"/>
  <c r="AC218" i="14"/>
  <c r="AC222" i="14"/>
  <c r="AC230" i="14"/>
  <c r="Z134" i="14"/>
  <c r="Z138" i="14"/>
  <c r="Z142" i="14"/>
  <c r="Z146" i="14"/>
  <c r="Z150" i="14"/>
  <c r="Z154" i="14"/>
  <c r="Z158" i="14"/>
  <c r="Z162" i="14"/>
  <c r="Z166" i="14"/>
  <c r="Z170" i="14"/>
  <c r="Z174" i="14"/>
  <c r="Z178" i="14"/>
  <c r="Z182" i="14"/>
  <c r="Z186" i="14"/>
  <c r="Z190" i="14"/>
  <c r="Z194" i="14"/>
  <c r="Z198" i="14"/>
  <c r="Z202" i="14"/>
  <c r="Z206" i="14"/>
  <c r="Z210" i="14"/>
  <c r="Z214" i="14"/>
  <c r="Z218" i="14"/>
  <c r="Z222" i="14"/>
  <c r="Z226" i="14"/>
  <c r="Z230" i="14"/>
  <c r="Z135" i="14"/>
  <c r="Z139" i="14"/>
  <c r="Z143" i="14"/>
  <c r="Z147" i="14"/>
  <c r="Z151" i="14"/>
  <c r="Z155" i="14"/>
  <c r="Z159" i="14"/>
  <c r="Z163" i="14"/>
  <c r="Z167" i="14"/>
  <c r="Z171" i="14"/>
  <c r="Z175" i="14"/>
  <c r="Z179" i="14"/>
  <c r="Z183" i="14"/>
  <c r="Z187" i="14"/>
  <c r="Z191" i="14"/>
  <c r="Z195" i="14"/>
  <c r="Z199" i="14"/>
  <c r="Z203" i="14"/>
  <c r="Z207" i="14"/>
  <c r="Z211" i="14"/>
  <c r="Z215" i="14"/>
  <c r="Z219" i="14"/>
  <c r="Z223" i="14"/>
  <c r="Z227" i="14"/>
  <c r="Z231" i="14"/>
  <c r="Z137" i="14"/>
  <c r="Z153" i="14"/>
  <c r="Z165" i="14"/>
  <c r="Z173" i="14"/>
  <c r="Z181" i="14"/>
  <c r="Z189" i="14"/>
  <c r="Z201" i="14"/>
  <c r="Z209" i="14"/>
  <c r="Z217" i="14"/>
  <c r="Z225" i="14"/>
  <c r="Z136" i="14"/>
  <c r="Z140" i="14"/>
  <c r="Z144" i="14"/>
  <c r="Z148" i="14"/>
  <c r="Z152" i="14"/>
  <c r="Z156" i="14"/>
  <c r="Z160" i="14"/>
  <c r="Z164" i="14"/>
  <c r="Z168" i="14"/>
  <c r="Z172" i="14"/>
  <c r="Z176" i="14"/>
  <c r="Z180" i="14"/>
  <c r="Z184" i="14"/>
  <c r="Z188" i="14"/>
  <c r="Z192" i="14"/>
  <c r="Z196" i="14"/>
  <c r="Z200" i="14"/>
  <c r="Z204" i="14"/>
  <c r="Z208" i="14"/>
  <c r="Z212" i="14"/>
  <c r="Z216" i="14"/>
  <c r="Z220" i="14"/>
  <c r="Z224" i="14"/>
  <c r="Z228" i="14"/>
  <c r="Z232" i="14"/>
  <c r="Z141" i="14"/>
  <c r="Z145" i="14"/>
  <c r="Z149" i="14"/>
  <c r="Z157" i="14"/>
  <c r="Z161" i="14"/>
  <c r="Z169" i="14"/>
  <c r="Z177" i="14"/>
  <c r="Z185" i="14"/>
  <c r="Z193" i="14"/>
  <c r="Z197" i="14"/>
  <c r="Z205" i="14"/>
  <c r="Z213" i="14"/>
  <c r="Z221" i="14"/>
  <c r="Z229" i="14"/>
  <c r="M75" i="22"/>
  <c r="M79" i="22"/>
  <c r="AC29" i="14"/>
  <c r="AC33" i="14"/>
  <c r="AC37" i="14"/>
  <c r="AC41" i="14"/>
  <c r="AC45" i="14"/>
  <c r="AC49" i="14"/>
  <c r="AC53" i="14"/>
  <c r="AC57" i="14"/>
  <c r="AC61" i="14"/>
  <c r="AC65" i="14"/>
  <c r="AC69" i="14"/>
  <c r="AC73" i="14"/>
  <c r="AC77" i="14"/>
  <c r="AC81" i="14"/>
  <c r="AC85" i="14"/>
  <c r="AC89" i="14"/>
  <c r="AC93" i="14"/>
  <c r="AC97" i="14"/>
  <c r="AC101" i="14"/>
  <c r="AC105" i="14"/>
  <c r="AC109" i="14"/>
  <c r="AC113" i="14"/>
  <c r="AC117" i="14"/>
  <c r="AC121" i="14"/>
  <c r="AC125" i="14"/>
  <c r="AC35" i="14"/>
  <c r="AC51" i="14"/>
  <c r="AC59" i="14"/>
  <c r="AC67" i="14"/>
  <c r="AC75" i="14"/>
  <c r="AC83" i="14"/>
  <c r="AC91" i="14"/>
  <c r="AC95" i="14"/>
  <c r="AC103" i="14"/>
  <c r="AC111" i="14"/>
  <c r="AC123" i="14"/>
  <c r="AC36" i="14"/>
  <c r="AC44" i="14"/>
  <c r="AC52" i="14"/>
  <c r="AC56" i="14"/>
  <c r="AC64" i="14"/>
  <c r="AC72" i="14"/>
  <c r="AC84" i="14"/>
  <c r="AC92" i="14"/>
  <c r="AC100" i="14"/>
  <c r="AC108" i="14"/>
  <c r="AC116" i="14"/>
  <c r="AC30" i="14"/>
  <c r="AC34" i="14"/>
  <c r="AC38" i="14"/>
  <c r="AC42" i="14"/>
  <c r="AC46" i="14"/>
  <c r="AC50" i="14"/>
  <c r="AC54" i="14"/>
  <c r="AC58" i="14"/>
  <c r="AC62" i="14"/>
  <c r="AC66" i="14"/>
  <c r="AC70" i="14"/>
  <c r="AC74" i="14"/>
  <c r="AC78" i="14"/>
  <c r="AC82" i="14"/>
  <c r="AC86" i="14"/>
  <c r="AC90" i="14"/>
  <c r="AC94" i="14"/>
  <c r="AC98" i="14"/>
  <c r="AC102" i="14"/>
  <c r="AC106" i="14"/>
  <c r="AC110" i="14"/>
  <c r="AC114" i="14"/>
  <c r="AC118" i="14"/>
  <c r="AC122" i="14"/>
  <c r="AC126" i="14"/>
  <c r="AC31" i="14"/>
  <c r="AC39" i="14"/>
  <c r="AC43" i="14"/>
  <c r="AC47" i="14"/>
  <c r="AC55" i="14"/>
  <c r="AC63" i="14"/>
  <c r="AC71" i="14"/>
  <c r="AC79" i="14"/>
  <c r="AC87" i="14"/>
  <c r="AC99" i="14"/>
  <c r="AC107" i="14"/>
  <c r="AC115" i="14"/>
  <c r="AC119" i="14"/>
  <c r="AC127" i="14"/>
  <c r="AC32" i="14"/>
  <c r="AC40" i="14"/>
  <c r="AC48" i="14"/>
  <c r="AC60" i="14"/>
  <c r="AC68" i="14"/>
  <c r="AC76" i="14"/>
  <c r="AC80" i="14"/>
  <c r="AC88" i="14"/>
  <c r="AC96" i="14"/>
  <c r="AC104" i="14"/>
  <c r="AC112" i="14"/>
  <c r="AC120" i="14"/>
  <c r="AC124" i="14"/>
  <c r="Z29" i="14"/>
  <c r="Z33" i="14"/>
  <c r="Z37" i="14"/>
  <c r="Z41" i="14"/>
  <c r="Z45" i="14"/>
  <c r="Z49" i="14"/>
  <c r="Z53" i="14"/>
  <c r="Z57" i="14"/>
  <c r="Z61" i="14"/>
  <c r="Z65" i="14"/>
  <c r="Z69" i="14"/>
  <c r="Z73" i="14"/>
  <c r="Z77" i="14"/>
  <c r="Z81" i="14"/>
  <c r="Z85" i="14"/>
  <c r="Z89" i="14"/>
  <c r="Z93" i="14"/>
  <c r="Z97" i="14"/>
  <c r="Z101" i="14"/>
  <c r="Z105" i="14"/>
  <c r="Z109" i="14"/>
  <c r="Z113" i="14"/>
  <c r="Z117" i="14"/>
  <c r="Z121" i="14"/>
  <c r="Z125" i="14"/>
  <c r="Z38" i="14"/>
  <c r="Z54" i="14"/>
  <c r="Z62" i="14"/>
  <c r="Z74" i="14"/>
  <c r="Z82" i="14"/>
  <c r="Z90" i="14"/>
  <c r="Z102" i="14"/>
  <c r="Z110" i="14"/>
  <c r="Z118" i="14"/>
  <c r="Z126" i="14"/>
  <c r="Z40" i="14"/>
  <c r="Z68" i="14"/>
  <c r="Z80" i="14"/>
  <c r="Z100" i="14"/>
  <c r="Z120" i="14"/>
  <c r="Z30" i="14"/>
  <c r="Z34" i="14"/>
  <c r="Z42" i="14"/>
  <c r="Z46" i="14"/>
  <c r="Z50" i="14"/>
  <c r="Z58" i="14"/>
  <c r="Z66" i="14"/>
  <c r="Z70" i="14"/>
  <c r="Z78" i="14"/>
  <c r="Z86" i="14"/>
  <c r="Z94" i="14"/>
  <c r="Z98" i="14"/>
  <c r="Z106" i="14"/>
  <c r="Z114" i="14"/>
  <c r="Z122" i="14"/>
  <c r="Z36" i="14"/>
  <c r="Z44" i="14"/>
  <c r="Z52" i="14"/>
  <c r="Z60" i="14"/>
  <c r="Z72" i="14"/>
  <c r="Z84" i="14"/>
  <c r="Z92" i="14"/>
  <c r="Z104" i="14"/>
  <c r="Z112" i="14"/>
  <c r="Z124" i="14"/>
  <c r="Z31" i="14"/>
  <c r="Z35" i="14"/>
  <c r="Z39" i="14"/>
  <c r="Z43" i="14"/>
  <c r="Z47" i="14"/>
  <c r="Z51" i="14"/>
  <c r="Z55" i="14"/>
  <c r="Z59" i="14"/>
  <c r="Z63" i="14"/>
  <c r="Z67" i="14"/>
  <c r="Z71" i="14"/>
  <c r="Z75" i="14"/>
  <c r="Z79" i="14"/>
  <c r="Z83" i="14"/>
  <c r="Z87" i="14"/>
  <c r="Z91" i="14"/>
  <c r="Z95" i="14"/>
  <c r="Z99" i="14"/>
  <c r="Z103" i="14"/>
  <c r="Z107" i="14"/>
  <c r="Z111" i="14"/>
  <c r="Z115" i="14"/>
  <c r="Z119" i="14"/>
  <c r="Z123" i="14"/>
  <c r="Z127" i="14"/>
  <c r="Z32" i="14"/>
  <c r="Z48" i="14"/>
  <c r="Z56" i="14"/>
  <c r="Z64" i="14"/>
  <c r="Z76" i="14"/>
  <c r="Z88" i="14"/>
  <c r="Z96" i="14"/>
  <c r="Z108" i="14"/>
  <c r="Z116" i="14"/>
  <c r="Z230" i="27"/>
  <c r="N68" i="33"/>
  <c r="T68" i="33"/>
  <c r="P68" i="33"/>
  <c r="J68" i="33"/>
  <c r="H71" i="33"/>
  <c r="H72" i="33"/>
  <c r="L68" i="33"/>
  <c r="H87" i="33"/>
  <c r="H80" i="33"/>
  <c r="V68" i="33"/>
  <c r="X68" i="33"/>
  <c r="E211" i="24"/>
  <c r="K107" i="24"/>
  <c r="F107" i="24"/>
  <c r="G90" i="24"/>
  <c r="H108" i="24"/>
  <c r="N108" i="24"/>
  <c r="M108" i="24"/>
  <c r="H109" i="24"/>
  <c r="N109" i="24"/>
  <c r="M109" i="24"/>
  <c r="P110" i="24"/>
  <c r="K110" i="24"/>
  <c r="K111" i="24"/>
  <c r="N112" i="24"/>
  <c r="N114" i="24"/>
  <c r="M116" i="24"/>
  <c r="P118" i="24"/>
  <c r="Q111" i="24"/>
  <c r="M114" i="24"/>
  <c r="I111" i="24"/>
  <c r="H111" i="24"/>
  <c r="F90" i="24"/>
  <c r="G219" i="24"/>
  <c r="J107" i="24"/>
  <c r="P107" i="24"/>
  <c r="N107" i="24"/>
  <c r="G89" i="24"/>
  <c r="G91" i="24"/>
  <c r="O108" i="24"/>
  <c r="J108" i="24"/>
  <c r="I108" i="24"/>
  <c r="L110" i="24"/>
  <c r="G110" i="24"/>
  <c r="L112" i="24"/>
  <c r="J112" i="24"/>
  <c r="L114" i="24"/>
  <c r="O116" i="24"/>
  <c r="M112" i="24"/>
  <c r="F234" i="24"/>
  <c r="M89" i="24"/>
  <c r="Q101" i="16"/>
  <c r="E36" i="22" s="1"/>
  <c r="E8" i="22" s="1"/>
  <c r="G33" i="12"/>
  <c r="I33" i="12" s="1"/>
  <c r="I36" i="12" s="1"/>
  <c r="E57" i="21" s="1"/>
  <c r="E11" i="21" s="1"/>
  <c r="G107" i="24"/>
  <c r="L107" i="24"/>
  <c r="F89" i="24"/>
  <c r="K108" i="24"/>
  <c r="F108" i="24"/>
  <c r="E108" i="24"/>
  <c r="M110" i="24"/>
  <c r="H110" i="24"/>
  <c r="N110" i="24"/>
  <c r="O112" i="24"/>
  <c r="O114" i="24"/>
  <c r="N116" i="24"/>
  <c r="I112" i="24"/>
  <c r="Q114" i="24"/>
  <c r="E36" i="12"/>
  <c r="F73" i="5"/>
  <c r="E7" i="47"/>
  <c r="D41" i="15"/>
  <c r="U10" i="14" s="1"/>
  <c r="W10" i="14" s="1"/>
  <c r="G91" i="22" s="1"/>
  <c r="D43" i="15"/>
  <c r="U12" i="14" s="1"/>
  <c r="W12" i="14" s="1"/>
  <c r="D47" i="15"/>
  <c r="U16" i="14" s="1"/>
  <c r="W16" i="14" s="1"/>
  <c r="D42" i="15"/>
  <c r="U11" i="14" s="1"/>
  <c r="W11" i="14" s="1"/>
  <c r="N38" i="21" a="1"/>
  <c r="N38" i="21" s="1"/>
  <c r="E8" i="21" s="1"/>
  <c r="D73" i="5"/>
  <c r="F218" i="24"/>
  <c r="D46" i="15"/>
  <c r="U15" i="14" s="1"/>
  <c r="W15" i="14" s="1"/>
  <c r="D44" i="15"/>
  <c r="U13" i="14" s="1"/>
  <c r="W13" i="14" s="1"/>
  <c r="N90" i="24"/>
  <c r="O90" i="24"/>
  <c r="D39" i="10"/>
  <c r="H79" i="33"/>
  <c r="H96" i="33"/>
  <c r="H81" i="33"/>
  <c r="H68" i="33"/>
  <c r="H76" i="33"/>
  <c r="H84" i="33"/>
  <c r="H92" i="33"/>
  <c r="F212" i="24"/>
  <c r="H95" i="33"/>
  <c r="H75" i="33"/>
  <c r="H83" i="33"/>
  <c r="H91" i="33"/>
  <c r="H69" i="33"/>
  <c r="H77" i="33"/>
  <c r="H85" i="33"/>
  <c r="H93" i="33"/>
  <c r="H70" i="33"/>
  <c r="H74" i="33"/>
  <c r="H78" i="33"/>
  <c r="H82" i="33"/>
  <c r="H86" i="33"/>
  <c r="H90" i="33"/>
  <c r="H94" i="33"/>
  <c r="D119" i="6"/>
  <c r="D155" i="7" s="1"/>
  <c r="D27" i="8" s="1"/>
  <c r="F9" i="13"/>
  <c r="F11" i="13" s="1"/>
  <c r="D10" i="36" s="1"/>
  <c r="K13" i="11"/>
  <c r="E24" i="21" s="1"/>
  <c r="E27" i="21" s="1"/>
  <c r="E7" i="21" s="1"/>
  <c r="J12" i="10"/>
  <c r="F11" i="9" s="1"/>
  <c r="E27" i="47" s="1"/>
  <c r="I27" i="47" s="1"/>
  <c r="F78" i="10"/>
  <c r="J20" i="10"/>
  <c r="F12" i="9" s="1"/>
  <c r="E28" i="47" s="1"/>
  <c r="I28" i="47" s="1"/>
  <c r="J58" i="10"/>
  <c r="F18" i="9" s="1"/>
  <c r="E34" i="47" s="1"/>
  <c r="I34" i="47" s="1"/>
  <c r="J66" i="10"/>
  <c r="H106" i="10"/>
  <c r="J141" i="10"/>
  <c r="J149" i="10" s="1"/>
  <c r="J96" i="10"/>
  <c r="D50" i="15"/>
  <c r="U19" i="14" s="1"/>
  <c r="W19" i="14" s="1"/>
  <c r="D45" i="15"/>
  <c r="U14" i="14" s="1"/>
  <c r="W14" i="14" s="1"/>
  <c r="D40" i="15"/>
  <c r="U9" i="14" s="1"/>
  <c r="W9" i="14" s="1"/>
  <c r="D39" i="15"/>
  <c r="U8" i="14" s="1"/>
  <c r="W8" i="14" s="1"/>
  <c r="I107" i="24"/>
  <c r="H107" i="24"/>
  <c r="M107" i="24"/>
  <c r="O107" i="24"/>
  <c r="Q107" i="24"/>
  <c r="E107" i="24"/>
  <c r="E218" i="24"/>
  <c r="G218" i="24"/>
  <c r="F220" i="24"/>
  <c r="E235" i="24"/>
  <c r="E234" i="24"/>
  <c r="G236" i="24"/>
  <c r="D204" i="24"/>
  <c r="P89" i="24"/>
  <c r="F106" i="10"/>
  <c r="J89" i="10"/>
  <c r="AH68" i="33"/>
  <c r="AH70" i="33"/>
  <c r="AH72" i="33"/>
  <c r="AH74" i="33"/>
  <c r="AH76" i="33"/>
  <c r="AH78" i="33"/>
  <c r="AH80" i="33"/>
  <c r="AH82" i="33"/>
  <c r="AH84" i="33"/>
  <c r="AH86" i="33"/>
  <c r="AH88" i="33"/>
  <c r="AH90" i="33"/>
  <c r="AH92" i="33"/>
  <c r="AH94" i="33"/>
  <c r="AH96" i="33"/>
  <c r="AH69" i="33"/>
  <c r="AH71" i="33"/>
  <c r="AH73" i="33"/>
  <c r="AH75" i="33"/>
  <c r="AH77" i="33"/>
  <c r="AH79" i="33"/>
  <c r="AH81" i="33"/>
  <c r="AH83" i="33"/>
  <c r="AH85" i="33"/>
  <c r="AH87" i="33"/>
  <c r="AH89" i="33"/>
  <c r="AH91" i="33"/>
  <c r="AH93" i="33"/>
  <c r="AH95" i="33"/>
  <c r="AH67" i="33"/>
  <c r="AP68" i="33"/>
  <c r="AP70" i="33"/>
  <c r="AP72" i="33"/>
  <c r="AP74" i="33"/>
  <c r="AP76" i="33"/>
  <c r="AP78" i="33"/>
  <c r="AP80" i="33"/>
  <c r="AP82" i="33"/>
  <c r="AP84" i="33"/>
  <c r="AP86" i="33"/>
  <c r="AP88" i="33"/>
  <c r="AP90" i="33"/>
  <c r="AP92" i="33"/>
  <c r="AP94" i="33"/>
  <c r="AP96" i="33"/>
  <c r="AP69" i="33"/>
  <c r="AP71" i="33"/>
  <c r="AP73" i="33"/>
  <c r="AP75" i="33"/>
  <c r="AP77" i="33"/>
  <c r="AP79" i="33"/>
  <c r="AP81" i="33"/>
  <c r="AP83" i="33"/>
  <c r="AP85" i="33"/>
  <c r="AP87" i="33"/>
  <c r="AP89" i="33"/>
  <c r="AP91" i="33"/>
  <c r="AP93" i="33"/>
  <c r="AP95" i="33"/>
  <c r="AP67" i="33"/>
  <c r="BB68" i="33"/>
  <c r="BB70" i="33"/>
  <c r="BB72" i="33"/>
  <c r="BB74" i="33"/>
  <c r="BB76" i="33"/>
  <c r="BB78" i="33"/>
  <c r="BB80" i="33"/>
  <c r="BB82" i="33"/>
  <c r="BB84" i="33"/>
  <c r="BB86" i="33"/>
  <c r="BB88" i="33"/>
  <c r="BB90" i="33"/>
  <c r="BB92" i="33"/>
  <c r="BB94" i="33"/>
  <c r="BB96" i="33"/>
  <c r="BB69" i="33"/>
  <c r="BB71" i="33"/>
  <c r="BB73" i="33"/>
  <c r="BB75" i="33"/>
  <c r="BB77" i="33"/>
  <c r="BB79" i="33"/>
  <c r="BB81" i="33"/>
  <c r="BB83" i="33"/>
  <c r="BB85" i="33"/>
  <c r="BB87" i="33"/>
  <c r="BB89" i="33"/>
  <c r="BB91" i="33"/>
  <c r="BB93" i="33"/>
  <c r="BB95" i="33"/>
  <c r="BB67" i="33"/>
  <c r="BH68" i="33"/>
  <c r="BH70" i="33"/>
  <c r="BH72" i="33"/>
  <c r="BH74" i="33"/>
  <c r="BH76" i="33"/>
  <c r="BH78" i="33"/>
  <c r="BH80" i="33"/>
  <c r="BH82" i="33"/>
  <c r="BH84" i="33"/>
  <c r="BH86" i="33"/>
  <c r="BH88" i="33"/>
  <c r="BH90" i="33"/>
  <c r="BH92" i="33"/>
  <c r="BH94" i="33"/>
  <c r="BH96" i="33"/>
  <c r="BH69" i="33"/>
  <c r="BH71" i="33"/>
  <c r="BH73" i="33"/>
  <c r="BH75" i="33"/>
  <c r="BH77" i="33"/>
  <c r="BH79" i="33"/>
  <c r="BH81" i="33"/>
  <c r="BH83" i="33"/>
  <c r="BH85" i="33"/>
  <c r="BH87" i="33"/>
  <c r="BH89" i="33"/>
  <c r="BH91" i="33"/>
  <c r="BH93" i="33"/>
  <c r="BH95" i="33"/>
  <c r="BH67" i="33"/>
  <c r="AJ68" i="33"/>
  <c r="AJ70" i="33"/>
  <c r="AJ72" i="33"/>
  <c r="AJ74" i="33"/>
  <c r="AJ76" i="33"/>
  <c r="AJ78" i="33"/>
  <c r="AJ80" i="33"/>
  <c r="AJ82" i="33"/>
  <c r="AJ84" i="33"/>
  <c r="AJ86" i="33"/>
  <c r="AJ88" i="33"/>
  <c r="AJ90" i="33"/>
  <c r="AJ92" i="33"/>
  <c r="AJ94" i="33"/>
  <c r="AJ96" i="33"/>
  <c r="AJ69" i="33"/>
  <c r="AJ71" i="33"/>
  <c r="AJ73" i="33"/>
  <c r="AJ75" i="33"/>
  <c r="AJ77" i="33"/>
  <c r="AJ79" i="33"/>
  <c r="AJ81" i="33"/>
  <c r="AJ83" i="33"/>
  <c r="AJ85" i="33"/>
  <c r="AJ87" i="33"/>
  <c r="AJ89" i="33"/>
  <c r="AJ91" i="33"/>
  <c r="AJ93" i="33"/>
  <c r="AJ95" i="33"/>
  <c r="AJ67" i="33"/>
  <c r="AR68" i="33"/>
  <c r="AR70" i="33"/>
  <c r="AR72" i="33"/>
  <c r="AR74" i="33"/>
  <c r="AR76" i="33"/>
  <c r="AR78" i="33"/>
  <c r="AR80" i="33"/>
  <c r="AR82" i="33"/>
  <c r="AR84" i="33"/>
  <c r="AR86" i="33"/>
  <c r="AR88" i="33"/>
  <c r="AR90" i="33"/>
  <c r="AR92" i="33"/>
  <c r="AR94" i="33"/>
  <c r="AR96" i="33"/>
  <c r="AR69" i="33"/>
  <c r="AR71" i="33"/>
  <c r="AR73" i="33"/>
  <c r="AR75" i="33"/>
  <c r="AR77" i="33"/>
  <c r="AR79" i="33"/>
  <c r="AR81" i="33"/>
  <c r="AR83" i="33"/>
  <c r="AR85" i="33"/>
  <c r="AR87" i="33"/>
  <c r="AR89" i="33"/>
  <c r="AR91" i="33"/>
  <c r="AR93" i="33"/>
  <c r="AR95" i="33"/>
  <c r="AR67" i="33"/>
  <c r="BD68" i="33"/>
  <c r="BD70" i="33"/>
  <c r="BD72" i="33"/>
  <c r="BD74" i="33"/>
  <c r="BD76" i="33"/>
  <c r="BD78" i="33"/>
  <c r="BD80" i="33"/>
  <c r="BD82" i="33"/>
  <c r="BD84" i="33"/>
  <c r="BD86" i="33"/>
  <c r="BD88" i="33"/>
  <c r="BD90" i="33"/>
  <c r="BD92" i="33"/>
  <c r="BD94" i="33"/>
  <c r="BD96" i="33"/>
  <c r="BD69" i="33"/>
  <c r="BD71" i="33"/>
  <c r="BD73" i="33"/>
  <c r="BD75" i="33"/>
  <c r="BD77" i="33"/>
  <c r="BD79" i="33"/>
  <c r="BD81" i="33"/>
  <c r="BD83" i="33"/>
  <c r="BD85" i="33"/>
  <c r="BD87" i="33"/>
  <c r="BD89" i="33"/>
  <c r="BD91" i="33"/>
  <c r="BD93" i="33"/>
  <c r="BD95" i="33"/>
  <c r="BD67" i="33"/>
  <c r="AN68" i="33"/>
  <c r="AN70" i="33"/>
  <c r="AN72" i="33"/>
  <c r="AN74" i="33"/>
  <c r="AN76" i="33"/>
  <c r="AN78" i="33"/>
  <c r="AN80" i="33"/>
  <c r="AN82" i="33"/>
  <c r="AN84" i="33"/>
  <c r="AN86" i="33"/>
  <c r="AN88" i="33"/>
  <c r="AN90" i="33"/>
  <c r="AN92" i="33"/>
  <c r="AN94" i="33"/>
  <c r="AN96" i="33"/>
  <c r="AN69" i="33"/>
  <c r="AN71" i="33"/>
  <c r="AN73" i="33"/>
  <c r="AN75" i="33"/>
  <c r="AN77" i="33"/>
  <c r="AN79" i="33"/>
  <c r="AN81" i="33"/>
  <c r="AN83" i="33"/>
  <c r="AN85" i="33"/>
  <c r="AN87" i="33"/>
  <c r="AN89" i="33"/>
  <c r="AN91" i="33"/>
  <c r="AN93" i="33"/>
  <c r="AN95" i="33"/>
  <c r="AN67" i="33"/>
  <c r="AB68" i="33"/>
  <c r="AB70" i="33"/>
  <c r="AB72" i="33"/>
  <c r="AB74" i="33"/>
  <c r="AB76" i="33"/>
  <c r="AB78" i="33"/>
  <c r="AB80" i="33"/>
  <c r="AB82" i="33"/>
  <c r="AB84" i="33"/>
  <c r="AB86" i="33"/>
  <c r="AB88" i="33"/>
  <c r="AB90" i="33"/>
  <c r="AB92" i="33"/>
  <c r="AB94" i="33"/>
  <c r="AB96" i="33"/>
  <c r="AB69" i="33"/>
  <c r="AB71" i="33"/>
  <c r="AB73" i="33"/>
  <c r="AB75" i="33"/>
  <c r="AB77" i="33"/>
  <c r="AB79" i="33"/>
  <c r="AB81" i="33"/>
  <c r="AB83" i="33"/>
  <c r="AB85" i="33"/>
  <c r="AB87" i="33"/>
  <c r="AB89" i="33"/>
  <c r="AB91" i="33"/>
  <c r="AB93" i="33"/>
  <c r="AB95" i="33"/>
  <c r="AB67" i="33"/>
  <c r="AT68" i="33"/>
  <c r="AT70" i="33"/>
  <c r="AT72" i="33"/>
  <c r="AT74" i="33"/>
  <c r="AT76" i="33"/>
  <c r="AT78" i="33"/>
  <c r="AT80" i="33"/>
  <c r="AT82" i="33"/>
  <c r="AT84" i="33"/>
  <c r="AT86" i="33"/>
  <c r="AT88" i="33"/>
  <c r="AT90" i="33"/>
  <c r="AT92" i="33"/>
  <c r="AT94" i="33"/>
  <c r="AT96" i="33"/>
  <c r="AT69" i="33"/>
  <c r="AT71" i="33"/>
  <c r="AT73" i="33"/>
  <c r="AT75" i="33"/>
  <c r="AT77" i="33"/>
  <c r="AT79" i="33"/>
  <c r="AT81" i="33"/>
  <c r="AT83" i="33"/>
  <c r="AT85" i="33"/>
  <c r="AT87" i="33"/>
  <c r="AT89" i="33"/>
  <c r="AT91" i="33"/>
  <c r="AT93" i="33"/>
  <c r="AT95" i="33"/>
  <c r="AT67" i="33"/>
  <c r="AD68" i="33"/>
  <c r="AD70" i="33"/>
  <c r="AD72" i="33"/>
  <c r="AD74" i="33"/>
  <c r="AD76" i="33"/>
  <c r="AD78" i="33"/>
  <c r="AD80" i="33"/>
  <c r="AD82" i="33"/>
  <c r="AD84" i="33"/>
  <c r="AD86" i="33"/>
  <c r="AD88" i="33"/>
  <c r="AD90" i="33"/>
  <c r="AD92" i="33"/>
  <c r="AD94" i="33"/>
  <c r="AD96" i="33"/>
  <c r="AD69" i="33"/>
  <c r="AD71" i="33"/>
  <c r="AD73" i="33"/>
  <c r="AD75" i="33"/>
  <c r="AD77" i="33"/>
  <c r="AD79" i="33"/>
  <c r="AD81" i="33"/>
  <c r="AD83" i="33"/>
  <c r="AD85" i="33"/>
  <c r="AD87" i="33"/>
  <c r="AD89" i="33"/>
  <c r="AD91" i="33"/>
  <c r="AD93" i="33"/>
  <c r="AD95" i="33"/>
  <c r="AD67" i="33"/>
  <c r="AL68" i="33"/>
  <c r="AL70" i="33"/>
  <c r="AL72" i="33"/>
  <c r="AL74" i="33"/>
  <c r="AL76" i="33"/>
  <c r="AL78" i="33"/>
  <c r="AL80" i="33"/>
  <c r="AL82" i="33"/>
  <c r="AL84" i="33"/>
  <c r="AL86" i="33"/>
  <c r="AL88" i="33"/>
  <c r="AL90" i="33"/>
  <c r="AL92" i="33"/>
  <c r="AL94" i="33"/>
  <c r="AL96" i="33"/>
  <c r="AL69" i="33"/>
  <c r="AL71" i="33"/>
  <c r="AL73" i="33"/>
  <c r="AL75" i="33"/>
  <c r="AL77" i="33"/>
  <c r="AL79" i="33"/>
  <c r="AL81" i="33"/>
  <c r="AL83" i="33"/>
  <c r="AL85" i="33"/>
  <c r="AL87" i="33"/>
  <c r="AL89" i="33"/>
  <c r="AL91" i="33"/>
  <c r="AL93" i="33"/>
  <c r="AL95" i="33"/>
  <c r="AL67" i="33"/>
  <c r="AF68" i="33"/>
  <c r="AF70" i="33"/>
  <c r="AF72" i="33"/>
  <c r="AF74" i="33"/>
  <c r="AF76" i="33"/>
  <c r="AF78" i="33"/>
  <c r="AF80" i="33"/>
  <c r="AF82" i="33"/>
  <c r="AF84" i="33"/>
  <c r="AF86" i="33"/>
  <c r="AF88" i="33"/>
  <c r="AF90" i="33"/>
  <c r="AF92" i="33"/>
  <c r="AF94" i="33"/>
  <c r="AF96" i="33"/>
  <c r="AF69" i="33"/>
  <c r="AF71" i="33"/>
  <c r="AF73" i="33"/>
  <c r="AF75" i="33"/>
  <c r="AF77" i="33"/>
  <c r="AF79" i="33"/>
  <c r="AF81" i="33"/>
  <c r="AF83" i="33"/>
  <c r="AF85" i="33"/>
  <c r="AF87" i="33"/>
  <c r="AF89" i="33"/>
  <c r="AF91" i="33"/>
  <c r="AF93" i="33"/>
  <c r="AF95" i="33"/>
  <c r="AF67" i="33"/>
  <c r="AZ68" i="33"/>
  <c r="AZ70" i="33"/>
  <c r="AZ72" i="33"/>
  <c r="AZ74" i="33"/>
  <c r="AZ76" i="33"/>
  <c r="AZ78" i="33"/>
  <c r="AZ80" i="33"/>
  <c r="AZ82" i="33"/>
  <c r="AZ84" i="33"/>
  <c r="AZ86" i="33"/>
  <c r="AZ88" i="33"/>
  <c r="AZ90" i="33"/>
  <c r="AZ92" i="33"/>
  <c r="AZ94" i="33"/>
  <c r="AZ96" i="33"/>
  <c r="AZ69" i="33"/>
  <c r="AZ71" i="33"/>
  <c r="AZ73" i="33"/>
  <c r="AZ75" i="33"/>
  <c r="AZ77" i="33"/>
  <c r="AZ79" i="33"/>
  <c r="AZ81" i="33"/>
  <c r="AZ83" i="33"/>
  <c r="AZ85" i="33"/>
  <c r="AZ87" i="33"/>
  <c r="AZ89" i="33"/>
  <c r="AZ91" i="33"/>
  <c r="AZ93" i="33"/>
  <c r="AZ95" i="33"/>
  <c r="AZ67" i="33"/>
  <c r="AV68" i="33"/>
  <c r="AV70" i="33"/>
  <c r="AV72" i="33"/>
  <c r="AV74" i="33"/>
  <c r="AV76" i="33"/>
  <c r="AV78" i="33"/>
  <c r="AV80" i="33"/>
  <c r="AV82" i="33"/>
  <c r="AV84" i="33"/>
  <c r="AV86" i="33"/>
  <c r="AV88" i="33"/>
  <c r="AV90" i="33"/>
  <c r="AV92" i="33"/>
  <c r="AV94" i="33"/>
  <c r="AV96" i="33"/>
  <c r="AV69" i="33"/>
  <c r="AV71" i="33"/>
  <c r="AV73" i="33"/>
  <c r="AV75" i="33"/>
  <c r="AV77" i="33"/>
  <c r="AV79" i="33"/>
  <c r="AV81" i="33"/>
  <c r="AV83" i="33"/>
  <c r="AV85" i="33"/>
  <c r="AV87" i="33"/>
  <c r="AV89" i="33"/>
  <c r="AV91" i="33"/>
  <c r="AV93" i="33"/>
  <c r="AV95" i="33"/>
  <c r="AV67" i="33"/>
  <c r="F211" i="24"/>
  <c r="N64" i="35"/>
  <c r="J64" i="35"/>
  <c r="J67" i="33"/>
  <c r="J95" i="33"/>
  <c r="J93" i="33"/>
  <c r="J91" i="33"/>
  <c r="J89" i="33"/>
  <c r="J87" i="33"/>
  <c r="J85" i="33"/>
  <c r="J83" i="33"/>
  <c r="J81" i="33"/>
  <c r="J79" i="33"/>
  <c r="J77" i="33"/>
  <c r="J75" i="33"/>
  <c r="J73" i="33"/>
  <c r="J71" i="33"/>
  <c r="J69" i="33"/>
  <c r="L67" i="33"/>
  <c r="L95" i="33"/>
  <c r="L93" i="33"/>
  <c r="L91" i="33"/>
  <c r="L89" i="33"/>
  <c r="L87" i="33"/>
  <c r="L85" i="33"/>
  <c r="L83" i="33"/>
  <c r="L81" i="33"/>
  <c r="L79" i="33"/>
  <c r="L77" i="33"/>
  <c r="L75" i="33"/>
  <c r="L73" i="33"/>
  <c r="L71" i="33"/>
  <c r="L69" i="33"/>
  <c r="N67" i="33"/>
  <c r="N95" i="33"/>
  <c r="N93" i="33"/>
  <c r="N91" i="33"/>
  <c r="N89" i="33"/>
  <c r="N87" i="33"/>
  <c r="N85" i="33"/>
  <c r="N83" i="33"/>
  <c r="N81" i="33"/>
  <c r="N79" i="33"/>
  <c r="N77" i="33"/>
  <c r="N75" i="33"/>
  <c r="N73" i="33"/>
  <c r="N71" i="33"/>
  <c r="N69" i="33"/>
  <c r="P67" i="33"/>
  <c r="P95" i="33"/>
  <c r="P93" i="33"/>
  <c r="P91" i="33"/>
  <c r="P89" i="33"/>
  <c r="P87" i="33"/>
  <c r="P85" i="33"/>
  <c r="P83" i="33"/>
  <c r="P81" i="33"/>
  <c r="P79" i="33"/>
  <c r="P77" i="33"/>
  <c r="P75" i="33"/>
  <c r="P73" i="33"/>
  <c r="P71" i="33"/>
  <c r="P69" i="33"/>
  <c r="R67" i="33"/>
  <c r="R95" i="33"/>
  <c r="R93" i="33"/>
  <c r="R91" i="33"/>
  <c r="R89" i="33"/>
  <c r="R87" i="33"/>
  <c r="R85" i="33"/>
  <c r="R83" i="33"/>
  <c r="R81" i="33"/>
  <c r="R79" i="33"/>
  <c r="R77" i="33"/>
  <c r="R75" i="33"/>
  <c r="R73" i="33"/>
  <c r="R71" i="33"/>
  <c r="R69" i="33"/>
  <c r="T67" i="33"/>
  <c r="T95" i="33"/>
  <c r="T93" i="33"/>
  <c r="T91" i="33"/>
  <c r="T89" i="33"/>
  <c r="T87" i="33"/>
  <c r="T85" i="33"/>
  <c r="T83" i="33"/>
  <c r="T81" i="33"/>
  <c r="T79" i="33"/>
  <c r="T77" i="33"/>
  <c r="T75" i="33"/>
  <c r="T73" i="33"/>
  <c r="T71" i="33"/>
  <c r="T69" i="33"/>
  <c r="V67" i="33"/>
  <c r="V95" i="33"/>
  <c r="V93" i="33"/>
  <c r="V91" i="33"/>
  <c r="V89" i="33"/>
  <c r="V87" i="33"/>
  <c r="V85" i="33"/>
  <c r="V83" i="33"/>
  <c r="V81" i="33"/>
  <c r="V79" i="33"/>
  <c r="V77" i="33"/>
  <c r="V75" i="33"/>
  <c r="V73" i="33"/>
  <c r="V71" i="33"/>
  <c r="V69" i="33"/>
  <c r="X67" i="33"/>
  <c r="X95" i="33"/>
  <c r="X93" i="33"/>
  <c r="X91" i="33"/>
  <c r="X89" i="33"/>
  <c r="X87" i="33"/>
  <c r="X85" i="33"/>
  <c r="X83" i="33"/>
  <c r="X81" i="33"/>
  <c r="X79" i="33"/>
  <c r="X77" i="33"/>
  <c r="X75" i="33"/>
  <c r="X73" i="33"/>
  <c r="X71" i="33"/>
  <c r="X69" i="33"/>
  <c r="Z67" i="33"/>
  <c r="Z95" i="33"/>
  <c r="Z93" i="33"/>
  <c r="Z91" i="33"/>
  <c r="Z89" i="33"/>
  <c r="Z87" i="33"/>
  <c r="Z85" i="33"/>
  <c r="Z83" i="33"/>
  <c r="Z81" i="33"/>
  <c r="Z79" i="33"/>
  <c r="Z77" i="33"/>
  <c r="Z75" i="33"/>
  <c r="Z73" i="33"/>
  <c r="Z68" i="33"/>
  <c r="Z69" i="33"/>
  <c r="BF68" i="33"/>
  <c r="BF70" i="33"/>
  <c r="BF72" i="33"/>
  <c r="BF74" i="33"/>
  <c r="BF76" i="33"/>
  <c r="BF78" i="33"/>
  <c r="BF80" i="33"/>
  <c r="BF82" i="33"/>
  <c r="BF84" i="33"/>
  <c r="BF86" i="33"/>
  <c r="BF88" i="33"/>
  <c r="BF90" i="33"/>
  <c r="BF92" i="33"/>
  <c r="BF94" i="33"/>
  <c r="BF96" i="33"/>
  <c r="BF69" i="33"/>
  <c r="BF71" i="33"/>
  <c r="BF73" i="33"/>
  <c r="BF75" i="33"/>
  <c r="BF77" i="33"/>
  <c r="BF79" i="33"/>
  <c r="BF81" i="33"/>
  <c r="BF83" i="33"/>
  <c r="BF85" i="33"/>
  <c r="BF87" i="33"/>
  <c r="BF89" i="33"/>
  <c r="BF91" i="33"/>
  <c r="BF93" i="33"/>
  <c r="BF95" i="33"/>
  <c r="BF67" i="33"/>
  <c r="AX68" i="33"/>
  <c r="AX70" i="33"/>
  <c r="AX72" i="33"/>
  <c r="AX74" i="33"/>
  <c r="AX76" i="33"/>
  <c r="AX78" i="33"/>
  <c r="AX80" i="33"/>
  <c r="AX82" i="33"/>
  <c r="AX84" i="33"/>
  <c r="AX86" i="33"/>
  <c r="AX88" i="33"/>
  <c r="AX90" i="33"/>
  <c r="AX69" i="33"/>
  <c r="AX71" i="33"/>
  <c r="AX73" i="33"/>
  <c r="AX75" i="33"/>
  <c r="AX77" i="33"/>
  <c r="AX79" i="33"/>
  <c r="AX81" i="33"/>
  <c r="AX83" i="33"/>
  <c r="AX85" i="33"/>
  <c r="AX87" i="33"/>
  <c r="AX89" i="33"/>
  <c r="AX92" i="33"/>
  <c r="AX94" i="33"/>
  <c r="AX96" i="33"/>
  <c r="AX91" i="33"/>
  <c r="AX93" i="33"/>
  <c r="AX95" i="33"/>
  <c r="AX67" i="33"/>
  <c r="N63" i="35"/>
  <c r="J63" i="35"/>
  <c r="J96" i="33"/>
  <c r="J94" i="33"/>
  <c r="J92" i="33"/>
  <c r="J90" i="33"/>
  <c r="J88" i="33"/>
  <c r="J86" i="33"/>
  <c r="J84" i="33"/>
  <c r="J82" i="33"/>
  <c r="J80" i="33"/>
  <c r="J78" i="33"/>
  <c r="J76" i="33"/>
  <c r="J74" i="33"/>
  <c r="J72" i="33"/>
  <c r="J70" i="33"/>
  <c r="L96" i="33"/>
  <c r="L94" i="33"/>
  <c r="L92" i="33"/>
  <c r="L90" i="33"/>
  <c r="L88" i="33"/>
  <c r="L86" i="33"/>
  <c r="L84" i="33"/>
  <c r="L82" i="33"/>
  <c r="L80" i="33"/>
  <c r="L78" i="33"/>
  <c r="L76" i="33"/>
  <c r="L74" i="33"/>
  <c r="L72" i="33"/>
  <c r="L70" i="33"/>
  <c r="N96" i="33"/>
  <c r="N94" i="33"/>
  <c r="N92" i="33"/>
  <c r="N90" i="33"/>
  <c r="N88" i="33"/>
  <c r="N86" i="33"/>
  <c r="N84" i="33"/>
  <c r="N82" i="33"/>
  <c r="N80" i="33"/>
  <c r="N78" i="33"/>
  <c r="N76" i="33"/>
  <c r="N74" i="33"/>
  <c r="N72" i="33"/>
  <c r="N70" i="33"/>
  <c r="P96" i="33"/>
  <c r="P94" i="33"/>
  <c r="P92" i="33"/>
  <c r="P90" i="33"/>
  <c r="P88" i="33"/>
  <c r="P86" i="33"/>
  <c r="P84" i="33"/>
  <c r="P82" i="33"/>
  <c r="P80" i="33"/>
  <c r="P78" i="33"/>
  <c r="P76" i="33"/>
  <c r="P74" i="33"/>
  <c r="P72" i="33"/>
  <c r="P70" i="33"/>
  <c r="R96" i="33"/>
  <c r="R94" i="33"/>
  <c r="R92" i="33"/>
  <c r="R90" i="33"/>
  <c r="R88" i="33"/>
  <c r="R86" i="33"/>
  <c r="R84" i="33"/>
  <c r="R82" i="33"/>
  <c r="R80" i="33"/>
  <c r="R78" i="33"/>
  <c r="R76" i="33"/>
  <c r="R74" i="33"/>
  <c r="R72" i="33"/>
  <c r="R70" i="33"/>
  <c r="T96" i="33"/>
  <c r="T94" i="33"/>
  <c r="T92" i="33"/>
  <c r="T90" i="33"/>
  <c r="T88" i="33"/>
  <c r="T86" i="33"/>
  <c r="T84" i="33"/>
  <c r="T82" i="33"/>
  <c r="T80" i="33"/>
  <c r="T78" i="33"/>
  <c r="T76" i="33"/>
  <c r="T74" i="33"/>
  <c r="T72" i="33"/>
  <c r="T70" i="33"/>
  <c r="V96" i="33"/>
  <c r="V94" i="33"/>
  <c r="V92" i="33"/>
  <c r="V90" i="33"/>
  <c r="V88" i="33"/>
  <c r="V86" i="33"/>
  <c r="V84" i="33"/>
  <c r="V82" i="33"/>
  <c r="V80" i="33"/>
  <c r="V78" i="33"/>
  <c r="V76" i="33"/>
  <c r="V74" i="33"/>
  <c r="V72" i="33"/>
  <c r="V70" i="33"/>
  <c r="X96" i="33"/>
  <c r="X94" i="33"/>
  <c r="X92" i="33"/>
  <c r="X90" i="33"/>
  <c r="X88" i="33"/>
  <c r="X86" i="33"/>
  <c r="X84" i="33"/>
  <c r="X82" i="33"/>
  <c r="X80" i="33"/>
  <c r="X78" i="33"/>
  <c r="X76" i="33"/>
  <c r="X74" i="33"/>
  <c r="X72" i="33"/>
  <c r="X70" i="33"/>
  <c r="Z96" i="33"/>
  <c r="Z94" i="33"/>
  <c r="Z92" i="33"/>
  <c r="Z90" i="33"/>
  <c r="Z88" i="33"/>
  <c r="Z86" i="33"/>
  <c r="Z84" i="33"/>
  <c r="Z82" i="33"/>
  <c r="Z80" i="33"/>
  <c r="Z78" i="33"/>
  <c r="Z76" i="33"/>
  <c r="Z74" i="33"/>
  <c r="Z72" i="33"/>
  <c r="Z70" i="33"/>
  <c r="Z133" i="14"/>
  <c r="AC1078" i="14"/>
  <c r="Z553" i="14"/>
  <c r="Z868" i="14"/>
  <c r="Z763" i="14"/>
  <c r="Z343" i="14"/>
  <c r="AC133" i="14"/>
  <c r="Z1078" i="14"/>
  <c r="AC343" i="14"/>
  <c r="AC553" i="14"/>
  <c r="Z658" i="14"/>
  <c r="Z448" i="14"/>
  <c r="Z238" i="14"/>
  <c r="AC973" i="14"/>
  <c r="AC1183" i="14"/>
  <c r="AC28" i="14"/>
  <c r="AC238" i="14"/>
  <c r="AC448" i="14"/>
  <c r="AC658" i="14"/>
  <c r="Z1183" i="14"/>
  <c r="Z28" i="14"/>
  <c r="E47" i="22" l="1" a="1"/>
  <c r="E47" i="22" s="1"/>
  <c r="E9" i="22" s="1"/>
  <c r="BJ17" i="33"/>
  <c r="F74" i="33"/>
  <c r="F88" i="33"/>
  <c r="F95" i="33"/>
  <c r="G97" i="22"/>
  <c r="F68" i="33"/>
  <c r="F1073" i="14"/>
  <c r="J39" i="10"/>
  <c r="F29" i="9" s="1"/>
  <c r="O39" i="10"/>
  <c r="F972" i="14"/>
  <c r="K73" i="22"/>
  <c r="O73" i="22" s="1"/>
  <c r="G90" i="22" s="1"/>
  <c r="G95" i="22"/>
  <c r="D88" i="24" a="1"/>
  <c r="D88" i="24" s="1"/>
  <c r="G96" i="22"/>
  <c r="F90" i="33"/>
  <c r="F19" i="33"/>
  <c r="F81" i="33"/>
  <c r="F71" i="33"/>
  <c r="F75" i="33"/>
  <c r="F94" i="33"/>
  <c r="F76" i="33"/>
  <c r="F83" i="33"/>
  <c r="F79" i="33"/>
  <c r="F69" i="33"/>
  <c r="F24" i="33"/>
  <c r="F85" i="33"/>
  <c r="F82" i="33"/>
  <c r="F72" i="33"/>
  <c r="F89" i="33"/>
  <c r="F67" i="33"/>
  <c r="F84" i="33"/>
  <c r="F91" i="33"/>
  <c r="F96" i="33"/>
  <c r="G94" i="22"/>
  <c r="F87" i="33"/>
  <c r="G99" i="22"/>
  <c r="F78" i="33"/>
  <c r="F73" i="33"/>
  <c r="F86" i="33"/>
  <c r="F77" i="33"/>
  <c r="F93" i="33"/>
  <c r="H111" i="10"/>
  <c r="F92" i="33"/>
  <c r="F70" i="33"/>
  <c r="F80" i="33"/>
  <c r="E46" i="47"/>
  <c r="I46" i="47" s="1"/>
  <c r="G92" i="22"/>
  <c r="E73" i="35"/>
  <c r="G98" i="22"/>
  <c r="F19" i="9"/>
  <c r="E35" i="47" s="1"/>
  <c r="I35" i="47" s="1"/>
  <c r="D34" i="8"/>
  <c r="D41" i="9" s="1"/>
  <c r="M72" i="22"/>
  <c r="E79" i="35"/>
  <c r="E25" i="35" s="1"/>
  <c r="E72" i="35"/>
  <c r="G93" i="22"/>
  <c r="K72" i="22"/>
  <c r="J65" i="35"/>
  <c r="N65" i="35" s="1"/>
  <c r="E74" i="35" s="1"/>
  <c r="J66" i="35"/>
  <c r="N66" i="35" s="1"/>
  <c r="E75" i="35" s="1"/>
  <c r="G36" i="12"/>
  <c r="D36" i="10"/>
  <c r="F111" i="10"/>
  <c r="F116" i="10" s="1"/>
  <c r="BD98" i="33"/>
  <c r="BD21" i="33" s="1"/>
  <c r="AP98" i="33"/>
  <c r="AP21" i="33" s="1"/>
  <c r="AV98" i="33"/>
  <c r="AV21" i="33" s="1"/>
  <c r="AJ98" i="33"/>
  <c r="AJ21" i="33" s="1"/>
  <c r="BH98" i="33"/>
  <c r="BH21" i="33" s="1"/>
  <c r="I7" i="47"/>
  <c r="E12" i="47"/>
  <c r="I12" i="47" s="1"/>
  <c r="AR98" i="33"/>
  <c r="AR21" i="33" s="1"/>
  <c r="BB98" i="33"/>
  <c r="BB21" i="33" s="1"/>
  <c r="AH98" i="33"/>
  <c r="AH21" i="33" s="1"/>
  <c r="E14" i="21"/>
  <c r="H98" i="33"/>
  <c r="H21" i="33" s="1"/>
  <c r="L98" i="24"/>
  <c r="K92" i="24" s="1"/>
  <c r="K83" i="22"/>
  <c r="O83" i="22" s="1"/>
  <c r="G100" i="22" s="1"/>
  <c r="G104" i="22"/>
  <c r="X98" i="33"/>
  <c r="X21" i="33" s="1"/>
  <c r="T98" i="33"/>
  <c r="T21" i="33" s="1"/>
  <c r="P98" i="33"/>
  <c r="P21" i="33" s="1"/>
  <c r="L98" i="33"/>
  <c r="L21" i="33" s="1"/>
  <c r="AZ98" i="33"/>
  <c r="AZ21" i="33" s="1"/>
  <c r="AF98" i="33"/>
  <c r="AF21" i="33" s="1"/>
  <c r="AL98" i="33"/>
  <c r="AL21" i="33" s="1"/>
  <c r="AD98" i="33"/>
  <c r="AD21" i="33" s="1"/>
  <c r="AT98" i="33"/>
  <c r="AT21" i="33" s="1"/>
  <c r="AB98" i="33"/>
  <c r="AB21" i="33" s="1"/>
  <c r="AN98" i="33"/>
  <c r="AN21" i="33" s="1"/>
  <c r="AX98" i="33"/>
  <c r="AX21" i="33" s="1"/>
  <c r="BF98" i="33"/>
  <c r="BF21" i="33" s="1"/>
  <c r="Z98" i="33"/>
  <c r="Z21" i="33" s="1"/>
  <c r="V98" i="33"/>
  <c r="V21" i="33" s="1"/>
  <c r="R98" i="33"/>
  <c r="R21" i="33" s="1"/>
  <c r="N98" i="33"/>
  <c r="N21" i="33" s="1"/>
  <c r="J98" i="33"/>
  <c r="J21" i="33" s="1"/>
  <c r="E88" i="24" l="1"/>
  <c r="O36" i="10"/>
  <c r="F88" i="24"/>
  <c r="G88" i="24"/>
  <c r="H88" i="24"/>
  <c r="F98" i="33"/>
  <c r="F21" i="33" s="1"/>
  <c r="F22" i="9"/>
  <c r="O72" i="22"/>
  <c r="G89" i="22" s="1"/>
  <c r="G105" i="22" s="1" a="1"/>
  <c r="G105" i="22" s="1"/>
  <c r="E26" i="22" s="1"/>
  <c r="E80" i="35" a="1"/>
  <c r="E80" i="35" s="1"/>
  <c r="E26" i="35" s="1"/>
  <c r="E29" i="35" s="1"/>
  <c r="E7" i="35" s="1"/>
  <c r="E15" i="35" s="1" a="1"/>
  <c r="E15" i="35" s="1"/>
  <c r="J36" i="10"/>
  <c r="F26" i="9" s="1"/>
  <c r="K89" i="24"/>
  <c r="K90" i="24"/>
  <c r="E25" i="22"/>
  <c r="L88" i="24" l="1" a="1"/>
  <c r="P88" i="24" s="1"/>
  <c r="E29" i="22"/>
  <c r="E11" i="35"/>
  <c r="E13" i="35" s="1"/>
  <c r="E19" i="35"/>
  <c r="D11" i="36" s="1"/>
  <c r="O88" i="24" l="1"/>
  <c r="L88" i="24"/>
  <c r="M88" i="24"/>
  <c r="N88" i="24"/>
  <c r="E7" i="22"/>
  <c r="E15" i="22" s="1" a="1"/>
  <c r="E15" i="22" s="1"/>
  <c r="E19" i="22" s="1"/>
  <c r="D12" i="36" s="1"/>
  <c r="AJ23" i="33" s="1" a="1"/>
  <c r="AJ23" i="33" s="1"/>
  <c r="E47" i="47"/>
  <c r="I47" i="47" s="1"/>
  <c r="AB23" i="33" l="1" a="1"/>
  <c r="AB23" i="33" s="1"/>
  <c r="Z23" i="33" a="1"/>
  <c r="Z23" i="33" s="1"/>
  <c r="AX23" i="33" a="1"/>
  <c r="AX23" i="33" s="1"/>
  <c r="AZ23" i="33" a="1"/>
  <c r="AZ23" i="33" s="1"/>
  <c r="V23" i="33" a="1"/>
  <c r="V23" i="33" s="1"/>
  <c r="L23" i="33" a="1"/>
  <c r="L23" i="33" s="1"/>
  <c r="X23" i="33" a="1"/>
  <c r="X23" i="33" s="1"/>
  <c r="J23" i="33" a="1"/>
  <c r="J23" i="33" s="1"/>
  <c r="AP23" i="33" a="1"/>
  <c r="AP23" i="33" s="1"/>
  <c r="H23" i="33" a="1"/>
  <c r="H23" i="33" s="1"/>
  <c r="AL23" i="33" a="1"/>
  <c r="AL23" i="33" s="1"/>
  <c r="AF23" i="33" a="1"/>
  <c r="AF23" i="33" s="1"/>
  <c r="AT23" i="33" a="1"/>
  <c r="AT23" i="33" s="1"/>
  <c r="AH23" i="33" a="1"/>
  <c r="AH23" i="33" s="1"/>
  <c r="P23" i="33" a="1"/>
  <c r="P23" i="33" s="1"/>
  <c r="R23" i="33" a="1"/>
  <c r="R23" i="33" s="1"/>
  <c r="AN23" i="33" a="1"/>
  <c r="AN23" i="33" s="1"/>
  <c r="BD23" i="33" a="1"/>
  <c r="BD23" i="33" s="1"/>
  <c r="N23" i="33" a="1"/>
  <c r="N23" i="33" s="1"/>
  <c r="T23" i="33" a="1"/>
  <c r="T23" i="33" s="1"/>
  <c r="T62" i="33" s="1"/>
  <c r="F77" i="6" s="1"/>
  <c r="AD23" i="33" a="1"/>
  <c r="AD23" i="33" s="1"/>
  <c r="BF23" i="33" a="1"/>
  <c r="BF23" i="33" s="1"/>
  <c r="AR23" i="33" a="1"/>
  <c r="AR23" i="33" s="1"/>
  <c r="BH23" i="33" a="1"/>
  <c r="BH23" i="33" s="1"/>
  <c r="BH62" i="33" s="1"/>
  <c r="F149" i="7" s="1"/>
  <c r="AV23" i="33" a="1"/>
  <c r="AV23" i="33" s="1"/>
  <c r="F23" i="33" a="1"/>
  <c r="F23" i="33" s="1"/>
  <c r="F62" i="33" s="1"/>
  <c r="BB23" i="33" a="1"/>
  <c r="BB23" i="33" s="1"/>
  <c r="E11" i="22"/>
  <c r="E13" i="22" s="1"/>
  <c r="AB62" i="33"/>
  <c r="F113" i="6" s="1"/>
  <c r="AH62" i="33"/>
  <c r="F32" i="7" s="1"/>
  <c r="BD62" i="33"/>
  <c r="F131" i="7" s="1"/>
  <c r="H62" i="33"/>
  <c r="F23" i="6" s="1"/>
  <c r="AN62" i="33"/>
  <c r="F59" i="7" s="1"/>
  <c r="AX62" i="33"/>
  <c r="F104" i="7" s="1"/>
  <c r="E18" i="21" a="1"/>
  <c r="E18" i="21" s="1"/>
  <c r="D9" i="36" s="1"/>
  <c r="E48" i="47"/>
  <c r="I48" i="47" s="1"/>
  <c r="F61" i="7" l="1"/>
  <c r="F133" i="7"/>
  <c r="F79" i="6"/>
  <c r="F34" i="7"/>
  <c r="F151" i="7"/>
  <c r="F115" i="6"/>
  <c r="F106" i="7"/>
  <c r="F25" i="6"/>
  <c r="E16" i="21"/>
  <c r="AL62" i="33"/>
  <c r="F50" i="7" s="1"/>
  <c r="AV62" i="33"/>
  <c r="F95" i="7" s="1"/>
  <c r="BF62" i="33"/>
  <c r="F140" i="7" s="1"/>
  <c r="X62" i="33"/>
  <c r="F95" i="6" s="1"/>
  <c r="AR62" i="33"/>
  <c r="F77" i="7" s="1"/>
  <c r="V62" i="33"/>
  <c r="F86" i="6" s="1"/>
  <c r="BB62" i="33"/>
  <c r="F122" i="7" s="1"/>
  <c r="AF62" i="33"/>
  <c r="F23" i="7" s="1"/>
  <c r="J62" i="33"/>
  <c r="F32" i="6" s="1"/>
  <c r="AP62" i="33"/>
  <c r="F68" i="7" s="1"/>
  <c r="AZ62" i="33"/>
  <c r="F113" i="7" s="1"/>
  <c r="P62" i="33"/>
  <c r="F59" i="6" s="1"/>
  <c r="Z62" i="33"/>
  <c r="F104" i="6" s="1"/>
  <c r="AJ62" i="33"/>
  <c r="F41" i="7" s="1"/>
  <c r="N62" i="33"/>
  <c r="F50" i="6" s="1"/>
  <c r="AT62" i="33"/>
  <c r="F86" i="7" s="1"/>
  <c r="L62" i="33"/>
  <c r="F41" i="6" s="1"/>
  <c r="AD62" i="33"/>
  <c r="F14" i="7" s="1"/>
  <c r="R62" i="33"/>
  <c r="F68" i="6" s="1"/>
  <c r="F14" i="6"/>
  <c r="BN62" i="33" l="1"/>
  <c r="BN5" i="33" s="1"/>
  <c r="F142" i="7"/>
  <c r="F97" i="7"/>
  <c r="F34" i="6"/>
  <c r="F52" i="7"/>
  <c r="F25" i="7"/>
  <c r="F52" i="6"/>
  <c r="F43" i="7"/>
  <c r="F88" i="6"/>
  <c r="F115" i="7"/>
  <c r="F70" i="7"/>
  <c r="F88" i="7"/>
  <c r="F106" i="6"/>
  <c r="F70" i="6"/>
  <c r="F16" i="7"/>
  <c r="F124" i="7"/>
  <c r="F79" i="7"/>
  <c r="F97" i="6"/>
  <c r="F43" i="6"/>
  <c r="F61" i="6"/>
  <c r="E45" i="47"/>
  <c r="D17" i="36" a="1"/>
  <c r="D17" i="36" s="1"/>
  <c r="D15" i="36"/>
  <c r="AD19" i="46" a="1"/>
  <c r="AD19" i="46" s="1"/>
  <c r="E16" i="47"/>
  <c r="F16" i="6"/>
  <c r="E50" i="47" l="1"/>
  <c r="G31" i="4"/>
  <c r="F119" i="6"/>
  <c r="F155" i="7" s="1"/>
  <c r="F27" i="8" s="1"/>
  <c r="D37" i="10" s="1"/>
  <c r="AD21" i="46"/>
  <c r="AD27" i="46" s="1"/>
  <c r="D19" i="36"/>
  <c r="D25" i="36" s="1"/>
  <c r="E18" i="47"/>
  <c r="E20" i="47" s="1"/>
  <c r="I20" i="47" s="1"/>
  <c r="I16" i="47"/>
  <c r="J37" i="10" l="1"/>
  <c r="F27" i="9" s="1"/>
  <c r="F32" i="9" s="1"/>
  <c r="F36" i="9" s="1"/>
  <c r="D42" i="10"/>
  <c r="D78" i="10" s="1"/>
  <c r="J78" i="10" s="1"/>
  <c r="F34" i="8"/>
  <c r="O37" i="10"/>
  <c r="O4" i="10" s="1"/>
  <c r="E54" i="47"/>
  <c r="I54" i="47" s="1"/>
  <c r="F12" i="32"/>
  <c r="F14" i="32" s="1"/>
  <c r="F17" i="32" s="1"/>
  <c r="I18" i="47"/>
  <c r="F41" i="9" l="1"/>
  <c r="I41" i="9" s="1"/>
  <c r="I4" i="9" s="1"/>
  <c r="G33" i="4"/>
  <c r="F21" i="32"/>
  <c r="J42" i="10"/>
  <c r="G32" i="4" l="1"/>
  <c r="G9" i="4" s="1"/>
  <c r="D2" i="52" s="1"/>
  <c r="E62" i="47"/>
  <c r="I62" i="47" s="1"/>
  <c r="E36" i="47"/>
  <c r="E4" i="52" l="1"/>
  <c r="I36" i="47"/>
  <c r="AF33" i="46"/>
  <c r="D89" i="10" s="1"/>
  <c r="D106" i="10" s="1"/>
  <c r="J106" i="10" l="1"/>
  <c r="J111" i="10" s="1"/>
  <c r="D111" i="10"/>
  <c r="AF35" i="46"/>
  <c r="AF34" i="46"/>
  <c r="D121" i="10" l="1"/>
  <c r="F121" i="10" s="1"/>
  <c r="D116" i="10"/>
  <c r="J116" i="10" s="1"/>
  <c r="AF37" i="46"/>
  <c r="AF39" i="46" s="1"/>
  <c r="AD37" i="46"/>
  <c r="AD39" i="46" s="1"/>
  <c r="I45" i="47"/>
  <c r="F126" i="10" l="1"/>
  <c r="F27" i="32" s="1"/>
  <c r="H121" i="10"/>
  <c r="D32" i="36"/>
  <c r="D31" i="36"/>
  <c r="D126" i="10"/>
  <c r="I50" i="47"/>
  <c r="E51" i="47"/>
  <c r="I51" i="47" s="1"/>
  <c r="F26" i="32" l="1"/>
  <c r="J126" i="10"/>
  <c r="J121" i="10"/>
  <c r="E37" i="47" s="1"/>
  <c r="D33" i="36"/>
  <c r="I37" i="47" l="1"/>
  <c r="E39" i="47"/>
  <c r="F34" i="32"/>
  <c r="E63" i="47" s="1"/>
  <c r="D39" i="36"/>
  <c r="D41" i="36" s="1"/>
  <c r="I39" i="47" l="1"/>
  <c r="E56" i="47"/>
  <c r="I56" i="47" s="1"/>
  <c r="F36" i="32"/>
  <c r="I63" i="47"/>
  <c r="E65" i="47"/>
  <c r="I65"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Parsons, Mark</author>
  </authors>
  <commentList>
    <comment ref="E6" authorId="0" shapeId="0" xr:uid="{00000000-0006-0000-2500-000001000000}">
      <text>
        <r>
          <rPr>
            <b/>
            <sz val="9"/>
            <color indexed="81"/>
            <rFont val="Tahoma"/>
            <family val="2"/>
          </rPr>
          <t>Parsons, Mark:</t>
        </r>
        <r>
          <rPr>
            <sz val="9"/>
            <color indexed="81"/>
            <rFont val="Tahoma"/>
            <family val="2"/>
          </rPr>
          <t xml:space="preserve">
Change this as appropriate for the return template
</t>
        </r>
      </text>
    </comment>
  </commentList>
</comments>
</file>

<file path=xl/sharedStrings.xml><?xml version="1.0" encoding="utf-8"?>
<sst xmlns="http://schemas.openxmlformats.org/spreadsheetml/2006/main" count="2385" uniqueCount="1146">
  <si>
    <t>Index</t>
  </si>
  <si>
    <t xml:space="preserve">Throughout this return, 'Regulation' refers to the Insurance (Non-Long-Term Business Valuation and Solvency) Regulations 2021 unless stated otherwise. </t>
  </si>
  <si>
    <t>Where applicable, the terms used in this form should be taken to have the same meaning as defined in the Regulations.</t>
  </si>
  <si>
    <t>This return should be completed by a Class 12 insurer for assets and liabilities relating to all of its lines of business.</t>
  </si>
  <si>
    <t xml:space="preserve">This return must be completed in the insurer's reporting currency. </t>
  </si>
  <si>
    <t xml:space="preserve">When expressing the value of any asset or liability denominated in a currency other than the reporting currency, the value must be converted into the reporting currency as if the conversion
 had taken place at the closing exchange rate on the last day for which the appropriate rate is available in the reporting period to which the asset or liability relates. </t>
  </si>
  <si>
    <t>The conversion into the reporting currency must be calculated by applying the exchange rate from the same source as that used for the insurer's financial statements.</t>
  </si>
  <si>
    <t>An offence may be committed under s52 of the Insurance Act 2008 for failing to supply any information required by the Authority, or for supplying false or misleading information.</t>
  </si>
  <si>
    <t>Instruction Notes</t>
  </si>
  <si>
    <t>1. Figures should be reported in thousands (for example £10,504,603.00 is entered as 10504.603 and will appear as 10,504.603).</t>
  </si>
  <si>
    <t>2. Figures entered in the accounting basis column must always reconcile to the figures in the financial statements used as a basis of preparing the return.</t>
  </si>
  <si>
    <t>3. Where there are differences between the accounting basis column and the regulatory basis column, commentary must be provided to explain the difference.</t>
  </si>
  <si>
    <t>4. Where the same data is required in different tabs/worksheets, the figures entered should reconcile.</t>
  </si>
  <si>
    <t>5. Where an insurer has a valid pay-as-paid clause in place, the regulatory balance sheet should be completed without taking the clause into account. The risk mitigation of the clause is taken into account in the counterparty default helper tab.</t>
  </si>
  <si>
    <t xml:space="preserve">6. Two signatories are required in the Participant Information Tab. These must be notified Controlled Function Role Holders of the insurer, unless the submission is in respect of an insurer that is managed by an insurance manager. </t>
  </si>
  <si>
    <t>In this case one signatory must be a Director of the insurer that is independent to the insurance manager, and the other signatory must be an appropriate person within the manager (who may or may not be a notified Control Function Role Holder).</t>
  </si>
  <si>
    <t>Key</t>
  </si>
  <si>
    <t>Input Cell</t>
  </si>
  <si>
    <t>Formula Cell</t>
  </si>
  <si>
    <t>Input from helper tab</t>
  </si>
  <si>
    <t>Fixed value cell</t>
  </si>
  <si>
    <r>
      <rPr>
        <b/>
        <sz val="12"/>
        <color theme="0"/>
        <rFont val="Calibri"/>
        <family val="2"/>
        <scheme val="minor"/>
      </rPr>
      <t xml:space="preserve">           *</t>
    </r>
    <r>
      <rPr>
        <sz val="12"/>
        <color theme="0"/>
        <rFont val="Calibri"/>
        <family val="2"/>
        <scheme val="minor"/>
      </rPr>
      <t xml:space="preserve">          
Click on cell for information</t>
    </r>
  </si>
  <si>
    <t>Tab</t>
  </si>
  <si>
    <t>Content</t>
  </si>
  <si>
    <t>Biannual or Annual Return</t>
  </si>
  <si>
    <t>Participant Information</t>
  </si>
  <si>
    <t>Information about the insurer</t>
  </si>
  <si>
    <t>Biannual &amp; Annual</t>
  </si>
  <si>
    <t>Control</t>
  </si>
  <si>
    <t>Specify the return period, and use the button to generate the file for submission</t>
  </si>
  <si>
    <t>RBS - Assets</t>
  </si>
  <si>
    <t>Information on the regulatory balance sheet value of assets backing non-life business on the insurer's accounting basis and on the regulatory basis.</t>
  </si>
  <si>
    <t>RBS - Direct TPs</t>
  </si>
  <si>
    <t>Information on the regulatory balance sheet value of technical provisions for directly written liabilities on the insurer's accounting basis and on the regulatory basis.</t>
  </si>
  <si>
    <t>RBS - Reins TPs</t>
  </si>
  <si>
    <t>Information on the regulatory balance sheet value of technical provisions for reinsured liabilities on the insurer's accounting basis and on the regulatory basis.</t>
  </si>
  <si>
    <t>RBS - Other Liab</t>
  </si>
  <si>
    <t>Information on the regulatory balance sheet value of technical provisions for other liabilities on the insurer's accounting basis and on the regulatory basis.</t>
  </si>
  <si>
    <t>RBS-Risk Margin</t>
  </si>
  <si>
    <t>Information on the regulatory balance sheet value of the risk margin.</t>
  </si>
  <si>
    <t>RBS - Capital</t>
  </si>
  <si>
    <t>Information on the regulatory balance sheet value of capital on the insurer's accounting basis and on the regulatory basis.</t>
  </si>
  <si>
    <t>Own Funds</t>
  </si>
  <si>
    <t>Determines eligible own funds to cover the SCR.</t>
  </si>
  <si>
    <t>Ring-Fenced Fund Adjustment</t>
  </si>
  <si>
    <t>Adjustment to the diversification benefit of the SCR and to tier 1 own-funds if an insurer has ring-fenced funds.</t>
  </si>
  <si>
    <t>Market Risk Inputs</t>
  </si>
  <si>
    <t>Inputs for the market risk capital requirement.</t>
  </si>
  <si>
    <t>Spread Risk</t>
  </si>
  <si>
    <t>Calculation of the spread risk capital requirement.</t>
  </si>
  <si>
    <t>Counterparty Default Risk</t>
  </si>
  <si>
    <t>Calculation of the counterparty default risk capital requirement.</t>
  </si>
  <si>
    <t>Premium and Reserve Risk</t>
  </si>
  <si>
    <t>Calculation of the premium and reserve risk capital requirement.</t>
  </si>
  <si>
    <t>Geographical Diversification</t>
  </si>
  <si>
    <t xml:space="preserve">Calculation of geographical diversification for premium and reserve risk. </t>
  </si>
  <si>
    <t>Lapse Risk</t>
  </si>
  <si>
    <t>Calculation of the lapse risk capital requirement.</t>
  </si>
  <si>
    <t>Health Prem &amp; Reserve Risk</t>
  </si>
  <si>
    <t>Calculation of the NSLT health premium and reserve risk capital requirement.</t>
  </si>
  <si>
    <t>Health Geo Diversification</t>
  </si>
  <si>
    <t xml:space="preserve">Calculation of geographical diversification for NSLT health premium and reserve risk. </t>
  </si>
  <si>
    <t>Health Lapse Risk</t>
  </si>
  <si>
    <t>Calculation of the NSLT health lapse risk capital requirement.</t>
  </si>
  <si>
    <t>Market Risk</t>
  </si>
  <si>
    <t>Calculation of the market risk capital requirement.</t>
  </si>
  <si>
    <t>Underwriting Risk</t>
  </si>
  <si>
    <t>Calculation of the underwriting risk capital requirement.</t>
  </si>
  <si>
    <t>NSLT Health Risk</t>
  </si>
  <si>
    <t>Calculation of the NSLT health risk capital requirement.</t>
  </si>
  <si>
    <t>SCR Summary</t>
  </si>
  <si>
    <t xml:space="preserve">Calculation of the insurer's solvency capital requirement; summary of capital resources and the related SCR coverage ratio. </t>
  </si>
  <si>
    <t>MCR Summary</t>
  </si>
  <si>
    <t xml:space="preserve">Calculation of the insurer's minimum capital requirement. </t>
  </si>
  <si>
    <t>Change Analysis</t>
  </si>
  <si>
    <t>Analysis of the movement in regulatory balance sheet, SCR and MCR over the reporting period.</t>
  </si>
  <si>
    <t>Annual</t>
  </si>
  <si>
    <t>Supporting Material</t>
  </si>
  <si>
    <t>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t>
  </si>
  <si>
    <t>Summary of Single Exposures</t>
  </si>
  <si>
    <t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t>
  </si>
  <si>
    <t>12 Month Forecast</t>
  </si>
  <si>
    <t>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t>
  </si>
  <si>
    <t>Large Claims</t>
  </si>
  <si>
    <r>
      <t>Information about any</t>
    </r>
    <r>
      <rPr>
        <b/>
        <sz val="12"/>
        <color theme="1"/>
        <rFont val="Calibri"/>
        <family val="2"/>
        <scheme val="minor"/>
      </rPr>
      <t xml:space="preserve"> large claims exceeding 20% of the insurer's net assets</t>
    </r>
    <r>
      <rPr>
        <sz val="12"/>
        <color theme="1"/>
        <rFont val="Calibri"/>
        <family val="2"/>
        <scheme val="minor"/>
      </rPr>
      <t>, and how they have developed and/or settled over the accounting period of the attached audited accounts.</t>
    </r>
  </si>
  <si>
    <t>Security Supporting Obligations</t>
  </si>
  <si>
    <t>Information on security provided directly or indirectly to guarantee that the insurer's insurance obligations are met, and security provided for other purposes.</t>
  </si>
  <si>
    <t>Class 12 Info</t>
  </si>
  <si>
    <t>Information required on Class 12 authorisation status.</t>
  </si>
  <si>
    <t>Data</t>
  </si>
  <si>
    <t>Information only.</t>
  </si>
  <si>
    <t>N/A</t>
  </si>
  <si>
    <t>Regulatory Balance Sheet</t>
  </si>
  <si>
    <t>The regulatory balance sheet consists of assets, technical provisions, other liabilities, and solvency capital requirements.</t>
  </si>
  <si>
    <t xml:space="preserve">The diagram below illustrates solvency control levels and their relationship with solvency capital requirements. </t>
  </si>
  <si>
    <t>SCR Construction</t>
  </si>
  <si>
    <t>The SCR consists of a number of different shock scenarios, collected together in different sub-groups:</t>
  </si>
  <si>
    <t>Non-Life/Health Underwriting Risks</t>
  </si>
  <si>
    <t>Operational Risk</t>
  </si>
  <si>
    <t>Interest Rate risk</t>
  </si>
  <si>
    <t xml:space="preserve">Type 1 Default risk </t>
  </si>
  <si>
    <t>Premium &amp; Reserve risk</t>
  </si>
  <si>
    <t xml:space="preserve">Operational risk (not applicable to class 12) </t>
  </si>
  <si>
    <t>Equity risk</t>
  </si>
  <si>
    <t>Type 2 Default risk</t>
  </si>
  <si>
    <t>Lapse risk</t>
  </si>
  <si>
    <t>Property risk</t>
  </si>
  <si>
    <t>Catastrophe risk (not applicable to class 12)</t>
  </si>
  <si>
    <t>Currency risk</t>
  </si>
  <si>
    <t>Spread risk</t>
  </si>
  <si>
    <t>Concentration risk</t>
  </si>
  <si>
    <t>Each risk within a sub-group is aggregated together to make a capital requirement for that sub-group, allowing for the diversification benefits between each individual risk category.</t>
  </si>
  <si>
    <t>The capital requirements for each sub-group are then further aggregated to make an overall capital requirement, again, allowing for the diversification benefits between each sub-group.</t>
  </si>
  <si>
    <t>Class 12 Non-Long-Term Business Insurance Return</t>
  </si>
  <si>
    <t>Firm Information</t>
  </si>
  <si>
    <t>Return Version Number</t>
  </si>
  <si>
    <t>Firm Name</t>
  </si>
  <si>
    <t>Return Reporting Currency</t>
  </si>
  <si>
    <t>GBP</t>
  </si>
  <si>
    <t>Date Return From (dd/mm/yyyy)*</t>
  </si>
  <si>
    <t>Date Return To (dd/mm/yyyy)*</t>
  </si>
  <si>
    <t>Firm Declaration</t>
  </si>
  <si>
    <t>I/we are authorised by ('the Firm')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</si>
  <si>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</si>
  <si>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</si>
  <si>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</si>
  <si>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</si>
  <si>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</si>
  <si>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</si>
  <si>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r>
      <t>Comments</t>
    </r>
    <r>
      <rPr>
        <b/>
        <i/>
        <sz val="12"/>
        <color theme="0"/>
        <rFont val="Calibri"/>
        <family val="2"/>
        <scheme val="minor"/>
      </rPr>
      <t xml:space="preserve"> (optional)</t>
    </r>
  </si>
  <si>
    <t>Validation Table</t>
  </si>
  <si>
    <t>Is the RBS-Assets Sheet complete?</t>
  </si>
  <si>
    <t>Is the RBS - Direct TPs Sheet complete?</t>
  </si>
  <si>
    <t>Is the RBS - Reins TPs Sheet complete?</t>
  </si>
  <si>
    <t>Is the RBS - Other Liab Sheet complete?</t>
  </si>
  <si>
    <t>Is the RBS - Risk Margin Sheet complete?</t>
  </si>
  <si>
    <t>Is the RBS - Capital Sheet complete?</t>
  </si>
  <si>
    <t>Is the Own Funds Sheet complete?</t>
  </si>
  <si>
    <t>Is the Ring-Fenced Fund Adjustment Sheet complete?</t>
  </si>
  <si>
    <t>Is the Market Risk Inputs Sheet complete?</t>
  </si>
  <si>
    <t>Is the Spread Risk Sheet complete?</t>
  </si>
  <si>
    <t>Is the Counterparty Default Risk Sheet complete?</t>
  </si>
  <si>
    <t>Is the Premium and Reserve Risk Sheet complete?</t>
  </si>
  <si>
    <t>Is the Geographical Diversification Sheet complete?</t>
  </si>
  <si>
    <t>Is the Lapse Risk  Sheet complete?</t>
  </si>
  <si>
    <t>Is the Health Prem &amp; Reserve Risk Sheet complete?</t>
  </si>
  <si>
    <t>Is the Health Geo Diversification Sheet complete?</t>
  </si>
  <si>
    <t>Is the Health Lapse Risk Sheet complete?</t>
  </si>
  <si>
    <t>Is the Underwriting Risk  Sheet complete?</t>
  </si>
  <si>
    <t>Is the NSLT Health Risk Sheet complete?</t>
  </si>
  <si>
    <t>Is the MCR Summary Sheet complete?</t>
  </si>
  <si>
    <t>Is the Change Analysis Sheet complete?</t>
  </si>
  <si>
    <t>Is the Summary of Single Exposures Sheet complete?</t>
  </si>
  <si>
    <t>Is the 12 Month Forecast Sheet complete?</t>
  </si>
  <si>
    <t>Is the Large Claims Sheet complete?</t>
  </si>
  <si>
    <t>Is the Security Supporting Obligations Sheet complete?</t>
  </si>
  <si>
    <t>Is the Class 12 Info Sheet complete?</t>
  </si>
  <si>
    <r>
      <rPr>
        <b/>
        <i/>
        <sz val="12"/>
        <color theme="1"/>
        <rFont val="Calibri"/>
        <family val="2"/>
        <scheme val="minor"/>
      </rPr>
      <t>🔒 Data Protection Notice</t>
    </r>
    <r>
      <rPr>
        <i/>
        <sz val="12"/>
        <color theme="1"/>
        <rFont val="Calibri"/>
        <family val="2"/>
        <scheme val="minor"/>
      </rPr>
      <t xml:space="preserve">
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Policy on the Authority’s website: https://www.iomfsa.im/terms-conditions/privacy-policy/ 
Please call +44 (0)1624 646000 if you have any queries.</t>
    </r>
  </si>
  <si>
    <t>Submission Type</t>
  </si>
  <si>
    <t>Biannual</t>
  </si>
  <si>
    <t>Balance Sheet - Assets</t>
  </si>
  <si>
    <t>Accounting basis*</t>
  </si>
  <si>
    <t>Regulatory basis*</t>
  </si>
  <si>
    <t>Please add an explanation where the regulatory basis differs from accounting basis</t>
  </si>
  <si>
    <t>'000</t>
  </si>
  <si>
    <t>Fixed Assets</t>
  </si>
  <si>
    <t>Goodwill</t>
  </si>
  <si>
    <t>Other intangible assets</t>
  </si>
  <si>
    <t>Property, plant &amp; equipment held for own use</t>
  </si>
  <si>
    <t>Total</t>
  </si>
  <si>
    <t>Investments</t>
  </si>
  <si>
    <t>Property (inc. land, buildings, immovable property rights excluding property investment for insurer's own use)</t>
  </si>
  <si>
    <t>Participations (constituted by share ownership or by the exertion of a dominant or significant influence over another entity)</t>
  </si>
  <si>
    <t>Type 1 equities (equities listed in regulated markets in countries which are members of the EEA or OCED including Participations that are equity holdings meeting this criteria)</t>
  </si>
  <si>
    <t>Type 2 equities (listed equities that are not type 1, equities that are not listed, hedge funds, commodities, non-credit derivatives, other alternative investments, participations that are equity holdings that are not type 1, and any assets where look-through was not possible.)</t>
  </si>
  <si>
    <t>Eligible government bonds (and bonds issued by other institutions that meet the eligibility requirements)</t>
  </si>
  <si>
    <t>Bonds - Corporate (including all types of asset backed securities)</t>
  </si>
  <si>
    <t>Other credit risky assets (incl. corporate bonds, money market Instruments subordinated debt instruments, securitsation positions, credit derivatives other than for hedging purposes and Participations that are subordinated liability holdings)</t>
  </si>
  <si>
    <t>Structured notes</t>
  </si>
  <si>
    <t>Any type of investment in group/related entities (e.g. discount notes issued by a related party, deposits in a bank which is also a related entity etc.) other than loans and participations</t>
  </si>
  <si>
    <t>Credit Derivatives (for hedging purposes)</t>
  </si>
  <si>
    <t>Futures</t>
  </si>
  <si>
    <t>Call Options</t>
  </si>
  <si>
    <t>Put Options</t>
  </si>
  <si>
    <t>Swaps</t>
  </si>
  <si>
    <t>Forwards</t>
  </si>
  <si>
    <t>Long term bank deposits (duration more than 1 year)</t>
  </si>
  <si>
    <t>Other investments (note will be included within Type 2 equity market stress)</t>
  </si>
  <si>
    <t>Mortgages and loans made</t>
  </si>
  <si>
    <t>Loans made to unrelated entities (both collateralised and uncollateralised and including loans on policies)</t>
  </si>
  <si>
    <t>Loans made to group/related entities</t>
  </si>
  <si>
    <t>Collateralised loans made (other than loans on policies)</t>
  </si>
  <si>
    <t>Loans on policies</t>
  </si>
  <si>
    <t>Reinsurance and SPV recoverables</t>
  </si>
  <si>
    <t>Reinsurance and SPV recoverables (relating to both premium provisions and claims provisions)</t>
  </si>
  <si>
    <t>Reinsurance share of claim reserves</t>
  </si>
  <si>
    <t>Other reinsurance recoverables</t>
  </si>
  <si>
    <t>Other Assets</t>
  </si>
  <si>
    <t>SPV recoverables</t>
  </si>
  <si>
    <t>Receivables/recoverables (other than reinsurance)</t>
  </si>
  <si>
    <t>Receivables (other than reinsurance)</t>
  </si>
  <si>
    <t>Deferred acquisition costs</t>
  </si>
  <si>
    <t>Prepayments made, deferred expenses etc.</t>
  </si>
  <si>
    <t>Deposits with ceding insurers or other similar arrangements  (e.g. escrow accounts)</t>
  </si>
  <si>
    <t>Cash and cash equivalents (duration less than 5 days with no penalties on withdrawal)</t>
  </si>
  <si>
    <t>Other bank deposits, notice accounts or similar (duration greater than 5 days)</t>
  </si>
  <si>
    <t>Amounts due in respect of called but unpaid capital</t>
  </si>
  <si>
    <t>Other assets, not shown elsewhere  (note will be included within Type 2 equity market stress)</t>
  </si>
  <si>
    <t>Total Assets</t>
  </si>
  <si>
    <t>TOTAL</t>
  </si>
  <si>
    <t>SCR Stress Key:</t>
  </si>
  <si>
    <t>RBS - Direct Technical Provisions</t>
  </si>
  <si>
    <t>Balance Sheet - Direct Written Liabilities</t>
  </si>
  <si>
    <t>Accounting basis</t>
  </si>
  <si>
    <t xml:space="preserve">Regulatory Basis    </t>
  </si>
  <si>
    <t>Reinsurance recoverables - Regulatory Basis *</t>
  </si>
  <si>
    <t>1 in 10</t>
  </si>
  <si>
    <t>TPs - 1 - Motor vehicle liability insurance</t>
  </si>
  <si>
    <t>Premium Provisions</t>
  </si>
  <si>
    <t>Claim Provisions</t>
  </si>
  <si>
    <t>Best Estimate Provision</t>
  </si>
  <si>
    <t>Risk Margin</t>
  </si>
  <si>
    <t>TPs - 2 - Other motor insurance</t>
  </si>
  <si>
    <t>TPs - 3 - Marine, aviation &amp; transport (MAT) insurance</t>
  </si>
  <si>
    <t>TPs - 4 - Fire &amp; other damage to property insurance</t>
  </si>
  <si>
    <t>TPs - 5 - General liability insurance</t>
  </si>
  <si>
    <t>TPs - 6 - Credit &amp; Suretyship insurance</t>
  </si>
  <si>
    <t>TPs - 7 - Legal expenses insurance</t>
  </si>
  <si>
    <t>TPs - 8 - Assistance insurance</t>
  </si>
  <si>
    <t>TPs - 9 - Miscellaneous financial loss insurance</t>
  </si>
  <si>
    <t>TPs - 10 - Medical expense insurance</t>
  </si>
  <si>
    <t>TPs - 11 - Income protection insurance</t>
  </si>
  <si>
    <t>TPs - 12 - Workers' compensation insurance</t>
  </si>
  <si>
    <t>Total Direct Technical Provisions</t>
  </si>
  <si>
    <t>RBS - Reinsured Technical Provisions</t>
  </si>
  <si>
    <t>Balance Sheet - Reinsurances</t>
  </si>
  <si>
    <t xml:space="preserve">Regulatory Basis </t>
  </si>
  <si>
    <t>TPs - 13 - Motor vehicle liability proportional reinsurance</t>
  </si>
  <si>
    <t>TPs - 14 - Other motor proportional reinsurance</t>
  </si>
  <si>
    <t>TPs - 15 - Marine, aviation &amp; transport (MAT) proportional reinsurance</t>
  </si>
  <si>
    <t>TPs - 16 - Fire &amp; other damage to property proportional reinsurance</t>
  </si>
  <si>
    <t>TPs - 17 - General liability proportional reinsurance</t>
  </si>
  <si>
    <t>TPs - 18 - Credit &amp; Suretyship proportional reinsurance</t>
  </si>
  <si>
    <t>TPs - 19 - Legal expenses proportional reinsurance</t>
  </si>
  <si>
    <t>TPs - 20 - Assistance proportional reinsurance</t>
  </si>
  <si>
    <t>TPs - 21 - Miscellaneous financial loss proportional reinsurance</t>
  </si>
  <si>
    <t>TPs - 22 - Medical expense proportional reinsurance</t>
  </si>
  <si>
    <t>TPs - 23 - Income Protection proportional reinsurance</t>
  </si>
  <si>
    <t>TPs - 24 - Workers' compensation proportional reinsurance</t>
  </si>
  <si>
    <t>TPs - 25 - Non-proportional casualty reinsurance</t>
  </si>
  <si>
    <t>TPs - 26 - Non-proportional marine, aviation &amp; transport (MAT) reinsurance</t>
  </si>
  <si>
    <t>TPs - 27 - Non-proportional property reinsurance</t>
  </si>
  <si>
    <t>TPs - 28 - Non-proportional health reinsurance</t>
  </si>
  <si>
    <t>Total Direct and Reinsurance Technical Provisions (LOB 1-28)</t>
  </si>
  <si>
    <t>TOTAL - LOB 1 to 28</t>
  </si>
  <si>
    <t>RBS - Other Liabilities</t>
  </si>
  <si>
    <t>Balance Sheet - Other Liabilities &amp; Net Assets</t>
  </si>
  <si>
    <t xml:space="preserve">Regulatory Basis       </t>
  </si>
  <si>
    <t>Other Liabilities</t>
  </si>
  <si>
    <t>Cash deposits from reinsurers</t>
  </si>
  <si>
    <t>(Re)insurance accounts payable</t>
  </si>
  <si>
    <t>Derivatives</t>
  </si>
  <si>
    <t>Provisions other than technical provisions</t>
  </si>
  <si>
    <t>Amounts owed to credit institutions</t>
  </si>
  <si>
    <t>Financial liabilities (other than owed to credit institutions)</t>
  </si>
  <si>
    <t>Payables (trade, not insurance)</t>
  </si>
  <si>
    <t>Pensions benefit obligations</t>
  </si>
  <si>
    <t>Uncalled investments</t>
  </si>
  <si>
    <t>Contingent liabilities including letters of credit and other similar charges issued to the cost of the insurer</t>
  </si>
  <si>
    <t>Any other liabilities not shown elsewhere</t>
  </si>
  <si>
    <t>Total Other Liabilities</t>
  </si>
  <si>
    <t>Total Technical Provisions</t>
  </si>
  <si>
    <t>Net Assets</t>
  </si>
  <si>
    <t>Regulatory</t>
  </si>
  <si>
    <t>basis</t>
  </si>
  <si>
    <t>RBS - Risk Margin</t>
  </si>
  <si>
    <t>Method 1: Risk Margin - Percentage of best estimate approach*</t>
  </si>
  <si>
    <t>Risk Margin ('000)</t>
  </si>
  <si>
    <t>Method 2: Risk Margin - Modified duration of best estimate approach*</t>
  </si>
  <si>
    <t>Best Estimate ('000)</t>
  </si>
  <si>
    <t>Discounted Best Estimate</t>
  </si>
  <si>
    <t>Modified duration</t>
  </si>
  <si>
    <t>Discount rate*</t>
  </si>
  <si>
    <t>Discount factor</t>
  </si>
  <si>
    <t>Run-off pattern %*</t>
  </si>
  <si>
    <t>Run-off pattern %</t>
  </si>
  <si>
    <t>Capital</t>
  </si>
  <si>
    <t>Regulatory Basis</t>
  </si>
  <si>
    <t>Capital and Reserves</t>
  </si>
  <si>
    <t>Share Capital</t>
  </si>
  <si>
    <t>Initial fund</t>
  </si>
  <si>
    <t>Share premium</t>
  </si>
  <si>
    <t>Retained earnings</t>
  </si>
  <si>
    <t>Other reserves from accounting balance sheet</t>
  </si>
  <si>
    <t>Surplus funds</t>
  </si>
  <si>
    <t>EPIFP</t>
  </si>
  <si>
    <t>Preference Shares</t>
  </si>
  <si>
    <t>Subordinated liabilities and subordinated mutual member accounts</t>
  </si>
  <si>
    <t>Other items not specified above</t>
  </si>
  <si>
    <t>Reconciliation reserve</t>
  </si>
  <si>
    <t>Adjustment to assets</t>
  </si>
  <si>
    <t>Adjustment to technical provisions</t>
  </si>
  <si>
    <t>less expected profit in future premiums (EPIFP)</t>
  </si>
  <si>
    <t>Adjustments to other liabilities</t>
  </si>
  <si>
    <t>Total Capital and Reserves</t>
  </si>
  <si>
    <t>Check balance sheet is balanced</t>
  </si>
  <si>
    <t>Own-Funds</t>
  </si>
  <si>
    <t xml:space="preserve">Basic Own Funds* </t>
  </si>
  <si>
    <t>Tier 1*</t>
  </si>
  <si>
    <t>Tier 2*</t>
  </si>
  <si>
    <t>Tier 3*</t>
  </si>
  <si>
    <t>Ordinary Share Capital (net of own shares)</t>
  </si>
  <si>
    <t>Paid up</t>
  </si>
  <si>
    <t>Called up</t>
  </si>
  <si>
    <t>Initial Fund (less item of the same type held)</t>
  </si>
  <si>
    <t>Callable</t>
  </si>
  <si>
    <t>Share Premium Account</t>
  </si>
  <si>
    <t xml:space="preserve">Retained earnings including profits from the year </t>
  </si>
  <si>
    <t>Other reserves</t>
  </si>
  <si>
    <t xml:space="preserve">Reconciliation reserve </t>
  </si>
  <si>
    <t>Adjustments to technical provisions</t>
  </si>
  <si>
    <t>less expected profit in future premiums</t>
  </si>
  <si>
    <t>Comment</t>
  </si>
  <si>
    <t>Own funds from the financial statements that should not be represented by the reconciliation reserve and do not meet the criteria to be classified as Tier 1 own funds *</t>
  </si>
  <si>
    <t>Expected profit in future premiums (EPIFP)</t>
  </si>
  <si>
    <t>Preference shares</t>
  </si>
  <si>
    <t>Dated</t>
  </si>
  <si>
    <t>Undated with a call option</t>
  </si>
  <si>
    <t>Undated with no contractual opportunity to redeem</t>
  </si>
  <si>
    <t>Subordinated liabilities</t>
  </si>
  <si>
    <t>Subordinated mutual member accounts</t>
  </si>
  <si>
    <t>Other items not specified elsewhere*</t>
  </si>
  <si>
    <t>Other items</t>
  </si>
  <si>
    <t>Total Basic Own Funds</t>
  </si>
  <si>
    <t>Adjustments to BOF</t>
  </si>
  <si>
    <t>Tier 1</t>
  </si>
  <si>
    <t>Tier 2</t>
  </si>
  <si>
    <t>Tier 3</t>
  </si>
  <si>
    <t>Deductions</t>
  </si>
  <si>
    <t>Own-funds that belong to immaterial ring-fenced funds</t>
  </si>
  <si>
    <t>Other</t>
  </si>
  <si>
    <t>Total inc. material RFF adj from RFF adjustment tab</t>
  </si>
  <si>
    <t>Change of tier</t>
  </si>
  <si>
    <t>Restricted reserves</t>
  </si>
  <si>
    <t>Other adjustments</t>
  </si>
  <si>
    <t xml:space="preserve">PCCs - notionally allocated Own-Funds* </t>
  </si>
  <si>
    <t>Own-funds notionally allocated *</t>
  </si>
  <si>
    <t>Total Adjustments</t>
  </si>
  <si>
    <t>Total Available Own Funds to meet SCR</t>
  </si>
  <si>
    <t>Eligible Own Funds</t>
  </si>
  <si>
    <t>Total Available Own Funds to meet MCR</t>
  </si>
  <si>
    <t>Total Eligible Own Funds to meet SCR</t>
  </si>
  <si>
    <t>Total Eligible Own Funds to meet MCR</t>
  </si>
  <si>
    <t>Ancillary own fund items *</t>
  </si>
  <si>
    <t>Unpaid share capital or initial fund that has not been paid up</t>
  </si>
  <si>
    <t>Letters of credit and guarantees held in trust</t>
  </si>
  <si>
    <t>Letter of credit</t>
  </si>
  <si>
    <t>Guarantees held in trust</t>
  </si>
  <si>
    <t>Other items approved by the Authority</t>
  </si>
  <si>
    <t>Total Ancillary Own Funds</t>
  </si>
  <si>
    <t>Do you have any material ring-fenced funds?</t>
  </si>
  <si>
    <t>No</t>
  </si>
  <si>
    <t xml:space="preserve">If you have one or more material ring-fenced funds, update the below for each material ring-fenced fund. To do this you will need to determine the SCR and own-funds for each ring-fenced fund separately. </t>
  </si>
  <si>
    <r>
      <t xml:space="preserve">In </t>
    </r>
    <r>
      <rPr>
        <b/>
        <sz val="12"/>
        <color rgb="FFFF0000"/>
        <rFont val="Calibri"/>
        <family val="2"/>
        <scheme val="minor"/>
      </rPr>
      <t>this</t>
    </r>
    <r>
      <rPr>
        <sz val="12"/>
        <color theme="1"/>
        <rFont val="Calibri"/>
        <family val="2"/>
        <scheme val="minor"/>
      </rPr>
      <t xml:space="preserve"> return you will</t>
    </r>
    <r>
      <rPr>
        <b/>
        <sz val="12"/>
        <color rgb="FFFF0000"/>
        <rFont val="Calibri"/>
        <family val="2"/>
        <scheme val="minor"/>
      </rPr>
      <t xml:space="preserve"> not</t>
    </r>
    <r>
      <rPr>
        <sz val="12"/>
        <color theme="1"/>
        <rFont val="Calibri"/>
        <family val="2"/>
        <scheme val="minor"/>
      </rPr>
      <t xml:space="preserve"> need to complete the following tabs: Market Risk Inputs, Spread risk, Counterparty Default risk, Premium and Reserve Risk, Lapse Risk, Catastrophe Risk, Health Premium and Reserve Risk, Geo Diversification, and Health Catastrophe.</t>
    </r>
  </si>
  <si>
    <t>The full definition of a material ring-fenced fund is in the Regulations. In summary, a ring-fenced fund is a subset of an insurer’s own-funds that has been legally assigned to cover a specific contract or a specific claim within a contract. The key is that the ring-fenced funds are ‘trapped’ and cannot ever be used by the insurer to cover losses on other contracts or claim payments i.e. these own-funds can only ever be used to meet the claims of a certain group of policyholders /beneficiaries.</t>
  </si>
  <si>
    <t>Solvency Capital Requirement</t>
  </si>
  <si>
    <t>RFF1</t>
  </si>
  <si>
    <t>RFF2</t>
  </si>
  <si>
    <t>RFF3</t>
  </si>
  <si>
    <t>RFF4</t>
  </si>
  <si>
    <t>RFF5</t>
  </si>
  <si>
    <t>RFF6</t>
  </si>
  <si>
    <t>RFF7</t>
  </si>
  <si>
    <t>RFF8</t>
  </si>
  <si>
    <t>RFF9</t>
  </si>
  <si>
    <t>RFF10</t>
  </si>
  <si>
    <t>RFF11</t>
  </si>
  <si>
    <t>Not ring-fenced</t>
  </si>
  <si>
    <t>Total SCR</t>
  </si>
  <si>
    <t>With no RFF constraint</t>
  </si>
  <si>
    <t>Total SCR allowing for RFFs</t>
  </si>
  <si>
    <t>Market Risk SCR</t>
  </si>
  <si>
    <t>Counterparty Default Risk SCR</t>
  </si>
  <si>
    <t>NSLT Health Risk SCR</t>
  </si>
  <si>
    <t>Underwriting Risk SCR</t>
  </si>
  <si>
    <t>Intangibles Risk SCR</t>
  </si>
  <si>
    <r>
      <rPr>
        <i/>
        <sz val="12"/>
        <color theme="1"/>
        <rFont val="Calibri"/>
        <family val="2"/>
        <scheme val="minor"/>
      </rPr>
      <t>BSCR</t>
    </r>
    <r>
      <rPr>
        <sz val="12"/>
        <color theme="1"/>
        <rFont val="Calibri"/>
        <family val="2"/>
        <scheme val="minor"/>
      </rPr>
      <t xml:space="preserve"> (before diversification effects)</t>
    </r>
  </si>
  <si>
    <t>Diversification</t>
  </si>
  <si>
    <t>BSCR</t>
  </si>
  <si>
    <t>Operational Risk SCR</t>
  </si>
  <si>
    <t>Regulatory Adjustment</t>
  </si>
  <si>
    <t>SCR</t>
  </si>
  <si>
    <t>Total Own Funds</t>
  </si>
  <si>
    <t>Total Own Funds allowing for RFFs</t>
  </si>
  <si>
    <t xml:space="preserve">Tier 2 </t>
  </si>
  <si>
    <t xml:space="preserve">Tier 3 </t>
  </si>
  <si>
    <t>Solvency Coverage Ratio</t>
  </si>
  <si>
    <t>Own funds in excess of SCR</t>
  </si>
  <si>
    <t>Interest Rate Risk</t>
  </si>
  <si>
    <t>Assets</t>
  </si>
  <si>
    <t>Liabilities</t>
  </si>
  <si>
    <t xml:space="preserve">Base </t>
  </si>
  <si>
    <t>Shock</t>
  </si>
  <si>
    <t>Upward Stress</t>
  </si>
  <si>
    <t>Downward Stress</t>
  </si>
  <si>
    <t xml:space="preserve">Currency Risk </t>
  </si>
  <si>
    <t>All assets denominated in a currency other than the reporting currency</t>
  </si>
  <si>
    <t>All liabilities denominated in a currency other than the reporting currency</t>
  </si>
  <si>
    <t>Factor</t>
  </si>
  <si>
    <t>SCR before risk mitigation</t>
  </si>
  <si>
    <t>Risk Mitigation Impact*</t>
  </si>
  <si>
    <t>Figures must be entered in reporting currency</t>
  </si>
  <si>
    <t>Currency Risk SCR</t>
  </si>
  <si>
    <t>Concentration Risk</t>
  </si>
  <si>
    <t>Concentration Risk SCR</t>
  </si>
  <si>
    <t>This tab must be completed if you have any investments in government bonds, other credit risky assets, bank deposits that are not cash or loans made to unrelated entities</t>
  </si>
  <si>
    <t>Credit risky assets with credit ratings</t>
  </si>
  <si>
    <t>Credit Quality Step</t>
  </si>
  <si>
    <t>% Market Value by credit quality step of total credit risky assets in cell E36 *</t>
  </si>
  <si>
    <t>Average duration (years) (must be ≥1)</t>
  </si>
  <si>
    <t>Total Rated</t>
  </si>
  <si>
    <t xml:space="preserve">Credit risky assets without credit ratings </t>
  </si>
  <si>
    <t>% Market Value of total credit risky assets in cell E36*</t>
  </si>
  <si>
    <t>Unrated</t>
  </si>
  <si>
    <t>Credit risky assets</t>
  </si>
  <si>
    <t>Market Value before stress</t>
  </si>
  <si>
    <t>Market Value after stress</t>
  </si>
  <si>
    <t xml:space="preserve"> Change in Market Value</t>
  </si>
  <si>
    <t>Gilts</t>
  </si>
  <si>
    <t xml:space="preserve">Rated credit risky assets </t>
  </si>
  <si>
    <t>Unrated credit risky assets</t>
  </si>
  <si>
    <t>Total market value</t>
  </si>
  <si>
    <t>Capital Requirement (before diversification effects)</t>
  </si>
  <si>
    <t>Type 1 SCR</t>
  </si>
  <si>
    <t>Type 2 SCR</t>
  </si>
  <si>
    <t>Existing contract = a contract in force at the valuation date.</t>
  </si>
  <si>
    <t>Planned contract = a contract whose initial recognition date falls in the 12 months after the valuation date. Initial recognition date (IRD) is the earlier of the date the insurer either expects to become (or becomes party to) the contract or the date the insurance cover begins.</t>
  </si>
  <si>
    <t xml:space="preserve">Volume Measure                                     </t>
  </si>
  <si>
    <t>Earned premium (previous 12 months)*</t>
  </si>
  <si>
    <t>EPV of premium to be earned on existing contracts (not already included in column G) *</t>
  </si>
  <si>
    <t xml:space="preserve">    Premium Volume Measure</t>
  </si>
  <si>
    <t>Reserve Volume Measure</t>
  </si>
  <si>
    <t>Space for errors below</t>
  </si>
  <si>
    <t>Geographical Diversification Adjustment</t>
  </si>
  <si>
    <t>Combined Volume Measure</t>
  </si>
  <si>
    <t xml:space="preserve"> 1  - Motor Vehicle Liability &amp; 13 Prop. Reins.</t>
  </si>
  <si>
    <t xml:space="preserve"> 2  - Other Motor &amp; 14 Prop. Reins.</t>
  </si>
  <si>
    <t xml:space="preserve"> 3  - Marine, Aviation &amp; Transport (MAT) &amp; 15 Prop. Reins.</t>
  </si>
  <si>
    <t xml:space="preserve"> 4  - Fire &amp; Other Damage to Property &amp; 16 Prop. Reins.</t>
  </si>
  <si>
    <t xml:space="preserve"> 5  - General Liability &amp; 17 Prop. Reins.</t>
  </si>
  <si>
    <t xml:space="preserve"> 6  - Credit &amp; Suretyship &amp; 18 Prop. Reins.</t>
  </si>
  <si>
    <t xml:space="preserve"> 7  - Legal Expenses &amp; 19 Prop. Reins.</t>
  </si>
  <si>
    <t xml:space="preserve"> 8  - Assistance &amp; 20 Prop. Reins.</t>
  </si>
  <si>
    <t xml:space="preserve"> 9  - Miscellaneous Financial Loss &amp; 21 Prop. Reins.</t>
  </si>
  <si>
    <t>25 - Non-prop. reinsurance - Casualty</t>
  </si>
  <si>
    <t>26 - Non-prop. reinsurance - MAT</t>
  </si>
  <si>
    <t>27 - Non-prop. reinsurance - Property</t>
  </si>
  <si>
    <t>Aggregate caps ONLY USE IF THERE ARE CAPS WITHIN THE CONTRACT OR ELSE LEAVE BLANK</t>
  </si>
  <si>
    <t>Premium Standard Deviation</t>
  </si>
  <si>
    <t>Reserve Standard Deviation</t>
  </si>
  <si>
    <t>Contract identifier *</t>
  </si>
  <si>
    <t>Aggregate Cap*</t>
  </si>
  <si>
    <t>Error</t>
  </si>
  <si>
    <t>Claims reserve *</t>
  </si>
  <si>
    <t>Maximum residual exposure *</t>
  </si>
  <si>
    <t>If no data is inputted here for a line of business, no benefit from geographical diversification will be applied.</t>
  </si>
  <si>
    <t>Premium Volume Measure*</t>
  </si>
  <si>
    <t xml:space="preserve">          1         *</t>
  </si>
  <si>
    <t xml:space="preserve">          2         *</t>
  </si>
  <si>
    <t xml:space="preserve">          3         *</t>
  </si>
  <si>
    <t xml:space="preserve">          4         *</t>
  </si>
  <si>
    <t xml:space="preserve">          5         *</t>
  </si>
  <si>
    <t xml:space="preserve">          6         *</t>
  </si>
  <si>
    <t xml:space="preserve">          7         *</t>
  </si>
  <si>
    <t xml:space="preserve">          8         *</t>
  </si>
  <si>
    <t xml:space="preserve">          9         *</t>
  </si>
  <si>
    <t xml:space="preserve">         10        *</t>
  </si>
  <si>
    <t xml:space="preserve">         11        *</t>
  </si>
  <si>
    <t xml:space="preserve">         12        *</t>
  </si>
  <si>
    <t xml:space="preserve">         13        *</t>
  </si>
  <si>
    <t xml:space="preserve">         14        *</t>
  </si>
  <si>
    <t xml:space="preserve">         15        *</t>
  </si>
  <si>
    <t xml:space="preserve">         16        *</t>
  </si>
  <si>
    <t xml:space="preserve">         17        *</t>
  </si>
  <si>
    <t xml:space="preserve">         18        *</t>
  </si>
  <si>
    <t xml:space="preserve">         19        *</t>
  </si>
  <si>
    <t>LOB 1, 13</t>
  </si>
  <si>
    <t>LOB 2, 14</t>
  </si>
  <si>
    <t>LOB 3, 15</t>
  </si>
  <si>
    <t>LOB 4, 16</t>
  </si>
  <si>
    <t>LOB 5, 17</t>
  </si>
  <si>
    <t>LOB 6, 18</t>
  </si>
  <si>
    <t>LOB 7, 19</t>
  </si>
  <si>
    <t>LOB 8, 20</t>
  </si>
  <si>
    <t>LOB 9, 21</t>
  </si>
  <si>
    <t>LOB 25</t>
  </si>
  <si>
    <t>LOB 26</t>
  </si>
  <si>
    <t>LOB 27</t>
  </si>
  <si>
    <t>Reserve Volume Measure*</t>
  </si>
  <si>
    <t>Geographical Diversification Benefit</t>
  </si>
  <si>
    <t xml:space="preserve">Lapse risk is the risk of an adverse impact on an insurer's own-funds should a policy lapse.  This may be the case if the insurer has to return any profit element to the insured that it has already anticipated in its own-funds (i.e. anticipated profits related to unearned exposures), or if there is a considerable administrative expense associated with the lapse that is absorbed by the insurer. </t>
  </si>
  <si>
    <t>Is Health Lapse risk applicable?</t>
  </si>
  <si>
    <t>Profitable Grouping  *</t>
  </si>
  <si>
    <t>Line of Business</t>
  </si>
  <si>
    <t>Pipeline Premiums  *</t>
  </si>
  <si>
    <t>Ultimate Loss Ratio  *</t>
  </si>
  <si>
    <t>Claims Expense Ratio  *</t>
  </si>
  <si>
    <t>Lapse Risk SCR</t>
  </si>
  <si>
    <t>%</t>
  </si>
  <si>
    <t>Total Lapse Risk SCR</t>
  </si>
  <si>
    <t>Health Premium &amp; Reserve Risk</t>
  </si>
  <si>
    <t xml:space="preserve">Volume Measure                                </t>
  </si>
  <si>
    <t xml:space="preserve"> 10  - Medical expense &amp; 22 Prop. Reins.</t>
  </si>
  <si>
    <t xml:space="preserve"> 11  - Income Protection &amp; 23 Prop. Reins.</t>
  </si>
  <si>
    <t xml:space="preserve"> 12  - Workers' compensation &amp; 24 Prop. Reins.</t>
  </si>
  <si>
    <t xml:space="preserve"> 28 - Non-prop. reinsurance - Health</t>
  </si>
  <si>
    <t>Aggregate caps</t>
  </si>
  <si>
    <t>Contract identifier</t>
  </si>
  <si>
    <t>Health Geo Diversification Risk</t>
  </si>
  <si>
    <t>Premium Volume Measure *</t>
  </si>
  <si>
    <t>LOB 10, 22</t>
  </si>
  <si>
    <t>LOB 11, 23</t>
  </si>
  <si>
    <t>LOB 12, 24</t>
  </si>
  <si>
    <t>LOB 28</t>
  </si>
  <si>
    <t>Reserve Volume Measure *</t>
  </si>
  <si>
    <t xml:space="preserve">Health lapse risk is the risk of an adverse impact on an insurer's own-funds should a policy lapse.  This may be the case if the insurer has to return any profit element to the insured that it has already anticipated in its own-funds (i.e. anticipated profits related to unearned exposures), or if there is a considerable administrative expense associated with the lapse that is absorbed by the insurer. </t>
  </si>
  <si>
    <t>1 in 10 year Shock</t>
  </si>
  <si>
    <t>Interest Rate Risk SCR</t>
  </si>
  <si>
    <t>Equity Risk SCR</t>
  </si>
  <si>
    <t>Property Risk SCR</t>
  </si>
  <si>
    <t>Spread Risk SCR</t>
  </si>
  <si>
    <t>Market Concentration Risk SCR</t>
  </si>
  <si>
    <t>SCR before diversification</t>
  </si>
  <si>
    <t>Interest rate risk upward stress</t>
  </si>
  <si>
    <t>Interest rate risk downward stress</t>
  </si>
  <si>
    <t>Equity Risk</t>
  </si>
  <si>
    <t>Capital Factor</t>
  </si>
  <si>
    <t>Type 1 equity stress</t>
  </si>
  <si>
    <t>Type 2 equity stress</t>
  </si>
  <si>
    <t>Property Risk</t>
  </si>
  <si>
    <r>
      <t>Market</t>
    </r>
    <r>
      <rPr>
        <i/>
        <vertAlign val="subscript"/>
        <sz val="12"/>
        <color theme="1"/>
        <rFont val="Calibri"/>
        <family val="2"/>
        <scheme val="minor"/>
      </rPr>
      <t>property</t>
    </r>
  </si>
  <si>
    <t>Currency Risk</t>
  </si>
  <si>
    <t>Non-Life Underwriting Risk</t>
  </si>
  <si>
    <t>Premium and Reserve Risk SCR</t>
  </si>
  <si>
    <t>Capital Requirement (before diversification benefit)</t>
  </si>
  <si>
    <t>Diversification benefit</t>
  </si>
  <si>
    <t>Underwriting Risk SCR before stop loss</t>
  </si>
  <si>
    <t xml:space="preserve">Cap on non-life underwriting risk SCR due to stop loss </t>
  </si>
  <si>
    <t xml:space="preserve">Underwriting Risk SCR </t>
  </si>
  <si>
    <t>Combined Standard Deviation</t>
  </si>
  <si>
    <t>Lapse risk SCR</t>
  </si>
  <si>
    <t>Non-Life Catastrophe Risk</t>
  </si>
  <si>
    <r>
      <rPr>
        <i/>
        <u/>
        <sz val="12"/>
        <color rgb="FF0000FF"/>
        <rFont val="Calibri"/>
        <family val="2"/>
        <scheme val="minor"/>
      </rPr>
      <t>NLCAT</t>
    </r>
    <r>
      <rPr>
        <i/>
        <vertAlign val="subscript"/>
        <sz val="12"/>
        <color rgb="FF0000FF"/>
        <rFont val="Calibri"/>
        <family val="2"/>
        <scheme val="minor"/>
      </rPr>
      <t>natural</t>
    </r>
  </si>
  <si>
    <r>
      <rPr>
        <i/>
        <u/>
        <sz val="12"/>
        <color rgb="FF0000FF"/>
        <rFont val="Calibri"/>
        <family val="2"/>
        <scheme val="minor"/>
      </rPr>
      <t>NLCAT</t>
    </r>
    <r>
      <rPr>
        <i/>
        <vertAlign val="subscript"/>
        <sz val="12"/>
        <color rgb="FF0000FF"/>
        <rFont val="Calibri"/>
        <family val="2"/>
        <scheme val="minor"/>
      </rPr>
      <t>npproperty</t>
    </r>
  </si>
  <si>
    <r>
      <rPr>
        <i/>
        <u/>
        <sz val="12"/>
        <color rgb="FF0000FF"/>
        <rFont val="Calibri"/>
        <family val="2"/>
        <scheme val="minor"/>
      </rPr>
      <t>NLCAT</t>
    </r>
    <r>
      <rPr>
        <i/>
        <vertAlign val="subscript"/>
        <sz val="12"/>
        <color rgb="FF0000FF"/>
        <rFont val="Calibri"/>
        <family val="2"/>
        <scheme val="minor"/>
      </rPr>
      <t>manmade</t>
    </r>
  </si>
  <si>
    <r>
      <rPr>
        <i/>
        <u/>
        <sz val="12"/>
        <color rgb="FF0000FF"/>
        <rFont val="Calibri"/>
        <family val="2"/>
        <scheme val="minor"/>
      </rPr>
      <t>NLCAT</t>
    </r>
    <r>
      <rPr>
        <i/>
        <vertAlign val="subscript"/>
        <sz val="12"/>
        <color rgb="FF0000FF"/>
        <rFont val="Calibri"/>
        <family val="2"/>
        <scheme val="minor"/>
      </rPr>
      <t>other</t>
    </r>
  </si>
  <si>
    <r>
      <t>NL</t>
    </r>
    <r>
      <rPr>
        <i/>
        <vertAlign val="subscript"/>
        <sz val="12"/>
        <color theme="1"/>
        <rFont val="Calibri"/>
        <family val="2"/>
        <scheme val="minor"/>
      </rPr>
      <t>CAT</t>
    </r>
  </si>
  <si>
    <t xml:space="preserve">Standard Deviation                     </t>
  </si>
  <si>
    <t>Premium Risk Standard Deviation Factor</t>
  </si>
  <si>
    <t>Reserve Risk Standard Deviation Factor</t>
  </si>
  <si>
    <t xml:space="preserve"> 1  - Motor Vehicle Liability &amp; Prop. Reins.</t>
  </si>
  <si>
    <t xml:space="preserve"> 2  - Other Motor &amp; Prop. Reins.</t>
  </si>
  <si>
    <t xml:space="preserve"> 3  - Marine, Aviation &amp; Transport (MAT) &amp; Prop. Reins.</t>
  </si>
  <si>
    <t xml:space="preserve"> 4  - Fire &amp; Other Damage to Property &amp; Prop. Reins.</t>
  </si>
  <si>
    <t xml:space="preserve"> 5  - General Liability &amp; Prop. Reins.</t>
  </si>
  <si>
    <t xml:space="preserve"> 6  - Credit &amp; Suretyship &amp; Prop. Reins.</t>
  </si>
  <si>
    <t xml:space="preserve"> 7  - Legal Expenses &amp; Prop. Reins.</t>
  </si>
  <si>
    <t xml:space="preserve"> 8  - Assistance &amp; Prop. Reins.</t>
  </si>
  <si>
    <t xml:space="preserve"> 9  - Miscellaneous Financial Loss &amp; Prop. Reins.</t>
  </si>
  <si>
    <t xml:space="preserve">Standard Deviation after aggregates                                          </t>
  </si>
  <si>
    <t>Premium Risk Standard Deviation Factor adjusted for aggregate cap</t>
  </si>
  <si>
    <t xml:space="preserve">        Combined Standard Deviation</t>
  </si>
  <si>
    <t>Overall</t>
  </si>
  <si>
    <t>Combined Volume Measure x Combined Standard Deviation</t>
  </si>
  <si>
    <t>Result</t>
  </si>
  <si>
    <t>Total combined volume measure</t>
  </si>
  <si>
    <t>Total combined standard deviation</t>
  </si>
  <si>
    <t>NSLT Health Underwriting Risk</t>
  </si>
  <si>
    <t>Health Premium and Reserve Risk SCR</t>
  </si>
  <si>
    <t>Health Lapse Risk SCR</t>
  </si>
  <si>
    <t>NSLT Health Risk SCR before stop loss</t>
  </si>
  <si>
    <t xml:space="preserve">Cap on NSLT health underwriting risk SCR due to stop loss </t>
  </si>
  <si>
    <t xml:space="preserve">NSLT Health Risk SCR </t>
  </si>
  <si>
    <t>NSLT Health Lapse Risk</t>
  </si>
  <si>
    <t>Non-Life Health Catastrophe Risk</t>
  </si>
  <si>
    <t>Health Mass Accident Catastrophe Risk SCR</t>
  </si>
  <si>
    <t>Health Accident Concentration Risk SCR</t>
  </si>
  <si>
    <t>Health Pandemic Risk SCR</t>
  </si>
  <si>
    <t>Health Catastrophe Risk SCR</t>
  </si>
  <si>
    <t xml:space="preserve">Standard Deviation           </t>
  </si>
  <si>
    <t xml:space="preserve"> 10  - Medical expense &amp; Prop. Reins.</t>
  </si>
  <si>
    <t xml:space="preserve"> 11  - Income Protection &amp; Prop. Reins.</t>
  </si>
  <si>
    <t xml:space="preserve"> 12  - Workers' compensation &amp; Prop. Reins.</t>
  </si>
  <si>
    <t xml:space="preserve">Standard Deviation after aggregates </t>
  </si>
  <si>
    <t>Confidence level</t>
  </si>
  <si>
    <t>1in10</t>
  </si>
  <si>
    <t>Intangible Risk SCR</t>
  </si>
  <si>
    <r>
      <t>SCR</t>
    </r>
    <r>
      <rPr>
        <i/>
        <vertAlign val="subscript"/>
        <sz val="12"/>
        <color theme="1"/>
        <rFont val="Calibri"/>
        <family val="2"/>
        <scheme val="minor"/>
      </rPr>
      <t>op</t>
    </r>
  </si>
  <si>
    <t>Tier 1 Regulatory Adjustment</t>
  </si>
  <si>
    <t>Tier 2 Regulatory Adjustment</t>
  </si>
  <si>
    <t>Tier 3 Regulatory Adjustment</t>
  </si>
  <si>
    <t>SCR Coverage Ratio</t>
  </si>
  <si>
    <t>Minimum Capital Requirement</t>
  </si>
  <si>
    <t>Exchange rate</t>
  </si>
  <si>
    <t>*</t>
  </si>
  <si>
    <t>Reduced MCR agreed with Authority?</t>
  </si>
  <si>
    <t>If a PCC is it a Cell or the Core?</t>
  </si>
  <si>
    <t>not PCC</t>
  </si>
  <si>
    <t>MCR before minimum applied</t>
  </si>
  <si>
    <t>Minimum MCR*</t>
  </si>
  <si>
    <t>MCR after minimum applied</t>
  </si>
  <si>
    <t>MCR</t>
  </si>
  <si>
    <t>Tier 1 Capital</t>
  </si>
  <si>
    <t>Tier 2 Capital</t>
  </si>
  <si>
    <t>Tier 3 Capital</t>
  </si>
  <si>
    <t>Total Own Funds to meet MCR</t>
  </si>
  <si>
    <t>MCR coverage ratio</t>
  </si>
  <si>
    <t>Movement in Regulatory Balance Sheet</t>
  </si>
  <si>
    <t>Current Period</t>
  </si>
  <si>
    <t>Previous Period*</t>
  </si>
  <si>
    <t>Change</t>
  </si>
  <si>
    <t>Commentary</t>
  </si>
  <si>
    <t>Fixed assets</t>
  </si>
  <si>
    <t>Reinsurance recoverables</t>
  </si>
  <si>
    <t>Other assets</t>
  </si>
  <si>
    <t>Total assets</t>
  </si>
  <si>
    <t xml:space="preserve">Best estimate </t>
  </si>
  <si>
    <t xml:space="preserve">Risk margin </t>
  </si>
  <si>
    <t>Other liabilities</t>
  </si>
  <si>
    <t>Total liabilities</t>
  </si>
  <si>
    <t>Change in Own Funds*</t>
  </si>
  <si>
    <t xml:space="preserve">Expected profit in future premiums ('EPIFP') </t>
  </si>
  <si>
    <t>Change in SCR*</t>
  </si>
  <si>
    <r>
      <t>SCR</t>
    </r>
    <r>
      <rPr>
        <i/>
        <vertAlign val="subscript"/>
        <sz val="12"/>
        <color theme="1"/>
        <rFont val="Calibri"/>
        <family val="2"/>
        <scheme val="minor"/>
      </rPr>
      <t>operational risk</t>
    </r>
  </si>
  <si>
    <t>Solvency coverage</t>
  </si>
  <si>
    <t>Change in MCR*</t>
  </si>
  <si>
    <t>Own funds eligible to meet MCR</t>
  </si>
  <si>
    <t>MCR coverage</t>
  </si>
  <si>
    <t>Tab requiring completion based on return type chosen:</t>
  </si>
  <si>
    <t>Unearned premium reserves (UPR)</t>
  </si>
  <si>
    <t>Outstanding claims reserves (OCR)</t>
  </si>
  <si>
    <t>Incurred but not reported reserve (IBNR)</t>
  </si>
  <si>
    <t>Incurred but not enough reported reserve (IBNER)</t>
  </si>
  <si>
    <t>Unexpired risk reserve (URR) [if not included in UPR]</t>
  </si>
  <si>
    <t>Any other technical provision (specify)</t>
  </si>
  <si>
    <t>Other prov'n specifics</t>
  </si>
  <si>
    <t xml:space="preserve">Total gross insurance provisions </t>
  </si>
  <si>
    <t>Total amounts recoverable from reinsurers</t>
  </si>
  <si>
    <t>Total net technical provisions contained in balance sheet</t>
  </si>
  <si>
    <t>Gross premiums written</t>
  </si>
  <si>
    <t>Outward reinsurance premiums ceded</t>
  </si>
  <si>
    <t>Movement UPR</t>
  </si>
  <si>
    <t>Movement in URR</t>
  </si>
  <si>
    <t>Movement in OCR, IBNR and IBNER</t>
  </si>
  <si>
    <t>Gross claims paid</t>
  </si>
  <si>
    <t>Reinsurance recovered</t>
  </si>
  <si>
    <t>Foreign exchange movements</t>
  </si>
  <si>
    <t>Investment income</t>
  </si>
  <si>
    <t>Any other item not attributable to any of the above (specify)</t>
  </si>
  <si>
    <t>Other item specifics</t>
  </si>
  <si>
    <t>Profit/Loss for the reporting period</t>
  </si>
  <si>
    <t>Instructions</t>
  </si>
  <si>
    <t>Insurance Technical Provisions</t>
  </si>
  <si>
    <t>Enter Text</t>
  </si>
  <si>
    <t>Profit and Loss Statement</t>
  </si>
  <si>
    <t>Number</t>
  </si>
  <si>
    <t>Number of policyholders at the reporting date</t>
  </si>
  <si>
    <t>Number of staff (including directors and officers) at the reporting date</t>
  </si>
  <si>
    <t xml:space="preserve">Supporting Material </t>
  </si>
  <si>
    <t>Supplied?</t>
  </si>
  <si>
    <t>Narrative summary reporting period</t>
  </si>
  <si>
    <t>Yes</t>
  </si>
  <si>
    <t>Narrative summary forecast period</t>
  </si>
  <si>
    <t xml:space="preserve">Supporting schematic diagram reporting period </t>
  </si>
  <si>
    <t xml:space="preserve">Supporting schematic diagram forecast period </t>
  </si>
  <si>
    <t>Key explaining terms and abbreviations used in the above</t>
  </si>
  <si>
    <t>Comments</t>
  </si>
  <si>
    <t>TABLE 1: Business written during the accounting period of the accompanying audited accounts</t>
  </si>
  <si>
    <t>A</t>
  </si>
  <si>
    <t>B</t>
  </si>
  <si>
    <t>C</t>
  </si>
  <si>
    <t>D</t>
  </si>
  <si>
    <t>E</t>
  </si>
  <si>
    <t>F</t>
  </si>
  <si>
    <t>Basis used in column B</t>
  </si>
  <si>
    <t>Maximum gross exposure any one risk or event</t>
  </si>
  <si>
    <t xml:space="preserve">Reinsurance recoverables attributable to exposure in column B </t>
  </si>
  <si>
    <t>Net retention on exposure in column B</t>
  </si>
  <si>
    <t>Basis used in column F</t>
  </si>
  <si>
    <t>If greater than in column D, maximum retention any one risk or event</t>
  </si>
  <si>
    <t>Line of business</t>
  </si>
  <si>
    <t>Dropdown</t>
  </si>
  <si>
    <t>LOB 1 &amp; 13</t>
  </si>
  <si>
    <t>Select</t>
  </si>
  <si>
    <t>LOB 2 &amp; 14</t>
  </si>
  <si>
    <t>LOB 3 &amp; 15</t>
  </si>
  <si>
    <t>LOB 4 &amp; 16</t>
  </si>
  <si>
    <t>LOB 5 &amp; 17</t>
  </si>
  <si>
    <t>LOB 6 &amp;18</t>
  </si>
  <si>
    <t>LOB 7 &amp; 19</t>
  </si>
  <si>
    <t>LOB 8 &amp; 20</t>
  </si>
  <si>
    <t>LOB 9 &amp; 21</t>
  </si>
  <si>
    <t>LOB 10 &amp; 22</t>
  </si>
  <si>
    <t>LOB 11 &amp; 23</t>
  </si>
  <si>
    <t>LOB 12 &amp; 24</t>
  </si>
  <si>
    <t>TABLE 2: Business written/forecast during the following 12 month period</t>
  </si>
  <si>
    <t xml:space="preserve">Business written/forecast during the 12 month period immediately following the end of the accounting period of the accompanying audited accounts </t>
  </si>
  <si>
    <t>G</t>
  </si>
  <si>
    <t>H</t>
  </si>
  <si>
    <t>I</t>
  </si>
  <si>
    <t>J</t>
  </si>
  <si>
    <t>K</t>
  </si>
  <si>
    <t>L</t>
  </si>
  <si>
    <t>Total gross premiums receivable attributable by line of business</t>
  </si>
  <si>
    <t>Total reinsurance premiums payable attributable by line of business</t>
  </si>
  <si>
    <t>Total commissions receivable attributable by line of business</t>
  </si>
  <si>
    <t>Total commissions payable attributable by line of business</t>
  </si>
  <si>
    <t>Total net premiums receivable attributable by line of business (also net of commissions)</t>
  </si>
  <si>
    <t>Total estimated gross maximum losses attributable by line of business</t>
  </si>
  <si>
    <t>Total reinsurance recoverables attributable to the losses in column F</t>
  </si>
  <si>
    <t>Total estimated net maximum losses attributable by line of business</t>
  </si>
  <si>
    <t>Total gross expected ultimate cost of claims attributable by line of business</t>
  </si>
  <si>
    <t>Reinsurance recoverables attributable by line of business</t>
  </si>
  <si>
    <t xml:space="preserve">Total net expected ultimate cost of claims attributable by line of business </t>
  </si>
  <si>
    <t>Expected claims ratio</t>
  </si>
  <si>
    <t>Cannot be attributed by line of business</t>
  </si>
  <si>
    <t>Total net premiums receivable</t>
  </si>
  <si>
    <t>Total estimated net maximum losses</t>
  </si>
  <si>
    <t>Total net expected ultimate cost of claims</t>
  </si>
  <si>
    <t>Expected underwriting surplus/(deficit)</t>
  </si>
  <si>
    <t>Expected overall loss ratio (including business not attributable by line of business)</t>
  </si>
  <si>
    <t xml:space="preserve">New risk gap (based on net maximum losses) being taken on over the forecast period </t>
  </si>
  <si>
    <t>Enter details of any material new funding (in addition to the premiums above), distinguishing between paid up and contingent amounts (as applicable)</t>
  </si>
  <si>
    <t xml:space="preserve">Enter details of any likely material removal/expiry of any existing funding, distinguishing between paid up and contingent amounts (as applicable) </t>
  </si>
  <si>
    <t>Enter details of any likely dividends or distributions</t>
  </si>
  <si>
    <t>Do you have large claims to report?</t>
  </si>
  <si>
    <t xml:space="preserve">Details of the development and settlement of any large net claim (or number of claims from the same event which are collectively of a net amount) which exceeds 20% of net assets  </t>
  </si>
  <si>
    <t>Claim</t>
  </si>
  <si>
    <t>Class(es) of business</t>
  </si>
  <si>
    <t>Underwriting year/accident year</t>
  </si>
  <si>
    <t xml:space="preserve">Details (if any) of development and/or settlement during the reporting period </t>
  </si>
  <si>
    <t>YYYY</t>
  </si>
  <si>
    <t>Do you have security supporting obliations?</t>
  </si>
  <si>
    <t>TABLE 1: Letters of credit and letters of guarantee in respect of insurance obligations.</t>
  </si>
  <si>
    <t>M</t>
  </si>
  <si>
    <t>Type of security</t>
  </si>
  <si>
    <t>Beneficiary</t>
  </si>
  <si>
    <t>Issued by</t>
  </si>
  <si>
    <t>To cost of</t>
  </si>
  <si>
    <t>Amount of credit or guarantee</t>
  </si>
  <si>
    <t>Purpose</t>
  </si>
  <si>
    <t>Unilaterally adjustable?</t>
  </si>
  <si>
    <t>Terms of notice</t>
  </si>
  <si>
    <t>Date of issue [dd/mm/yyyyy]</t>
  </si>
  <si>
    <t>Expiry date [dd/mm/yyyyy]  or expiry terms</t>
  </si>
  <si>
    <t>Restrictions on drawing rights</t>
  </si>
  <si>
    <t>Other material terms and conditions</t>
  </si>
  <si>
    <t xml:space="preserve">Collateral provided to the issuer </t>
  </si>
  <si>
    <t>Other comments (if any)</t>
  </si>
  <si>
    <t>TABLE 2: Other security in respect of insurance obligations</t>
  </si>
  <si>
    <t>Type of security (Specify)</t>
  </si>
  <si>
    <t>Description of material features</t>
  </si>
  <si>
    <t>TABLE 3: Letter of credit, guarantees and other security provided for other purposes than to guarantee insurance obligations.</t>
  </si>
  <si>
    <t>Class 12 Information</t>
  </si>
  <si>
    <t>The following information is required to be provided in respect of a class 12 insurer</t>
  </si>
  <si>
    <t>Confirm compliance with requirement to keep a log in relation to informed consent</t>
  </si>
  <si>
    <t>Comments:</t>
  </si>
  <si>
    <t>Percentage of business by way of informed consent</t>
  </si>
  <si>
    <t>Confirm compliance with requirement to keep a log in relation to de minimis</t>
  </si>
  <si>
    <t>Percentage of business by way of de minimis rule</t>
  </si>
  <si>
    <t>Currency</t>
  </si>
  <si>
    <t>Currency Code</t>
  </si>
  <si>
    <t>United Kingdom Pound</t>
  </si>
  <si>
    <t>United States Dollar</t>
  </si>
  <si>
    <t>USD</t>
  </si>
  <si>
    <t>Euro</t>
  </si>
  <si>
    <t>EUR</t>
  </si>
  <si>
    <t>Sweden Krona</t>
  </si>
  <si>
    <t>SEK</t>
  </si>
  <si>
    <t>Afghanistan Afghani</t>
  </si>
  <si>
    <t>AFN</t>
  </si>
  <si>
    <t>Albania Lek</t>
  </si>
  <si>
    <t>ALL</t>
  </si>
  <si>
    <t>Algeria Dinar</t>
  </si>
  <si>
    <t>DZD</t>
  </si>
  <si>
    <t>Argentina Peso</t>
  </si>
  <si>
    <t>ARS</t>
  </si>
  <si>
    <t>Australia Dollar</t>
  </si>
  <si>
    <t>AUD</t>
  </si>
  <si>
    <t>Bahamas Dollar</t>
  </si>
  <si>
    <t>BSD</t>
  </si>
  <si>
    <t>Bahrain Dinar</t>
  </si>
  <si>
    <t>BHD</t>
  </si>
  <si>
    <t>Bangladesh Taka</t>
  </si>
  <si>
    <t>BDT</t>
  </si>
  <si>
    <t>Barbados Dollar</t>
  </si>
  <si>
    <t>BBD</t>
  </si>
  <si>
    <t>Bermuda Dollar</t>
  </si>
  <si>
    <t>BMD</t>
  </si>
  <si>
    <t>Brazil Real</t>
  </si>
  <si>
    <t>BRL</t>
  </si>
  <si>
    <t>Bulgaria Lev</t>
  </si>
  <si>
    <t>BGN</t>
  </si>
  <si>
    <t>Canada Dollar</t>
  </si>
  <si>
    <t>CAD</t>
  </si>
  <si>
    <t>Chile Peso</t>
  </si>
  <si>
    <t>CLP</t>
  </si>
  <si>
    <t>China Yuan Renminbi</t>
  </si>
  <si>
    <t>CNY</t>
  </si>
  <si>
    <t>Colombia Peso</t>
  </si>
  <si>
    <t>COP</t>
  </si>
  <si>
    <t>Costa Rica Colon</t>
  </si>
  <si>
    <t>CRC</t>
  </si>
  <si>
    <t>Croatia Kuna</t>
  </si>
  <si>
    <t>HRK</t>
  </si>
  <si>
    <t>Czech Republic Koruna</t>
  </si>
  <si>
    <t>CZK</t>
  </si>
  <si>
    <t>Denmark Krone</t>
  </si>
  <si>
    <t>DKK</t>
  </si>
  <si>
    <t>Dominican Republic Peso</t>
  </si>
  <si>
    <t>DOP</t>
  </si>
  <si>
    <t>Egypt Pound</t>
  </si>
  <si>
    <t>EGP</t>
  </si>
  <si>
    <t>Fiji Dollar</t>
  </si>
  <si>
    <t>FJD</t>
  </si>
  <si>
    <t>Hong Kong Dollar</t>
  </si>
  <si>
    <t>HKD</t>
  </si>
  <si>
    <t>Hungary Forint</t>
  </si>
  <si>
    <t>HUF</t>
  </si>
  <si>
    <t>Iceland Krona</t>
  </si>
  <si>
    <t>ISK</t>
  </si>
  <si>
    <t>India Rupee</t>
  </si>
  <si>
    <t>INR</t>
  </si>
  <si>
    <t>Indonesia Rupiah</t>
  </si>
  <si>
    <t>IDR</t>
  </si>
  <si>
    <t>Iran Rial</t>
  </si>
  <si>
    <t>IRR</t>
  </si>
  <si>
    <t>Iraq Dinar</t>
  </si>
  <si>
    <t>IQD</t>
  </si>
  <si>
    <t>Israel Shekel</t>
  </si>
  <si>
    <t>ILS</t>
  </si>
  <si>
    <t>Jamaica Dollar</t>
  </si>
  <si>
    <t>JMD</t>
  </si>
  <si>
    <t>Japan Yen</t>
  </si>
  <si>
    <t>JPY</t>
  </si>
  <si>
    <t>Jordan Dinar</t>
  </si>
  <si>
    <t>JOD</t>
  </si>
  <si>
    <t>Kenya Shilling</t>
  </si>
  <si>
    <t>KES</t>
  </si>
  <si>
    <t>Kuwait Dinar</t>
  </si>
  <si>
    <t>KWD</t>
  </si>
  <si>
    <t>Lebanon Pounds</t>
  </si>
  <si>
    <t>LBP</t>
  </si>
  <si>
    <t>Lituania Lita</t>
  </si>
  <si>
    <t>LTL</t>
  </si>
  <si>
    <t>Malaysia Ringgit</t>
  </si>
  <si>
    <t>MYR</t>
  </si>
  <si>
    <t>Mauritius Rupee</t>
  </si>
  <si>
    <t>MUR</t>
  </si>
  <si>
    <t>Mexico Peso</t>
  </si>
  <si>
    <t>MXN</t>
  </si>
  <si>
    <t>Morocco Dirham</t>
  </si>
  <si>
    <t>MAD</t>
  </si>
  <si>
    <t>New Zealand Dollar</t>
  </si>
  <si>
    <t>NZD</t>
  </si>
  <si>
    <t>Norway Krone</t>
  </si>
  <si>
    <t>NOK</t>
  </si>
  <si>
    <t>Oman Rial</t>
  </si>
  <si>
    <t>OMR</t>
  </si>
  <si>
    <t>Pakistan Rupee</t>
  </si>
  <si>
    <t>PKR</t>
  </si>
  <si>
    <t>Peru Nuevo Sol</t>
  </si>
  <si>
    <t>PEN</t>
  </si>
  <si>
    <t>Philippines Peso</t>
  </si>
  <si>
    <t>PHP</t>
  </si>
  <si>
    <t>Poland Zloty</t>
  </si>
  <si>
    <t>PLN</t>
  </si>
  <si>
    <t>Qatar Riyal</t>
  </si>
  <si>
    <t>QAR</t>
  </si>
  <si>
    <t>Romania New Leu</t>
  </si>
  <si>
    <t>RON</t>
  </si>
  <si>
    <t>Russia Ruble</t>
  </si>
  <si>
    <t>RUB</t>
  </si>
  <si>
    <t>Saudi Arabia Riyal</t>
  </si>
  <si>
    <t>SAR</t>
  </si>
  <si>
    <t>Singapore Dollar</t>
  </si>
  <si>
    <t>SGD</t>
  </si>
  <si>
    <t>South Africa Rand</t>
  </si>
  <si>
    <t>ZAR</t>
  </si>
  <si>
    <t>South Korea Won</t>
  </si>
  <si>
    <t>KRW</t>
  </si>
  <si>
    <t>Sri Lanka Rupee</t>
  </si>
  <si>
    <t>LKR</t>
  </si>
  <si>
    <t>Sudan Pound</t>
  </si>
  <si>
    <t>SDG</t>
  </si>
  <si>
    <t>Switzerland Franc</t>
  </si>
  <si>
    <t>CHF</t>
  </si>
  <si>
    <t>Taiwan New Dollar</t>
  </si>
  <si>
    <t>TWD</t>
  </si>
  <si>
    <t>Thailand Baht</t>
  </si>
  <si>
    <t>THB</t>
  </si>
  <si>
    <t>Trinidad and Tobago Dollar</t>
  </si>
  <si>
    <t>TTD</t>
  </si>
  <si>
    <t>Tunisia Dinar</t>
  </si>
  <si>
    <t>TND</t>
  </si>
  <si>
    <t>Turkey Lira</t>
  </si>
  <si>
    <t>TRY</t>
  </si>
  <si>
    <t>United Arab Emirates Dirham</t>
  </si>
  <si>
    <t>AED</t>
  </si>
  <si>
    <t>Venezuela Bolivares Fuertes</t>
  </si>
  <si>
    <t>VEF</t>
  </si>
  <si>
    <t>Vietnam Dong</t>
  </si>
  <si>
    <t>VND</t>
  </si>
  <si>
    <t>Zambia Kwacha</t>
  </si>
  <si>
    <t>ZMK</t>
  </si>
  <si>
    <r>
      <t xml:space="preserve">Corr (200)                                                  </t>
    </r>
    <r>
      <rPr>
        <b/>
        <sz val="10"/>
        <color theme="0"/>
        <rFont val="Arial"/>
        <family val="2"/>
      </rPr>
      <t>*</t>
    </r>
  </si>
  <si>
    <t>Market</t>
  </si>
  <si>
    <t>Default</t>
  </si>
  <si>
    <t>Health</t>
  </si>
  <si>
    <t>Non-Life</t>
  </si>
  <si>
    <t xml:space="preserve">Corr (10)  </t>
  </si>
  <si>
    <t>MarketCorr (200)                          *</t>
  </si>
  <si>
    <t>Interest</t>
  </si>
  <si>
    <t>Equity</t>
  </si>
  <si>
    <t>Property</t>
  </si>
  <si>
    <t>Spread</t>
  </si>
  <si>
    <t>Concentration</t>
  </si>
  <si>
    <t xml:space="preserve">MarketCorr (10) </t>
  </si>
  <si>
    <r>
      <t xml:space="preserve">Selection of A_200 in </t>
    </r>
    <r>
      <rPr>
        <b/>
        <i/>
        <sz val="10"/>
        <color theme="0"/>
        <rFont val="Arial"/>
        <family val="2"/>
      </rPr>
      <t>MarketCorr                              *</t>
    </r>
  </si>
  <si>
    <t>A_200</t>
  </si>
  <si>
    <t>A_10</t>
  </si>
  <si>
    <r>
      <t>Market</t>
    </r>
    <r>
      <rPr>
        <i/>
        <vertAlign val="subscript"/>
        <sz val="10"/>
        <color theme="0"/>
        <rFont val="Arial"/>
        <family val="2"/>
      </rPr>
      <t>interest</t>
    </r>
    <r>
      <rPr>
        <i/>
        <sz val="10"/>
        <color theme="0"/>
        <rFont val="Arial"/>
        <family val="2"/>
      </rPr>
      <t xml:space="preserve"> = Market</t>
    </r>
    <r>
      <rPr>
        <i/>
        <vertAlign val="subscript"/>
        <sz val="10"/>
        <color theme="0"/>
        <rFont val="Arial"/>
        <family val="2"/>
      </rPr>
      <t>interest</t>
    </r>
    <r>
      <rPr>
        <i/>
        <vertAlign val="superscript"/>
        <sz val="10"/>
        <color theme="0"/>
        <rFont val="Arial"/>
        <family val="2"/>
      </rPr>
      <t>Up</t>
    </r>
  </si>
  <si>
    <r>
      <t>Market</t>
    </r>
    <r>
      <rPr>
        <i/>
        <vertAlign val="subscript"/>
        <sz val="10"/>
        <color theme="0"/>
        <rFont val="Arial"/>
        <family val="2"/>
      </rPr>
      <t>interest</t>
    </r>
    <r>
      <rPr>
        <i/>
        <sz val="10"/>
        <color theme="0"/>
        <rFont val="Arial"/>
        <family val="2"/>
      </rPr>
      <t xml:space="preserve"> = Market</t>
    </r>
    <r>
      <rPr>
        <i/>
        <vertAlign val="subscript"/>
        <sz val="10"/>
        <color theme="0"/>
        <rFont val="Arial"/>
        <family val="2"/>
      </rPr>
      <t>interest</t>
    </r>
    <r>
      <rPr>
        <i/>
        <vertAlign val="superscript"/>
        <sz val="10"/>
        <color theme="0"/>
        <rFont val="Arial"/>
        <family val="2"/>
      </rPr>
      <t>Down</t>
    </r>
  </si>
  <si>
    <t>Selected:</t>
  </si>
  <si>
    <t>EqCorr  *</t>
  </si>
  <si>
    <t>Type 1</t>
  </si>
  <si>
    <t>Type 2</t>
  </si>
  <si>
    <t xml:space="preserve">EqCorr (10) </t>
  </si>
  <si>
    <t>CurrencyCorr                                  *</t>
  </si>
  <si>
    <t>CurrGroup1</t>
  </si>
  <si>
    <t>CurrGroup2</t>
  </si>
  <si>
    <t>CurrGroup3</t>
  </si>
  <si>
    <t>CurrGroup4</t>
  </si>
  <si>
    <t>CurrGroup5</t>
  </si>
  <si>
    <t>CurrGroup6</t>
  </si>
  <si>
    <t>CurrGroup7</t>
  </si>
  <si>
    <t>CurrGroup8</t>
  </si>
  <si>
    <t>CurrGroup9</t>
  </si>
  <si>
    <t>CurrGroup10</t>
  </si>
  <si>
    <t>CurrGroup11</t>
  </si>
  <si>
    <t>CurrGroup12</t>
  </si>
  <si>
    <t>CurrGroup13</t>
  </si>
  <si>
    <t>CurrGroup14</t>
  </si>
  <si>
    <t>CurrGroup15</t>
  </si>
  <si>
    <t>Credit Quality (CQ) Step</t>
  </si>
  <si>
    <t>S &amp; P's / Fitch</t>
  </si>
  <si>
    <t>Moody's</t>
  </si>
  <si>
    <t>AM Best</t>
  </si>
  <si>
    <t>AAA</t>
  </si>
  <si>
    <t>Aaa</t>
  </si>
  <si>
    <t>A++</t>
  </si>
  <si>
    <t>AA</t>
  </si>
  <si>
    <t>Aa</t>
  </si>
  <si>
    <t>A+</t>
  </si>
  <si>
    <t>BBB</t>
  </si>
  <si>
    <t>Baa</t>
  </si>
  <si>
    <t>A-</t>
  </si>
  <si>
    <t>BB</t>
  </si>
  <si>
    <t>Ba</t>
  </si>
  <si>
    <t>B++ to B</t>
  </si>
  <si>
    <t>B- to C+</t>
  </si>
  <si>
    <t>CCC or lower</t>
  </si>
  <si>
    <t>Lower</t>
  </si>
  <si>
    <t>C or lower</t>
  </si>
  <si>
    <t>1 in 10 Credit Spread Risk</t>
  </si>
  <si>
    <t>Bonds - Base Factors</t>
  </si>
  <si>
    <t>MCR not met</t>
  </si>
  <si>
    <t>Duration</t>
  </si>
  <si>
    <t>Range</t>
  </si>
  <si>
    <r>
      <t xml:space="preserve">dur </t>
    </r>
    <r>
      <rPr>
        <b/>
        <sz val="9"/>
        <color theme="0"/>
        <rFont val="Tahoma"/>
        <family val="2"/>
      </rPr>
      <t xml:space="preserve">≤ </t>
    </r>
    <r>
      <rPr>
        <b/>
        <sz val="7.65"/>
        <color theme="0"/>
        <rFont val="Arial"/>
        <family val="2"/>
      </rPr>
      <t>5</t>
    </r>
  </si>
  <si>
    <t>5 &lt; dur ≤ 10</t>
  </si>
  <si>
    <t>10 &lt; dur ≤ 15</t>
  </si>
  <si>
    <t>15 &lt; dur ≤ 20</t>
  </si>
  <si>
    <t>20 &lt; dur</t>
  </si>
  <si>
    <t>Bonds - Factor Multiples</t>
  </si>
  <si>
    <t>DefaultCorr    (200)                              *</t>
  </si>
  <si>
    <t xml:space="preserve">DefaultCorr(10) </t>
  </si>
  <si>
    <t>NLCorr (200)                                   *</t>
  </si>
  <si>
    <t>Premium</t>
  </si>
  <si>
    <t>Lapse</t>
  </si>
  <si>
    <t>Catastrophe</t>
  </si>
  <si>
    <t>HealthCorr (200)                                   *</t>
  </si>
  <si>
    <t>Premium_Reserve</t>
  </si>
  <si>
    <t xml:space="preserve">NLCorr (10)   </t>
  </si>
  <si>
    <t xml:space="preserve">HealthCorr (10)  </t>
  </si>
  <si>
    <t>CorrPR (200)                                    *</t>
  </si>
  <si>
    <t>1. Motor Vehicle Liability</t>
  </si>
  <si>
    <t>2. Other Motor</t>
  </si>
  <si>
    <t>3. Marine, Aviation &amp; Transport (MAT)</t>
  </si>
  <si>
    <t>4. Fire &amp; Other Damage to Property</t>
  </si>
  <si>
    <t>5. General Liability</t>
  </si>
  <si>
    <t>6. Credit &amp; Suretyship</t>
  </si>
  <si>
    <t>7. Legal Expenses</t>
  </si>
  <si>
    <t>8. Assistance</t>
  </si>
  <si>
    <t>9. Miscellaneous Financial Loss</t>
  </si>
  <si>
    <t>10. NP reinsurance - Casualty</t>
  </si>
  <si>
    <t>11. NP reinsurance - MAT</t>
  </si>
  <si>
    <t>12. NP reinsurance - Property</t>
  </si>
  <si>
    <t>CorrPR (10)   *</t>
  </si>
  <si>
    <t>CorrCAT (200)                                 *</t>
  </si>
  <si>
    <t>Natural</t>
  </si>
  <si>
    <t>NP Prop.</t>
  </si>
  <si>
    <t>Man-Made</t>
  </si>
  <si>
    <t>CorrCAT (10)                                   *</t>
  </si>
  <si>
    <t>CorrLiab (200)                                 *</t>
  </si>
  <si>
    <t>1. Professional Malpractice Liability</t>
  </si>
  <si>
    <t>2. Employers Liability</t>
  </si>
  <si>
    <t>3. Directors and Officers</t>
  </si>
  <si>
    <t>4. Personal Liability</t>
  </si>
  <si>
    <t>5. Non-Proportional Reinsurance</t>
  </si>
  <si>
    <t>CorrLiab (10)                                  *</t>
  </si>
  <si>
    <t>CorrOther (200)                              *</t>
  </si>
  <si>
    <t>1. Transport (other than marine/aviation)</t>
  </si>
  <si>
    <t>2. NP Transport</t>
  </si>
  <si>
    <t>3. Miscellaneous Financial Loss</t>
  </si>
  <si>
    <t>4. NP Casualty</t>
  </si>
  <si>
    <t>5. NP Credit &amp; Suretyship</t>
  </si>
  <si>
    <t>CorrOther (10)                                *</t>
  </si>
  <si>
    <t>CorrPR_Health (200)                     *</t>
  </si>
  <si>
    <t xml:space="preserve"> 1  - Medical expense &amp; Prop. Reins.</t>
  </si>
  <si>
    <t xml:space="preserve"> 2  - Income Protection &amp; Prop. Reins.</t>
  </si>
  <si>
    <t xml:space="preserve"> 3  - Workers' compensation &amp; Prop. Reins.</t>
  </si>
  <si>
    <t xml:space="preserve"> 4 - Non-prop. reinsurance - Health</t>
  </si>
  <si>
    <t xml:space="preserve">CorrPR_Health (10)                 </t>
  </si>
  <si>
    <t xml:space="preserve">Lines of Business NL (including proportonal reinsurance)         </t>
  </si>
  <si>
    <t>1  - Motor Vehicle Liability &amp; Prop. Reins.</t>
  </si>
  <si>
    <t>2  - Other Motor &amp; Prop. Reins.</t>
  </si>
  <si>
    <t>3  - Marine, Aviation &amp; Transport (MAT) &amp; Prop. Reins.</t>
  </si>
  <si>
    <t>4  - Fire &amp; Other Damage to Property &amp; Prop. Reins.</t>
  </si>
  <si>
    <t>5  - General Liability &amp; Prop. Reins.</t>
  </si>
  <si>
    <t>6  - Credit &amp; Suretyship &amp; Prop. Reins.</t>
  </si>
  <si>
    <t>7  - Legal Expenses &amp; Prop. Reins.</t>
  </si>
  <si>
    <t>8  - Assistance &amp; Prop. Reins.</t>
  </si>
  <si>
    <t>9  - Miscellaneous Financial Loss &amp; Prop. Reins.</t>
  </si>
  <si>
    <t xml:space="preserve">Lines of Business NSLT health (including proportional reinsurance)     </t>
  </si>
  <si>
    <t>10  - Medical expense &amp; Prop. Reins.</t>
  </si>
  <si>
    <t>11  - Income Protection &amp; Prop. Reins.</t>
  </si>
  <si>
    <t>12  - Workers' compensation &amp; Prop. Reins.</t>
  </si>
  <si>
    <t>28 - Non-prop. reinsurance - Health</t>
  </si>
  <si>
    <t>MCR Floor</t>
  </si>
  <si>
    <t>Core Authorised</t>
  </si>
  <si>
    <t>Core not Authorised</t>
  </si>
  <si>
    <t>Cell</t>
  </si>
  <si>
    <t>Class 12</t>
  </si>
  <si>
    <t>Non-class 12</t>
  </si>
  <si>
    <t>Overall Pass/Fail</t>
  </si>
  <si>
    <t>Return Type &amp; Name</t>
  </si>
  <si>
    <t>First Sheet with FAIL</t>
  </si>
  <si>
    <t>Return Class of template</t>
  </si>
  <si>
    <t>NLT-C12</t>
  </si>
  <si>
    <t>Frequency</t>
  </si>
  <si>
    <t>Atlas return name</t>
  </si>
  <si>
    <t>Atlas return type</t>
  </si>
  <si>
    <t>NLT-C13_Annual</t>
  </si>
  <si>
    <t>Annual Return - Non-Life Class 13</t>
  </si>
  <si>
    <t>Prudential</t>
  </si>
  <si>
    <t>NLT-C13_Biannual</t>
  </si>
  <si>
    <t>Biannual Return - Non-Life Class 13</t>
  </si>
  <si>
    <t>NLT-C3-9&amp;11_Annual</t>
  </si>
  <si>
    <t>Annual Return - Non-Life Class 3-9 &amp; 11</t>
  </si>
  <si>
    <t>NLT-C3-9&amp;11_Quarterly</t>
  </si>
  <si>
    <t>Quarterly</t>
  </si>
  <si>
    <t>Quarterly Return - Non-Life Class 3-9 &amp; 11</t>
  </si>
  <si>
    <t>NLT-C12_Annual</t>
  </si>
  <si>
    <t>Annual Return - Non-Life Class 12</t>
  </si>
  <si>
    <t>NLT-C12_Biannual</t>
  </si>
  <si>
    <t>Biannual Return - Non-Life Class 12</t>
  </si>
  <si>
    <t>LT_Annual</t>
  </si>
  <si>
    <t>LT_Quarterly</t>
  </si>
  <si>
    <t>amended description of reinsurance recoverables in asset tab to remove share of premium reserve</t>
  </si>
  <si>
    <t>Changed drop down currency list in participant info tab to reference ISO list for warehouse</t>
  </si>
  <si>
    <t>added RFF adjustment to index tab</t>
  </si>
  <si>
    <t>Updated SCR risk table so that unearned reinsurance premiums are IR sensitive</t>
  </si>
  <si>
    <t>amended total reinsurance recoverables in RBS- reins TPs tab to also include total direct reinsurance recoverables.</t>
  </si>
  <si>
    <t>amended p&amp;r tab so error message covers all agg cap rows</t>
  </si>
  <si>
    <t>amended P&amp;L to make clear all expenses should be included not just commission related expenses</t>
  </si>
  <si>
    <t>MENDED description in biannual accounting info to say management accounts</t>
  </si>
  <si>
    <t>removed historic hide sheet macro for quarterly/annual, unlocked comments cell in participant info tab.</t>
  </si>
  <si>
    <t xml:space="preserve">Amended RM calculation so it works when the runoff is 0 in Y1. </t>
  </si>
  <si>
    <t>Added comment in spread risk to confirm dur must not be lower than 1</t>
  </si>
  <si>
    <t>amended asset SCR table for additional clarity</t>
  </si>
  <si>
    <t>removed reference to annual audit in index tab as class 12 now exempt.</t>
  </si>
  <si>
    <t xml:space="preserve">balance sheet check - removed where we were adding adjustments back in. It should work without this adjustement (BAE showed issue). Its likely the other one that didn’t work which made me add the adjustment </t>
  </si>
  <si>
    <t>in had actually not completed their RBS tab correctly.</t>
  </si>
  <si>
    <t>Updated Market risk tab to enable risk mitigation from currency derivatives to be removed from the currency SCR.</t>
  </si>
  <si>
    <t>Amended reinsurance recoverables to cover premium provisions and claims provisons and changed TP tabs to reference claims provisions and premium provisions to be more in line with regulations (i.e. not premium and claim reserves from accounts)</t>
  </si>
  <si>
    <t>amended column O P&amp;R risk to reference column M not G (same in health P&amp;R risk)</t>
  </si>
  <si>
    <r>
      <t xml:space="preserve">Own funds from the financial statements that should not be represented by the reconciliation reserve and do not meet the criteria to be classified as Tier 1 own funds </t>
    </r>
    <r>
      <rPr>
        <b/>
        <sz val="12"/>
        <rFont val="Calibri"/>
        <family val="2"/>
        <scheme val="minor"/>
      </rPr>
      <t>IN RESPECT OF TIER CHANGES ONLY*</t>
    </r>
  </si>
  <si>
    <t>Additional information required from the insurer.</t>
  </si>
  <si>
    <t>Please click on link below to take you to the aggregate cap section for relevant LOB (for use only if you wish to allow for aggregate caps)</t>
  </si>
  <si>
    <t xml:space="preserve"> 1  - Motor Vehicle Liability &amp; 13 Prop. Reins .</t>
  </si>
  <si>
    <t>Other items not specified above (including approved ancillary own-funds)</t>
  </si>
  <si>
    <t>Adjustment for loss absorbing capacity of deferred taxes</t>
  </si>
  <si>
    <t>Is the SCR Summary Sheet complete?</t>
  </si>
  <si>
    <t>V0.05</t>
  </si>
  <si>
    <t>Unearned reinsurance premiums (if not included in row 49)</t>
  </si>
  <si>
    <t>Additional Information</t>
  </si>
  <si>
    <t>Additional Accounting Information  (To be completed for both biannual returns and annual returns)</t>
  </si>
  <si>
    <t>Information on Directors (To be completed in annual returns only)</t>
  </si>
  <si>
    <t>Statistical Information (To be completed in annual returns only)</t>
  </si>
  <si>
    <t>Is the Additional Information Sheet complete?</t>
  </si>
  <si>
    <t>All expenses and net commissions</t>
  </si>
  <si>
    <t>Name of Director</t>
  </si>
  <si>
    <t>Executive status</t>
  </si>
  <si>
    <t>Dependence</t>
  </si>
  <si>
    <t>Residence Status</t>
  </si>
  <si>
    <t>Is the Control Sheet complete?</t>
  </si>
  <si>
    <t>FILE NAME FOR SAVING</t>
  </si>
  <si>
    <t>I have checked there are no linked spreadsheets*</t>
  </si>
  <si>
    <t>I have saved the return with the file name in cell E11</t>
  </si>
  <si>
    <t>Quarterly Return - Life 1, 2, 10 &amp; 12</t>
  </si>
  <si>
    <t>Annual Return - Life 1, 2, 10 &amp; 12</t>
  </si>
  <si>
    <t>Enter an abbreviated name for your Firm</t>
  </si>
  <si>
    <t xml:space="preserve">7. When submitting an annual return in place of a biannual return, please submit the return twice - one version with 'Biannual' Selected in cell E6 of the Control tab and one version with 'Annual' selected in cell E6 of the Control tab. </t>
  </si>
  <si>
    <t>Surname, Name</t>
  </si>
  <si>
    <t>Date of change</t>
  </si>
  <si>
    <t>Sub-Version Number</t>
  </si>
  <si>
    <t>Explanation of Change</t>
  </si>
  <si>
    <t>Impact of change</t>
  </si>
  <si>
    <r>
      <t xml:space="preserve">Own funds from the financial statements that should not be represented by the reconciliation reserve and do not meet the criteria to be classified as Tier 1 own funds </t>
    </r>
    <r>
      <rPr>
        <b/>
        <sz val="12"/>
        <rFont val="Calibri"/>
        <family val="2"/>
        <scheme val="minor"/>
      </rPr>
      <t>ALL OTHER DEDUCTIONS*</t>
    </r>
  </si>
  <si>
    <t>EPV of premium to be earned on existing and planned contracts in the following 12 months</t>
  </si>
  <si>
    <r>
      <t>EPV of premium to be earned on planned single year contracts (not already included in column G) excluding premium to be earned in the 12 months after the IRD</t>
    </r>
    <r>
      <rPr>
        <b/>
        <vertAlign val="subscript"/>
        <sz val="12"/>
        <color theme="0"/>
        <rFont val="Calibri"/>
        <family val="2"/>
        <scheme val="minor"/>
      </rPr>
      <t xml:space="preserve"> </t>
    </r>
    <r>
      <rPr>
        <b/>
        <sz val="12"/>
        <color theme="0"/>
        <rFont val="Calibri"/>
        <family val="2"/>
        <scheme val="minor"/>
      </rPr>
      <t>*</t>
    </r>
  </si>
  <si>
    <t xml:space="preserve">   EPV of premium to be earned on planned multi-year contracts  (not already included in column G)*</t>
  </si>
  <si>
    <t>Original publication date</t>
  </si>
  <si>
    <t xml:space="preserve">Microsoft Office 365 migration had an unexpected impact on the array formulas used to calculate the risk margin. This caused the risk margin calculation to fail for certain lines of business. The risk margin calculation has now been amended so that it works for all lines of business under Office 365. </t>
  </si>
  <si>
    <t>If v0.05 produced a zero risk margin for your applicable lines of business then you will need to update and submit this version v0.05-1.                 If v0.05 produced a non-zero risk margin result for all of your applicable lines of business then you can submit v0.05.</t>
  </si>
  <si>
    <t>Validation issues have been identified in the Information on Directors section of the additional information tab, and on the summary of single exposures tab, and have been corrected.</t>
  </si>
  <si>
    <t>V0.051 can continue to be used for in-progress biannual returns with reporting dates falling on or after 30 June 2024.                            V0.052 will need to be submitted for all annual returns with reporting dates falling on or after 30 June 2024.</t>
  </si>
  <si>
    <t>Please enter 'N/A if not applicable'</t>
  </si>
  <si>
    <t>Header Version No.</t>
  </si>
  <si>
    <t>Column G (reinsurance recoverables attributable to exposure in column B) in the Summary of Single Exposures tab is restricted to negative values when it should be restricted to positive values. This has been corrected.</t>
  </si>
  <si>
    <t>V0.051 or V0.052 can continue to be used for in-progress biannual returns with reporting dates falling on or after 30 June 2024.                  V0.053 will need to be submitted for all annual returns with reporting dates falling on or after 30 June 2024 that have not already been submitted and for all new biannual returns that have not yet been started.</t>
  </si>
  <si>
    <t>The size of the file was very large at 4mb. Hidden formatting has been removed which has reduced the file size to to 1mb.</t>
  </si>
  <si>
    <t>We request v0.054 be submitted for all reporting dates falling on or after 31 December 2024.</t>
  </si>
  <si>
    <t>If you are part way through completing the previous version of the return, please delete the 100k and continue with your existing version. If you are starting a new return, please use this new version.</t>
  </si>
  <si>
    <t>The 'additional information tab' had a rogue 100k entered in cell H23 'Total amount recoverable from reinsurers'. This has now been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</si>
</sst>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0.0"/>
    <numFmt numFmtId="166" formatCode="_-[$€-2]\ * #,##0.00_-;_-[$€-2]\ * #,##0.00\-;_-[$€-2]\ * &quot;-&quot;??_-"/>
    <numFmt numFmtId="167" formatCode="_-* #,##0_-;\-* #,##0_-;_-* &quot;-&quot;??_-;_-@_-"/>
    <numFmt numFmtId="168" formatCode="0.0%"/>
    <numFmt numFmtId="169" formatCode="_-* #,##0.0_-;\-* #,##0.0_-;_-* &quot;-&quot;??_-;_-@_-"/>
    <numFmt numFmtId="170" formatCode="#,##0.000_ ;\-#,##0.000\ "/>
    <numFmt numFmtId="171" formatCode="#,##0.000"/>
    <numFmt numFmtId="172" formatCode="0.000%"/>
    <numFmt numFmtId="173" formatCode="0.000"/>
    <numFmt numFmtId="174" formatCode="#,##0;\(#,##0\)"/>
    <numFmt numFmtId="175" formatCode="#,##0.000;\(#,##0.000\)"/>
    <numFmt numFmtId="176" formatCode="_(* #,##0_);_(* \(#,##0\);_(* &quot;-&quot;??_);_(@_)"/>
    <numFmt numFmtId="177" formatCode="[$-F800]dddd\,\ mmmm\ dd\,\ yyyy"/>
  </numFmts>
  <fonts count="89" x14ac:knownFonts="1">
    <font>
      <sz val="11"/>
      <color theme="1"/>
      <name val="Tahoma"/>
      <family val="2"/>
    </font>
    <font>
      <sz val="12"/>
      <color theme="1"/>
      <name val="Calibri"/>
      <family val="2"/>
    </font>
    <font>
      <sz val="8"/>
      <name val="Arial"/>
      <family val="2"/>
    </font>
    <font>
      <sz val="10"/>
      <name val="Arial"/>
      <family val="2"/>
    </font>
    <font>
      <sz val="9"/>
      <name val="Arial"/>
      <family val="2"/>
    </font>
    <font>
      <i/>
      <sz val="9"/>
      <name val="Arial"/>
      <family val="2"/>
    </font>
    <font>
      <i/>
      <sz val="10"/>
      <color indexed="10"/>
      <name val="Arial"/>
      <family val="2"/>
    </font>
    <font>
      <sz val="9"/>
      <name val="Times New Roman"/>
      <family val="1"/>
    </font>
    <font>
      <sz val="12"/>
      <name val="Arial"/>
      <family val="2"/>
    </font>
    <font>
      <u/>
      <sz val="8"/>
      <name val="Times New Roman"/>
      <family val="1"/>
    </font>
    <font>
      <u/>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color theme="1"/>
      <name val="Calibri"/>
      <family val="2"/>
      <scheme val="minor"/>
    </font>
    <font>
      <u/>
      <sz val="10"/>
      <color theme="10"/>
      <name val="Arial"/>
      <family val="2"/>
    </font>
    <font>
      <b/>
      <i/>
      <sz val="10"/>
      <color theme="0"/>
      <name val="Arial"/>
      <family val="2"/>
    </font>
    <font>
      <sz val="10"/>
      <color theme="0"/>
      <name val="Arial"/>
      <family val="2"/>
    </font>
    <font>
      <b/>
      <sz val="10"/>
      <color theme="0"/>
      <name val="Arial"/>
      <family val="2"/>
    </font>
    <font>
      <sz val="10"/>
      <color theme="1"/>
      <name val="Arial"/>
      <family val="2"/>
    </font>
    <font>
      <sz val="9"/>
      <color theme="1"/>
      <name val="Arial"/>
      <family val="2"/>
    </font>
    <font>
      <sz val="11"/>
      <color theme="1"/>
      <name val="Tahoma"/>
      <family val="2"/>
    </font>
    <font>
      <b/>
      <sz val="9"/>
      <color theme="0"/>
      <name val="Arial"/>
      <family val="2"/>
    </font>
    <font>
      <sz val="9"/>
      <color rgb="FFFF0000"/>
      <name val="Arial"/>
      <family val="2"/>
    </font>
    <font>
      <b/>
      <sz val="9"/>
      <color theme="1"/>
      <name val="Arial"/>
      <family val="2"/>
    </font>
    <font>
      <b/>
      <sz val="9"/>
      <color theme="0"/>
      <name val="Tahoma"/>
      <family val="2"/>
    </font>
    <font>
      <b/>
      <sz val="7.65"/>
      <color theme="0"/>
      <name val="Arial"/>
      <family val="2"/>
    </font>
    <font>
      <b/>
      <sz val="9"/>
      <color rgb="FFFFFF00"/>
      <name val="Arial"/>
      <family val="2"/>
    </font>
    <font>
      <b/>
      <i/>
      <sz val="10"/>
      <name val="Arial"/>
      <family val="2"/>
    </font>
    <font>
      <sz val="11"/>
      <color theme="1"/>
      <name val="Arial"/>
      <family val="2"/>
    </font>
    <font>
      <sz val="9"/>
      <color theme="0"/>
      <name val="Arial"/>
      <family val="2"/>
    </font>
    <font>
      <i/>
      <sz val="10"/>
      <color theme="0"/>
      <name val="Arial"/>
      <family val="2"/>
    </font>
    <font>
      <i/>
      <vertAlign val="subscript"/>
      <sz val="10"/>
      <color theme="0"/>
      <name val="Arial"/>
      <family val="2"/>
    </font>
    <font>
      <i/>
      <vertAlign val="superscript"/>
      <sz val="10"/>
      <color theme="0"/>
      <name val="Arial"/>
      <family val="2"/>
    </font>
    <font>
      <sz val="12"/>
      <color theme="1"/>
      <name val="Calibri"/>
      <family val="2"/>
      <scheme val="minor"/>
    </font>
    <font>
      <sz val="12"/>
      <name val="Calibri"/>
      <family val="2"/>
      <scheme val="minor"/>
    </font>
    <font>
      <b/>
      <i/>
      <sz val="12"/>
      <color theme="1"/>
      <name val="Calibri"/>
      <family val="2"/>
      <scheme val="minor"/>
    </font>
    <font>
      <i/>
      <sz val="12"/>
      <color theme="1"/>
      <name val="Calibri"/>
      <family val="2"/>
      <scheme val="minor"/>
    </font>
    <font>
      <b/>
      <sz val="12"/>
      <color rgb="FF775431"/>
      <name val="Arial"/>
      <family val="2"/>
    </font>
    <font>
      <b/>
      <sz val="12"/>
      <color theme="0"/>
      <name val="Arial"/>
      <family val="2"/>
    </font>
    <font>
      <b/>
      <sz val="12"/>
      <color theme="0"/>
      <name val="Calibri"/>
      <family val="2"/>
      <scheme val="minor"/>
    </font>
    <font>
      <b/>
      <sz val="12"/>
      <color rgb="FF775431"/>
      <name val="Calibri"/>
      <family val="2"/>
      <scheme val="minor"/>
    </font>
    <font>
      <b/>
      <sz val="12"/>
      <name val="Calibri"/>
      <family val="2"/>
      <scheme val="minor"/>
    </font>
    <font>
      <sz val="10"/>
      <color theme="1"/>
      <name val="Calibri"/>
      <family val="2"/>
      <scheme val="minor"/>
    </font>
    <font>
      <b/>
      <sz val="12"/>
      <color theme="1"/>
      <name val="Calibri"/>
      <family val="2"/>
      <scheme val="minor"/>
    </font>
    <font>
      <sz val="12"/>
      <color theme="0"/>
      <name val="Calibri"/>
      <family val="2"/>
      <scheme val="minor"/>
    </font>
    <font>
      <u/>
      <sz val="12"/>
      <color rgb="FF00B0F0"/>
      <name val="Calibri"/>
      <family val="2"/>
      <scheme val="minor"/>
    </font>
    <font>
      <b/>
      <sz val="12"/>
      <color rgb="FFFFFFFF"/>
      <name val="Calibri"/>
      <family val="2"/>
      <scheme val="minor"/>
    </font>
    <font>
      <b/>
      <i/>
      <sz val="12"/>
      <color theme="0"/>
      <name val="Calibri"/>
      <family val="2"/>
      <scheme val="minor"/>
    </font>
    <font>
      <b/>
      <sz val="14"/>
      <color rgb="FF775431"/>
      <name val="Calibri"/>
      <family val="2"/>
      <scheme val="minor"/>
    </font>
    <font>
      <i/>
      <sz val="12"/>
      <color theme="0"/>
      <name val="Calibri"/>
      <family val="2"/>
      <scheme val="minor"/>
    </font>
    <font>
      <sz val="12"/>
      <color rgb="FFFF0000"/>
      <name val="Calibri"/>
      <family val="2"/>
      <scheme val="minor"/>
    </font>
    <font>
      <sz val="12"/>
      <color rgb="FF0000FF"/>
      <name val="Calibri"/>
      <family val="2"/>
      <scheme val="minor"/>
    </font>
    <font>
      <b/>
      <sz val="12"/>
      <color rgb="FFFF0000"/>
      <name val="Calibri"/>
      <family val="2"/>
      <scheme val="minor"/>
    </font>
    <font>
      <i/>
      <sz val="12"/>
      <name val="Calibri"/>
      <family val="2"/>
      <scheme val="minor"/>
    </font>
    <font>
      <b/>
      <sz val="12"/>
      <color rgb="FF00FFFF"/>
      <name val="Calibri"/>
      <family val="2"/>
      <scheme val="minor"/>
    </font>
    <font>
      <b/>
      <vertAlign val="subscript"/>
      <sz val="12"/>
      <color theme="0"/>
      <name val="Calibri"/>
      <family val="2"/>
      <scheme val="minor"/>
    </font>
    <font>
      <b/>
      <sz val="12"/>
      <color rgb="FFFFFF00"/>
      <name val="Calibri"/>
      <family val="2"/>
      <scheme val="minor"/>
    </font>
    <font>
      <b/>
      <sz val="12"/>
      <color theme="3"/>
      <name val="Calibri"/>
      <family val="2"/>
      <scheme val="minor"/>
    </font>
    <font>
      <sz val="12"/>
      <color theme="4" tint="0.39997558519241921"/>
      <name val="Calibri"/>
      <family val="2"/>
      <scheme val="minor"/>
    </font>
    <font>
      <sz val="12"/>
      <color theme="3" tint="0.59999389629810485"/>
      <name val="Calibri"/>
      <family val="2"/>
      <scheme val="minor"/>
    </font>
    <font>
      <i/>
      <vertAlign val="subscript"/>
      <sz val="12"/>
      <color theme="1"/>
      <name val="Calibri"/>
      <family val="2"/>
      <scheme val="minor"/>
    </font>
    <font>
      <i/>
      <sz val="12"/>
      <color rgb="FF0000FF"/>
      <name val="Calibri"/>
      <family val="2"/>
      <scheme val="minor"/>
    </font>
    <font>
      <i/>
      <u/>
      <sz val="12"/>
      <color rgb="FF0000FF"/>
      <name val="Calibri"/>
      <family val="2"/>
      <scheme val="minor"/>
    </font>
    <font>
      <i/>
      <vertAlign val="subscript"/>
      <sz val="12"/>
      <color rgb="FF0000FF"/>
      <name val="Calibri"/>
      <family val="2"/>
      <scheme val="minor"/>
    </font>
    <font>
      <sz val="12"/>
      <color indexed="8"/>
      <name val="Calibri"/>
      <family val="2"/>
      <scheme val="minor"/>
    </font>
    <font>
      <i/>
      <sz val="12"/>
      <color indexed="8"/>
      <name val="Calibri"/>
      <family val="2"/>
      <scheme val="minor"/>
    </font>
    <font>
      <sz val="12"/>
      <color rgb="FF000000"/>
      <name val="Calibri"/>
      <family val="2"/>
      <scheme val="minor"/>
    </font>
    <font>
      <b/>
      <sz val="12"/>
      <color theme="1"/>
      <name val="Calibri"/>
      <family val="2"/>
    </font>
    <font>
      <b/>
      <sz val="11"/>
      <color theme="1"/>
      <name val="Tahoma"/>
      <family val="2"/>
    </font>
    <font>
      <b/>
      <sz val="9"/>
      <color indexed="81"/>
      <name val="Tahoma"/>
      <family val="2"/>
    </font>
    <font>
      <sz val="9"/>
      <color indexed="81"/>
      <name val="Tahoma"/>
      <family val="2"/>
    </font>
    <font>
      <b/>
      <sz val="12"/>
      <color rgb="FF005782"/>
      <name val="Calibri"/>
      <family val="2"/>
      <scheme val="minor"/>
    </font>
    <font>
      <u/>
      <sz val="12"/>
      <color theme="1"/>
      <name val="Calibri"/>
      <family val="2"/>
      <scheme val="minor"/>
    </font>
    <font>
      <sz val="10"/>
      <color rgb="FFFF0000"/>
      <name val="Calibri"/>
      <family val="2"/>
      <scheme val="minor"/>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27"/>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rgb="FFCCFFFF"/>
        <bgColor indexed="64"/>
      </patternFill>
    </fill>
    <fill>
      <patternFill patternType="solid">
        <fgColor theme="4" tint="-0.249977111117893"/>
        <bgColor indexed="64"/>
      </patternFill>
    </fill>
    <fill>
      <patternFill patternType="solid">
        <fgColor theme="4" tint="0.79998168889431442"/>
        <bgColor indexed="64"/>
      </patternFill>
    </fill>
    <fill>
      <patternFill patternType="lightUp">
        <fgColor theme="0" tint="-0.499984740745262"/>
        <bgColor theme="0"/>
      </patternFill>
    </fill>
    <fill>
      <patternFill patternType="lightUp">
        <fgColor theme="0" tint="-0.499984740745262"/>
        <bgColor rgb="FFCCFFFF"/>
      </patternFill>
    </fill>
    <fill>
      <patternFill patternType="lightUp">
        <bgColor theme="0"/>
      </patternFill>
    </fill>
    <fill>
      <patternFill patternType="solid">
        <fgColor rgb="FFFFFFCC"/>
        <bgColor indexed="64"/>
      </patternFill>
    </fill>
    <fill>
      <patternFill patternType="solid">
        <fgColor theme="3" tint="0.59999389629810485"/>
        <bgColor theme="4" tint="0.39994506668294322"/>
      </patternFill>
    </fill>
    <fill>
      <patternFill patternType="solid">
        <fgColor theme="3" tint="0.59996337778862885"/>
        <bgColor indexed="64"/>
      </patternFill>
    </fill>
    <fill>
      <patternFill patternType="solid">
        <fgColor rgb="FF00FFFF"/>
        <bgColor indexed="64"/>
      </patternFill>
    </fill>
    <fill>
      <patternFill patternType="solid">
        <fgColor rgb="FF00FFCC"/>
        <bgColor indexed="64"/>
      </patternFill>
    </fill>
    <fill>
      <patternFill patternType="lightTrellis">
        <bgColor theme="1" tint="0.34998626667073579"/>
      </patternFill>
    </fill>
    <fill>
      <patternFill patternType="lightTrellis">
        <bgColor theme="1" tint="0.24994659260841701"/>
      </patternFill>
    </fill>
    <fill>
      <patternFill patternType="solid">
        <fgColor theme="0"/>
        <bgColor theme="0"/>
      </patternFill>
    </fill>
    <fill>
      <patternFill patternType="lightTrellis">
        <fgColor theme="0"/>
        <bgColor theme="0"/>
      </patternFill>
    </fill>
    <fill>
      <patternFill patternType="solid">
        <fgColor rgb="FF8DB4E2"/>
        <bgColor indexed="64"/>
      </patternFill>
    </fill>
    <fill>
      <patternFill patternType="solid">
        <fgColor rgb="FF005782"/>
        <bgColor indexed="64"/>
      </patternFill>
    </fill>
    <fill>
      <patternFill patternType="solid">
        <fgColor rgb="FFD9D9D9"/>
        <bgColor indexed="64"/>
      </patternFill>
    </fill>
    <fill>
      <patternFill patternType="lightUp">
        <fgColor theme="0" tint="-0.499984740745262"/>
        <bgColor rgb="FFD9D9D9"/>
      </patternFill>
    </fill>
    <fill>
      <patternFill patternType="lightUp">
        <fgColor theme="0" tint="-0.34998626667073579"/>
        <bgColor rgb="FFD9D9D9"/>
      </patternFill>
    </fill>
    <fill>
      <patternFill patternType="solid">
        <fgColor theme="5" tint="0.79998168889431442"/>
        <bgColor indexed="64"/>
      </patternFill>
    </fill>
    <fill>
      <patternFill patternType="solid">
        <fgColor theme="9" tint="-0.249977111117893"/>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89">
    <xf numFmtId="0" fontId="0" fillId="0" borderId="0"/>
    <xf numFmtId="0" fontId="2" fillId="0" borderId="0">
      <protection locked="0"/>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0" borderId="0" applyNumberFormat="0" applyFill="0" applyBorder="0" applyAlignment="0" applyProtection="0"/>
    <xf numFmtId="0" fontId="14" fillId="20" borderId="1" applyNumberFormat="0" applyAlignment="0" applyProtection="0"/>
    <xf numFmtId="0" fontId="15" fillId="0" borderId="2" applyNumberFormat="0" applyFill="0" applyAlignment="0" applyProtection="0"/>
    <xf numFmtId="0" fontId="3" fillId="22" borderId="4" applyNumberFormat="0" applyFont="0" applyAlignment="0" applyProtection="0"/>
    <xf numFmtId="0" fontId="16" fillId="7" borderId="1" applyNumberFormat="0" applyAlignment="0" applyProtection="0"/>
    <xf numFmtId="166" fontId="3" fillId="0" borderId="0" applyFont="0" applyFill="0" applyBorder="0" applyAlignment="0" applyProtection="0"/>
    <xf numFmtId="0" fontId="10" fillId="0" borderId="0" applyNumberFormat="0" applyFont="0" applyFill="0" applyBorder="0" applyAlignment="0" applyProtection="0">
      <alignment vertical="top"/>
      <protection locked="0"/>
    </xf>
    <xf numFmtId="0" fontId="17" fillId="3" borderId="0" applyNumberFormat="0" applyBorder="0" applyAlignment="0" applyProtection="0"/>
    <xf numFmtId="0" fontId="18" fillId="23" borderId="0" applyNumberFormat="0" applyBorder="0" applyAlignment="0" applyProtection="0"/>
    <xf numFmtId="9" fontId="3" fillId="0" borderId="0" applyFont="0" applyFill="0" applyBorder="0" applyAlignment="0" applyProtection="0"/>
    <xf numFmtId="0" fontId="4" fillId="24" borderId="0" applyNumberFormat="0" applyBorder="0">
      <alignment horizontal="right"/>
      <protection locked="0"/>
    </xf>
    <xf numFmtId="165" fontId="4" fillId="25" borderId="9" applyNumberFormat="0" applyBorder="0" applyAlignment="0">
      <alignment horizontal="right"/>
      <protection locked="0"/>
    </xf>
    <xf numFmtId="0" fontId="3" fillId="0" borderId="0" applyNumberFormat="0" applyFont="0" applyBorder="0" applyAlignment="0"/>
    <xf numFmtId="0" fontId="4" fillId="24" borderId="0" applyNumberFormat="0" applyBorder="0">
      <alignment horizontal="right"/>
      <protection locked="0"/>
    </xf>
    <xf numFmtId="3" fontId="6" fillId="26" borderId="9" applyBorder="0"/>
    <xf numFmtId="0" fontId="3" fillId="27" borderId="0" applyBorder="0"/>
    <xf numFmtId="0" fontId="2" fillId="28" borderId="0" applyNumberFormat="0" applyFont="0" applyBorder="0" applyAlignment="0" applyProtection="0">
      <protection locked="0"/>
    </xf>
    <xf numFmtId="0" fontId="3" fillId="29" borderId="9" applyNumberFormat="0" applyFont="0" applyBorder="0" applyAlignment="0">
      <alignment horizontal="center" wrapText="1"/>
    </xf>
    <xf numFmtId="3" fontId="4" fillId="30" borderId="10" applyNumberFormat="0" applyBorder="0" applyAlignment="0">
      <alignment vertical="center"/>
      <protection locked="0"/>
    </xf>
    <xf numFmtId="0" fontId="3" fillId="29" borderId="0" applyNumberFormat="0" applyFont="0" applyFill="0" applyBorder="0" applyAlignment="0"/>
    <xf numFmtId="0" fontId="2" fillId="31" borderId="0" applyNumberFormat="0" applyFont="0" applyBorder="0" applyAlignment="0"/>
    <xf numFmtId="3" fontId="7" fillId="32" borderId="9" applyNumberFormat="0" applyBorder="0">
      <alignment horizontal="right" vertical="center" wrapText="1" indent="1"/>
    </xf>
    <xf numFmtId="0" fontId="5" fillId="0" borderId="0" applyNumberFormat="0" applyBorder="0" applyAlignment="0"/>
    <xf numFmtId="0" fontId="8" fillId="26" borderId="11" applyNumberFormat="0" applyFont="0" applyBorder="0" applyAlignment="0"/>
    <xf numFmtId="0" fontId="9" fillId="0" borderId="0" applyFill="0" applyBorder="0">
      <alignment horizontal="center" vertical="center"/>
    </xf>
    <xf numFmtId="0" fontId="19" fillId="4" borderId="0" applyNumberFormat="0" applyBorder="0" applyAlignment="0" applyProtection="0"/>
    <xf numFmtId="0" fontId="20" fillId="20" borderId="8" applyNumberFormat="0" applyAlignment="0" applyProtection="0"/>
    <xf numFmtId="0" fontId="3"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12" applyNumberFormat="0" applyFill="0" applyAlignment="0" applyProtection="0"/>
    <xf numFmtId="0" fontId="27" fillId="21" borderId="3" applyNumberFormat="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29" borderId="9" applyNumberFormat="0" applyFont="0" applyBorder="0" applyAlignment="0">
      <alignment horizontal="center" wrapText="1"/>
    </xf>
    <xf numFmtId="0" fontId="8" fillId="26" borderId="11" applyNumberFormat="0" applyFont="0" applyBorder="0" applyAlignment="0"/>
    <xf numFmtId="3" fontId="6" fillId="26" borderId="9" applyBorder="0"/>
    <xf numFmtId="0" fontId="4" fillId="24" borderId="0" applyNumberFormat="0" applyBorder="0">
      <alignment horizontal="right"/>
      <protection locked="0"/>
    </xf>
    <xf numFmtId="3" fontId="4" fillId="30" borderId="10" applyNumberFormat="0" applyBorder="0" applyAlignment="0">
      <alignment vertical="center"/>
      <protection locked="0"/>
    </xf>
    <xf numFmtId="0" fontId="3" fillId="27" borderId="0" applyBorder="0"/>
    <xf numFmtId="0" fontId="3" fillId="29" borderId="0" applyNumberFormat="0" applyFont="0" applyFill="0" applyBorder="0" applyAlignment="0"/>
    <xf numFmtId="0" fontId="2" fillId="31" borderId="0" applyNumberFormat="0" applyFont="0" applyBorder="0" applyAlignment="0"/>
    <xf numFmtId="3" fontId="7" fillId="32" borderId="9" applyNumberFormat="0" applyBorder="0">
      <alignment horizontal="right" vertical="center" wrapText="1" indent="1"/>
    </xf>
    <xf numFmtId="0" fontId="5" fillId="0" borderId="0" applyNumberFormat="0" applyBorder="0" applyAlignment="0"/>
    <xf numFmtId="0" fontId="29" fillId="0" borderId="0" applyNumberFormat="0" applyFill="0" applyBorder="0" applyAlignment="0" applyProtection="0">
      <alignment vertical="top"/>
      <protection locked="0"/>
    </xf>
    <xf numFmtId="0" fontId="3" fillId="0" borderId="0"/>
    <xf numFmtId="0" fontId="28" fillId="0" borderId="0"/>
    <xf numFmtId="9" fontId="3" fillId="0" borderId="0" applyFont="0" applyFill="0" applyBorder="0" applyAlignment="0" applyProtection="0"/>
    <xf numFmtId="164" fontId="35" fillId="0" borderId="0" applyFont="0" applyFill="0" applyBorder="0" applyAlignment="0" applyProtection="0"/>
    <xf numFmtId="0" fontId="33" fillId="0" borderId="0"/>
    <xf numFmtId="164" fontId="33"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164" fontId="28" fillId="0" borderId="0" applyFont="0" applyFill="0" applyBorder="0" applyAlignment="0" applyProtection="0"/>
    <xf numFmtId="0" fontId="28" fillId="0" borderId="0" applyNumberFormat="0" applyFont="0" applyFill="0" applyBorder="0" applyAlignment="0" applyProtection="0"/>
    <xf numFmtId="0" fontId="11" fillId="0" borderId="0"/>
    <xf numFmtId="9" fontId="28" fillId="0" borderId="0" applyFont="0" applyFill="0" applyBorder="0" applyAlignment="0" applyProtection="0"/>
    <xf numFmtId="0" fontId="1" fillId="0" borderId="0"/>
  </cellStyleXfs>
  <cellXfs count="896">
    <xf numFmtId="0" fontId="0" fillId="0" borderId="0" xfId="0"/>
    <xf numFmtId="0" fontId="34" fillId="33" borderId="0" xfId="0" applyFont="1" applyFill="1"/>
    <xf numFmtId="0" fontId="33" fillId="33" borderId="0" xfId="0" applyFont="1" applyFill="1"/>
    <xf numFmtId="0" fontId="34" fillId="33" borderId="26" xfId="0" applyFont="1" applyFill="1" applyBorder="1"/>
    <xf numFmtId="0" fontId="33" fillId="35" borderId="22" xfId="0" applyFont="1" applyFill="1" applyBorder="1"/>
    <xf numFmtId="0" fontId="33" fillId="35" borderId="15" xfId="0" applyFont="1" applyFill="1" applyBorder="1"/>
    <xf numFmtId="0" fontId="33" fillId="35" borderId="25" xfId="0" applyFont="1" applyFill="1" applyBorder="1"/>
    <xf numFmtId="0" fontId="0" fillId="33" borderId="0" xfId="0" applyFill="1"/>
    <xf numFmtId="0" fontId="32" fillId="34" borderId="21" xfId="0" applyFont="1" applyFill="1" applyBorder="1" applyAlignment="1">
      <alignment horizontal="center" vertical="center" wrapText="1"/>
    </xf>
    <xf numFmtId="0" fontId="32" fillId="34" borderId="24" xfId="0" applyFont="1" applyFill="1" applyBorder="1" applyAlignment="1">
      <alignment horizontal="center" vertical="center" wrapText="1"/>
    </xf>
    <xf numFmtId="0" fontId="0" fillId="34" borderId="23" xfId="0" applyFill="1" applyBorder="1"/>
    <xf numFmtId="0" fontId="0" fillId="35" borderId="16" xfId="0" applyFill="1" applyBorder="1"/>
    <xf numFmtId="0" fontId="33" fillId="35" borderId="19" xfId="0" applyFont="1" applyFill="1" applyBorder="1" applyAlignment="1">
      <alignment horizontal="center"/>
    </xf>
    <xf numFmtId="0" fontId="0" fillId="35" borderId="20" xfId="0" applyFill="1" applyBorder="1"/>
    <xf numFmtId="0" fontId="33" fillId="35" borderId="17" xfId="0" applyFont="1" applyFill="1" applyBorder="1" applyAlignment="1">
      <alignment horizontal="left" indent="1"/>
    </xf>
    <xf numFmtId="0" fontId="0" fillId="35" borderId="18" xfId="0" applyFill="1" applyBorder="1"/>
    <xf numFmtId="0" fontId="36" fillId="34" borderId="17" xfId="0" applyFont="1" applyFill="1" applyBorder="1" applyAlignment="1">
      <alignment horizontal="center"/>
    </xf>
    <xf numFmtId="0" fontId="36" fillId="33" borderId="0" xfId="0" applyFont="1" applyFill="1" applyAlignment="1">
      <alignment horizontal="center"/>
    </xf>
    <xf numFmtId="0" fontId="38" fillId="33" borderId="0" xfId="0" applyFont="1" applyFill="1"/>
    <xf numFmtId="0" fontId="36" fillId="33" borderId="0" xfId="0" applyFont="1" applyFill="1"/>
    <xf numFmtId="0" fontId="36" fillId="34" borderId="32" xfId="0" applyFont="1" applyFill="1" applyBorder="1"/>
    <xf numFmtId="0" fontId="36" fillId="34" borderId="19" xfId="0" applyFont="1" applyFill="1" applyBorder="1" applyAlignment="1">
      <alignment horizontal="center"/>
    </xf>
    <xf numFmtId="0" fontId="36" fillId="34" borderId="50" xfId="0" applyFont="1" applyFill="1" applyBorder="1" applyAlignment="1">
      <alignment horizontal="center"/>
    </xf>
    <xf numFmtId="0" fontId="36" fillId="34" borderId="22" xfId="0" applyFont="1" applyFill="1" applyBorder="1" applyAlignment="1">
      <alignment horizontal="center"/>
    </xf>
    <xf numFmtId="0" fontId="36" fillId="34" borderId="18" xfId="0" applyFont="1" applyFill="1" applyBorder="1" applyAlignment="1">
      <alignment horizontal="center"/>
    </xf>
    <xf numFmtId="168" fontId="34" fillId="33" borderId="51" xfId="83" applyNumberFormat="1" applyFont="1" applyFill="1" applyBorder="1" applyProtection="1"/>
    <xf numFmtId="168" fontId="34" fillId="33" borderId="44" xfId="83" applyNumberFormat="1" applyFont="1" applyFill="1" applyBorder="1" applyProtection="1"/>
    <xf numFmtId="168" fontId="34" fillId="33" borderId="45" xfId="83" applyNumberFormat="1" applyFont="1" applyFill="1" applyBorder="1" applyProtection="1"/>
    <xf numFmtId="168" fontId="34" fillId="33" borderId="0" xfId="83" applyNumberFormat="1" applyFont="1" applyFill="1" applyBorder="1" applyProtection="1"/>
    <xf numFmtId="168" fontId="34" fillId="33" borderId="28" xfId="83" applyNumberFormat="1" applyFont="1" applyFill="1" applyBorder="1" applyProtection="1"/>
    <xf numFmtId="168" fontId="34" fillId="33" borderId="46" xfId="83" applyNumberFormat="1" applyFont="1" applyFill="1" applyBorder="1" applyProtection="1"/>
    <xf numFmtId="168" fontId="34" fillId="33" borderId="29" xfId="83" applyNumberFormat="1" applyFont="1" applyFill="1" applyBorder="1" applyProtection="1"/>
    <xf numFmtId="0" fontId="36" fillId="34" borderId="52" xfId="0" applyFont="1" applyFill="1" applyBorder="1" applyAlignment="1">
      <alignment horizontal="center"/>
    </xf>
    <xf numFmtId="168" fontId="34" fillId="33" borderId="47" xfId="83" applyNumberFormat="1" applyFont="1" applyFill="1" applyBorder="1" applyProtection="1"/>
    <xf numFmtId="168" fontId="34" fillId="33" borderId="48" xfId="83" applyNumberFormat="1" applyFont="1" applyFill="1" applyBorder="1" applyProtection="1"/>
    <xf numFmtId="168" fontId="34" fillId="33" borderId="49" xfId="83" applyNumberFormat="1" applyFont="1" applyFill="1" applyBorder="1" applyProtection="1"/>
    <xf numFmtId="168" fontId="34" fillId="33" borderId="30" xfId="83" applyNumberFormat="1" applyFont="1" applyFill="1" applyBorder="1" applyProtection="1"/>
    <xf numFmtId="0" fontId="33" fillId="35" borderId="32" xfId="0" applyFont="1" applyFill="1" applyBorder="1"/>
    <xf numFmtId="0" fontId="33" fillId="35" borderId="33" xfId="0" applyFont="1" applyFill="1" applyBorder="1"/>
    <xf numFmtId="0" fontId="33" fillId="35" borderId="34" xfId="0" applyFont="1" applyFill="1" applyBorder="1"/>
    <xf numFmtId="0" fontId="0" fillId="35" borderId="25" xfId="0" applyFill="1" applyBorder="1"/>
    <xf numFmtId="0" fontId="0" fillId="35" borderId="22" xfId="0" applyFill="1" applyBorder="1"/>
    <xf numFmtId="0" fontId="33" fillId="48" borderId="32" xfId="0" applyFont="1" applyFill="1" applyBorder="1"/>
    <xf numFmtId="0" fontId="33" fillId="48" borderId="33" xfId="0" applyFont="1" applyFill="1" applyBorder="1"/>
    <xf numFmtId="0" fontId="33" fillId="48" borderId="34" xfId="0" applyFont="1" applyFill="1" applyBorder="1"/>
    <xf numFmtId="0" fontId="41" fillId="34" borderId="34" xfId="0" applyFont="1" applyFill="1" applyBorder="1" applyAlignment="1">
      <alignment horizontal="center"/>
    </xf>
    <xf numFmtId="0" fontId="41" fillId="34" borderId="32" xfId="0" applyFont="1" applyFill="1" applyBorder="1"/>
    <xf numFmtId="0" fontId="41" fillId="33" borderId="0" xfId="0" applyFont="1" applyFill="1" applyAlignment="1">
      <alignment horizontal="center"/>
    </xf>
    <xf numFmtId="0" fontId="48" fillId="33" borderId="0" xfId="88" applyFont="1" applyFill="1"/>
    <xf numFmtId="0" fontId="48" fillId="53" borderId="60" xfId="88" applyFont="1" applyFill="1" applyBorder="1" applyAlignment="1" applyProtection="1">
      <alignment horizontal="left" vertical="center"/>
      <protection locked="0"/>
    </xf>
    <xf numFmtId="0" fontId="52" fillId="33" borderId="0" xfId="0" applyFont="1" applyFill="1" applyAlignment="1">
      <alignment horizontal="center"/>
    </xf>
    <xf numFmtId="0" fontId="44" fillId="33" borderId="0" xfId="0" applyFont="1" applyFill="1"/>
    <xf numFmtId="0" fontId="55" fillId="33" borderId="0" xfId="0" applyFont="1" applyFill="1" applyAlignment="1">
      <alignment horizontal="center"/>
    </xf>
    <xf numFmtId="0" fontId="48" fillId="33" borderId="0" xfId="0" applyFont="1" applyFill="1"/>
    <xf numFmtId="0" fontId="49" fillId="33" borderId="0" xfId="0" applyFont="1" applyFill="1" applyAlignment="1">
      <alignment vertical="center" wrapText="1"/>
    </xf>
    <xf numFmtId="0" fontId="49" fillId="33" borderId="0" xfId="0" applyFont="1" applyFill="1" applyAlignment="1">
      <alignment vertical="center"/>
    </xf>
    <xf numFmtId="0" fontId="48" fillId="0" borderId="0" xfId="0" applyFont="1"/>
    <xf numFmtId="0" fontId="60" fillId="33" borderId="0" xfId="32" quotePrefix="1" applyFont="1" applyFill="1" applyBorder="1" applyAlignment="1" applyProtection="1">
      <alignment horizontal="center" vertical="top"/>
    </xf>
    <xf numFmtId="0" fontId="60" fillId="0" borderId="0" xfId="32" quotePrefix="1" applyFont="1" applyFill="1" applyBorder="1" applyAlignment="1" applyProtection="1">
      <alignment horizontal="center" vertical="top"/>
    </xf>
    <xf numFmtId="0" fontId="54" fillId="33" borderId="0" xfId="0" applyFont="1" applyFill="1"/>
    <xf numFmtId="0" fontId="59" fillId="33" borderId="0" xfId="0" applyFont="1" applyFill="1"/>
    <xf numFmtId="14" fontId="59" fillId="33" borderId="0" xfId="0" applyNumberFormat="1" applyFont="1" applyFill="1" applyAlignment="1">
      <alignment horizontal="right"/>
    </xf>
    <xf numFmtId="0" fontId="48" fillId="33" borderId="0" xfId="88" applyFont="1" applyFill="1" applyAlignment="1">
      <alignment vertical="center"/>
    </xf>
    <xf numFmtId="0" fontId="54" fillId="33" borderId="0" xfId="0" applyFont="1" applyFill="1" applyAlignment="1">
      <alignment wrapText="1"/>
    </xf>
    <xf numFmtId="0" fontId="59" fillId="33" borderId="0" xfId="0" applyFont="1" applyFill="1" applyAlignment="1">
      <alignment wrapText="1"/>
    </xf>
    <xf numFmtId="0" fontId="48" fillId="33" borderId="0" xfId="0" applyFont="1" applyFill="1" applyAlignment="1">
      <alignment wrapText="1"/>
    </xf>
    <xf numFmtId="0" fontId="48" fillId="33" borderId="0" xfId="0" applyFont="1" applyFill="1" applyAlignment="1">
      <alignment horizontal="center"/>
    </xf>
    <xf numFmtId="0" fontId="54" fillId="52" borderId="15" xfId="0" applyFont="1" applyFill="1" applyBorder="1" applyAlignment="1">
      <alignment vertical="center" wrapText="1"/>
    </xf>
    <xf numFmtId="0" fontId="54" fillId="52" borderId="25" xfId="0" applyFont="1" applyFill="1" applyBorder="1" applyAlignment="1">
      <alignment vertical="center"/>
    </xf>
    <xf numFmtId="0" fontId="54" fillId="52" borderId="25" xfId="0" applyFont="1" applyFill="1" applyBorder="1" applyAlignment="1">
      <alignment horizontal="center" wrapText="1"/>
    </xf>
    <xf numFmtId="0" fontId="59" fillId="52" borderId="25" xfId="0" applyFont="1" applyFill="1" applyBorder="1" applyAlignment="1">
      <alignment wrapText="1"/>
    </xf>
    <xf numFmtId="0" fontId="64" fillId="52" borderId="16" xfId="0" applyFont="1" applyFill="1" applyBorder="1" applyAlignment="1">
      <alignment horizontal="center"/>
    </xf>
    <xf numFmtId="0" fontId="54" fillId="52" borderId="32" xfId="0" applyFont="1" applyFill="1" applyBorder="1" applyAlignment="1">
      <alignment horizontal="center" wrapText="1"/>
    </xf>
    <xf numFmtId="0" fontId="54" fillId="52" borderId="17" xfId="0" applyFont="1" applyFill="1" applyBorder="1" applyAlignment="1">
      <alignment vertical="center" wrapText="1"/>
    </xf>
    <xf numFmtId="0" fontId="54" fillId="52" borderId="22" xfId="0" applyFont="1" applyFill="1" applyBorder="1" applyAlignment="1">
      <alignment vertical="center"/>
    </xf>
    <xf numFmtId="0" fontId="54" fillId="52" borderId="22" xfId="0" quotePrefix="1" applyFont="1" applyFill="1" applyBorder="1" applyAlignment="1">
      <alignment horizontal="center" wrapText="1"/>
    </xf>
    <xf numFmtId="0" fontId="59" fillId="52" borderId="22" xfId="0" applyFont="1" applyFill="1" applyBorder="1" applyAlignment="1">
      <alignment wrapText="1"/>
    </xf>
    <xf numFmtId="0" fontId="59" fillId="52" borderId="18" xfId="0" applyFont="1" applyFill="1" applyBorder="1"/>
    <xf numFmtId="0" fontId="54" fillId="52" borderId="34" xfId="0" quotePrefix="1" applyFont="1" applyFill="1" applyBorder="1" applyAlignment="1">
      <alignment horizontal="center" wrapText="1"/>
    </xf>
    <xf numFmtId="0" fontId="48" fillId="35" borderId="19" xfId="0" applyFont="1" applyFill="1" applyBorder="1" applyAlignment="1">
      <alignment wrapText="1"/>
    </xf>
    <xf numFmtId="0" fontId="48" fillId="35" borderId="0" xfId="0" applyFont="1" applyFill="1"/>
    <xf numFmtId="0" fontId="48" fillId="35" borderId="20" xfId="0" applyFont="1" applyFill="1" applyBorder="1"/>
    <xf numFmtId="0" fontId="48" fillId="35" borderId="33" xfId="0" applyFont="1" applyFill="1" applyBorder="1"/>
    <xf numFmtId="0" fontId="54" fillId="52" borderId="31" xfId="0" applyFont="1" applyFill="1" applyBorder="1" applyAlignment="1">
      <alignment wrapText="1"/>
    </xf>
    <xf numFmtId="0" fontId="54" fillId="52" borderId="29" xfId="0" applyFont="1" applyFill="1" applyBorder="1"/>
    <xf numFmtId="171" fontId="48" fillId="35" borderId="0" xfId="0" applyNumberFormat="1" applyFont="1" applyFill="1"/>
    <xf numFmtId="0" fontId="64" fillId="35" borderId="20" xfId="0" applyFont="1" applyFill="1" applyBorder="1" applyAlignment="1">
      <alignment horizontal="center"/>
    </xf>
    <xf numFmtId="49" fontId="48" fillId="53" borderId="29" xfId="79" applyNumberFormat="1" applyFont="1" applyFill="1" applyBorder="1" applyProtection="1">
      <protection locked="0"/>
    </xf>
    <xf numFmtId="171" fontId="48" fillId="53" borderId="29" xfId="79" applyNumberFormat="1" applyFont="1" applyFill="1" applyBorder="1" applyProtection="1">
      <protection locked="0"/>
    </xf>
    <xf numFmtId="0" fontId="48" fillId="33" borderId="33" xfId="0" applyFont="1" applyFill="1" applyBorder="1"/>
    <xf numFmtId="0" fontId="51" fillId="35" borderId="19" xfId="0" applyFont="1" applyFill="1" applyBorder="1" applyAlignment="1">
      <alignment horizontal="left" wrapText="1"/>
    </xf>
    <xf numFmtId="0" fontId="58" fillId="35" borderId="19" xfId="0" applyFont="1" applyFill="1" applyBorder="1" applyAlignment="1">
      <alignment wrapText="1"/>
    </xf>
    <xf numFmtId="0" fontId="48" fillId="35" borderId="17" xfId="0" applyFont="1" applyFill="1" applyBorder="1" applyAlignment="1">
      <alignment wrapText="1"/>
    </xf>
    <xf numFmtId="0" fontId="48" fillId="35" borderId="22" xfId="0" applyFont="1" applyFill="1" applyBorder="1"/>
    <xf numFmtId="0" fontId="48" fillId="35" borderId="18" xfId="0" applyFont="1" applyFill="1" applyBorder="1"/>
    <xf numFmtId="0" fontId="48" fillId="35" borderId="34" xfId="0" applyFont="1" applyFill="1" applyBorder="1"/>
    <xf numFmtId="0" fontId="58" fillId="33" borderId="0" xfId="0" applyFont="1" applyFill="1"/>
    <xf numFmtId="0" fontId="48" fillId="33" borderId="0" xfId="0" applyFont="1" applyFill="1" applyProtection="1">
      <protection locked="0"/>
    </xf>
    <xf numFmtId="0" fontId="48" fillId="33" borderId="0" xfId="0" applyFont="1" applyFill="1" applyAlignment="1" applyProtection="1">
      <alignment wrapText="1"/>
      <protection locked="0"/>
    </xf>
    <xf numFmtId="0" fontId="48" fillId="0" borderId="0" xfId="0" applyFont="1" applyProtection="1">
      <protection locked="0"/>
    </xf>
    <xf numFmtId="0" fontId="48" fillId="0" borderId="35" xfId="0" applyFont="1" applyBorder="1" applyProtection="1">
      <protection locked="0"/>
    </xf>
    <xf numFmtId="0" fontId="54" fillId="52" borderId="15" xfId="0" applyFont="1" applyFill="1" applyBorder="1" applyAlignment="1">
      <alignment horizontal="center" vertical="center"/>
    </xf>
    <xf numFmtId="0" fontId="54" fillId="52" borderId="19" xfId="0" applyFont="1" applyFill="1" applyBorder="1" applyAlignment="1">
      <alignment horizontal="center" vertical="center"/>
    </xf>
    <xf numFmtId="0" fontId="54" fillId="52" borderId="0" xfId="0" applyFont="1" applyFill="1" applyAlignment="1">
      <alignment horizontal="center" vertical="center" wrapText="1"/>
    </xf>
    <xf numFmtId="0" fontId="59" fillId="52" borderId="0" xfId="0" applyFont="1" applyFill="1" applyAlignment="1">
      <alignment wrapText="1"/>
    </xf>
    <xf numFmtId="0" fontId="59" fillId="52" borderId="20" xfId="0" applyFont="1" applyFill="1" applyBorder="1"/>
    <xf numFmtId="0" fontId="48" fillId="35" borderId="19" xfId="0" applyFont="1" applyFill="1" applyBorder="1"/>
    <xf numFmtId="0" fontId="54" fillId="52" borderId="31" xfId="0" applyFont="1" applyFill="1" applyBorder="1"/>
    <xf numFmtId="171" fontId="48" fillId="35" borderId="20" xfId="0" applyNumberFormat="1" applyFont="1" applyFill="1" applyBorder="1"/>
    <xf numFmtId="171" fontId="48" fillId="33" borderId="0" xfId="0" applyNumberFormat="1" applyFont="1" applyFill="1"/>
    <xf numFmtId="0" fontId="48" fillId="35" borderId="17" xfId="0" applyFont="1" applyFill="1" applyBorder="1"/>
    <xf numFmtId="0" fontId="65" fillId="33" borderId="0" xfId="0" applyFont="1" applyFill="1"/>
    <xf numFmtId="0" fontId="54" fillId="52" borderId="15" xfId="0" applyFont="1" applyFill="1" applyBorder="1" applyAlignment="1">
      <alignment horizontal="left" vertical="top" wrapText="1"/>
    </xf>
    <xf numFmtId="0" fontId="54" fillId="52" borderId="19" xfId="0" applyFont="1" applyFill="1" applyBorder="1" applyAlignment="1">
      <alignment horizontal="left" vertical="top" wrapText="1"/>
    </xf>
    <xf numFmtId="0" fontId="54" fillId="52" borderId="0" xfId="0" applyFont="1" applyFill="1" applyAlignment="1">
      <alignment horizontal="left" vertical="top" wrapText="1"/>
    </xf>
    <xf numFmtId="0" fontId="54" fillId="52" borderId="20" xfId="0" applyFont="1" applyFill="1" applyBorder="1" applyAlignment="1">
      <alignment horizontal="left" vertical="top" wrapText="1"/>
    </xf>
    <xf numFmtId="0" fontId="54" fillId="52" borderId="17" xfId="0" applyFont="1" applyFill="1" applyBorder="1" applyAlignment="1">
      <alignment horizontal="left" vertical="top" wrapText="1"/>
    </xf>
    <xf numFmtId="0" fontId="54" fillId="52" borderId="18" xfId="0" applyFont="1" applyFill="1" applyBorder="1" applyAlignment="1">
      <alignment horizontal="left" vertical="top" wrapText="1"/>
    </xf>
    <xf numFmtId="0" fontId="54" fillId="52" borderId="33" xfId="0" quotePrefix="1" applyFont="1" applyFill="1" applyBorder="1" applyAlignment="1">
      <alignment horizontal="center" wrapText="1"/>
    </xf>
    <xf numFmtId="0" fontId="54" fillId="52" borderId="33" xfId="0" applyFont="1" applyFill="1" applyBorder="1" applyAlignment="1">
      <alignment horizontal="left" vertical="top" wrapText="1"/>
    </xf>
    <xf numFmtId="0" fontId="66" fillId="33" borderId="0" xfId="0" applyFont="1" applyFill="1"/>
    <xf numFmtId="0" fontId="54" fillId="52" borderId="36" xfId="0" applyFont="1" applyFill="1" applyBorder="1"/>
    <xf numFmtId="0" fontId="59" fillId="52" borderId="26" xfId="0" applyFont="1" applyFill="1" applyBorder="1"/>
    <xf numFmtId="0" fontId="54" fillId="52" borderId="26" xfId="0" applyFont="1" applyFill="1" applyBorder="1"/>
    <xf numFmtId="0" fontId="59" fillId="52" borderId="37" xfId="0" applyFont="1" applyFill="1" applyBorder="1"/>
    <xf numFmtId="0" fontId="54" fillId="52" borderId="17" xfId="0" applyFont="1" applyFill="1" applyBorder="1" applyAlignment="1">
      <alignment horizontal="center" vertical="center"/>
    </xf>
    <xf numFmtId="0" fontId="54" fillId="52" borderId="21" xfId="0" applyFont="1" applyFill="1" applyBorder="1" applyAlignment="1">
      <alignment vertical="center"/>
    </xf>
    <xf numFmtId="0" fontId="54" fillId="52" borderId="24" xfId="0" applyFont="1" applyFill="1" applyBorder="1" applyAlignment="1">
      <alignment vertical="center"/>
    </xf>
    <xf numFmtId="0" fontId="54" fillId="52" borderId="23" xfId="0" applyFont="1" applyFill="1" applyBorder="1" applyAlignment="1">
      <alignment vertical="center"/>
    </xf>
    <xf numFmtId="0" fontId="54" fillId="37" borderId="29" xfId="0" applyFont="1" applyFill="1" applyBorder="1"/>
    <xf numFmtId="171" fontId="48" fillId="35" borderId="15" xfId="0" applyNumberFormat="1" applyFont="1" applyFill="1" applyBorder="1"/>
    <xf numFmtId="0" fontId="48" fillId="35" borderId="25" xfId="0" applyFont="1" applyFill="1" applyBorder="1"/>
    <xf numFmtId="171" fontId="48" fillId="35" borderId="25" xfId="0" applyNumberFormat="1" applyFont="1" applyFill="1" applyBorder="1"/>
    <xf numFmtId="0" fontId="48" fillId="35" borderId="16" xfId="0" applyFont="1" applyFill="1" applyBorder="1"/>
    <xf numFmtId="171" fontId="48" fillId="35" borderId="22" xfId="0" applyNumberFormat="1" applyFont="1" applyFill="1" applyBorder="1"/>
    <xf numFmtId="0" fontId="54" fillId="52" borderId="25" xfId="0" applyFont="1" applyFill="1" applyBorder="1"/>
    <xf numFmtId="171" fontId="59" fillId="52" borderId="25" xfId="0" applyNumberFormat="1" applyFont="1" applyFill="1" applyBorder="1" applyAlignment="1">
      <alignment wrapText="1"/>
    </xf>
    <xf numFmtId="171" fontId="54" fillId="52" borderId="25" xfId="0" applyNumberFormat="1" applyFont="1" applyFill="1" applyBorder="1" applyAlignment="1">
      <alignment horizontal="center" wrapText="1"/>
    </xf>
    <xf numFmtId="0" fontId="59" fillId="52" borderId="16" xfId="0" applyFont="1" applyFill="1" applyBorder="1"/>
    <xf numFmtId="0" fontId="54" fillId="52" borderId="32" xfId="0" applyFont="1" applyFill="1" applyBorder="1"/>
    <xf numFmtId="0" fontId="54" fillId="52" borderId="22" xfId="0" applyFont="1" applyFill="1" applyBorder="1"/>
    <xf numFmtId="171" fontId="59" fillId="52" borderId="22" xfId="0" applyNumberFormat="1" applyFont="1" applyFill="1" applyBorder="1" applyAlignment="1">
      <alignment wrapText="1"/>
    </xf>
    <xf numFmtId="171" fontId="54" fillId="52" borderId="22" xfId="0" applyNumberFormat="1" applyFont="1" applyFill="1" applyBorder="1" applyAlignment="1">
      <alignment horizontal="center" wrapText="1"/>
    </xf>
    <xf numFmtId="0" fontId="54" fillId="52" borderId="34" xfId="0" applyFont="1" applyFill="1" applyBorder="1"/>
    <xf numFmtId="0" fontId="48" fillId="33" borderId="13" xfId="0" applyFont="1" applyFill="1" applyBorder="1"/>
    <xf numFmtId="0" fontId="54" fillId="52" borderId="15" xfId="0" applyFont="1" applyFill="1" applyBorder="1" applyAlignment="1">
      <alignment horizontal="center" wrapText="1"/>
    </xf>
    <xf numFmtId="0" fontId="54" fillId="52" borderId="16" xfId="0" applyFont="1" applyFill="1" applyBorder="1" applyAlignment="1">
      <alignment horizontal="center"/>
    </xf>
    <xf numFmtId="0" fontId="54" fillId="52" borderId="17" xfId="0" applyFont="1" applyFill="1" applyBorder="1" applyAlignment="1">
      <alignment horizontal="center" wrapText="1"/>
    </xf>
    <xf numFmtId="0" fontId="54" fillId="52" borderId="22" xfId="0" applyFont="1" applyFill="1" applyBorder="1" applyAlignment="1">
      <alignment horizontal="center" wrapText="1"/>
    </xf>
    <xf numFmtId="0" fontId="54" fillId="52" borderId="18" xfId="0" applyFont="1" applyFill="1" applyBorder="1" applyAlignment="1">
      <alignment horizontal="center"/>
    </xf>
    <xf numFmtId="0" fontId="48" fillId="35" borderId="13" xfId="0" applyFont="1" applyFill="1" applyBorder="1"/>
    <xf numFmtId="0" fontId="54" fillId="35" borderId="19" xfId="0" applyFont="1" applyFill="1" applyBorder="1" applyAlignment="1">
      <alignment horizontal="center" wrapText="1"/>
    </xf>
    <xf numFmtId="0" fontId="59" fillId="35" borderId="13" xfId="0" applyFont="1" applyFill="1" applyBorder="1"/>
    <xf numFmtId="0" fontId="54" fillId="35" borderId="0" xfId="0" applyFont="1" applyFill="1"/>
    <xf numFmtId="0" fontId="59" fillId="35" borderId="0" xfId="0" applyFont="1" applyFill="1"/>
    <xf numFmtId="0" fontId="49" fillId="35" borderId="0" xfId="0" applyFont="1" applyFill="1"/>
    <xf numFmtId="172" fontId="49" fillId="35" borderId="0" xfId="0" applyNumberFormat="1" applyFont="1" applyFill="1"/>
    <xf numFmtId="0" fontId="59" fillId="35" borderId="20" xfId="0" applyFont="1" applyFill="1" applyBorder="1"/>
    <xf numFmtId="0" fontId="48" fillId="33" borderId="0" xfId="0" applyFont="1" applyFill="1" applyAlignment="1">
      <alignment horizontal="center" vertical="center"/>
    </xf>
    <xf numFmtId="0" fontId="48" fillId="35" borderId="40" xfId="0" applyFont="1" applyFill="1" applyBorder="1"/>
    <xf numFmtId="0" fontId="51" fillId="33" borderId="0" xfId="0" applyFont="1" applyFill="1" applyAlignment="1">
      <alignment horizontal="center" vertical="center"/>
    </xf>
    <xf numFmtId="9" fontId="49" fillId="35" borderId="0" xfId="0" applyNumberFormat="1" applyFont="1" applyFill="1"/>
    <xf numFmtId="0" fontId="65" fillId="35" borderId="0" xfId="0" applyFont="1" applyFill="1"/>
    <xf numFmtId="0" fontId="54" fillId="52" borderId="21" xfId="0" applyFont="1" applyFill="1" applyBorder="1"/>
    <xf numFmtId="0" fontId="59" fillId="52" borderId="24" xfId="0" applyFont="1" applyFill="1" applyBorder="1"/>
    <xf numFmtId="0" fontId="54" fillId="52" borderId="24" xfId="0" applyFont="1" applyFill="1" applyBorder="1" applyAlignment="1">
      <alignment horizontal="center"/>
    </xf>
    <xf numFmtId="0" fontId="59" fillId="52" borderId="23" xfId="0" applyFont="1" applyFill="1" applyBorder="1"/>
    <xf numFmtId="0" fontId="54" fillId="52" borderId="27" xfId="0" applyFont="1" applyFill="1" applyBorder="1" applyAlignment="1">
      <alignment horizontal="center"/>
    </xf>
    <xf numFmtId="0" fontId="54" fillId="35" borderId="19" xfId="0" applyFont="1" applyFill="1" applyBorder="1"/>
    <xf numFmtId="170" fontId="48" fillId="36" borderId="29" xfId="79" applyNumberFormat="1" applyFont="1" applyFill="1" applyBorder="1" applyProtection="1"/>
    <xf numFmtId="0" fontId="59" fillId="52" borderId="14" xfId="0" applyFont="1" applyFill="1" applyBorder="1"/>
    <xf numFmtId="0" fontId="54" fillId="52" borderId="0" xfId="0" applyFont="1" applyFill="1" applyAlignment="1">
      <alignment horizontal="center" wrapText="1"/>
    </xf>
    <xf numFmtId="0" fontId="48" fillId="35" borderId="19" xfId="0" applyFont="1" applyFill="1" applyBorder="1" applyAlignment="1">
      <alignment horizontal="left" indent="1"/>
    </xf>
    <xf numFmtId="0" fontId="48" fillId="35" borderId="19" xfId="0" applyFont="1" applyFill="1" applyBorder="1" applyAlignment="1">
      <alignment horizontal="left" wrapText="1" indent="1"/>
    </xf>
    <xf numFmtId="0" fontId="48" fillId="35" borderId="19" xfId="0" applyFont="1" applyFill="1" applyBorder="1" applyAlignment="1">
      <alignment horizontal="left" indent="2"/>
    </xf>
    <xf numFmtId="0" fontId="49" fillId="35" borderId="19" xfId="0" applyFont="1" applyFill="1" applyBorder="1" applyAlignment="1">
      <alignment horizontal="left" wrapText="1" indent="1"/>
    </xf>
    <xf numFmtId="0" fontId="54" fillId="52" borderId="15" xfId="0" applyFont="1" applyFill="1" applyBorder="1"/>
    <xf numFmtId="0" fontId="54" fillId="52" borderId="16" xfId="0" applyFont="1" applyFill="1" applyBorder="1"/>
    <xf numFmtId="0" fontId="54" fillId="52" borderId="19" xfId="0" applyFont="1" applyFill="1" applyBorder="1"/>
    <xf numFmtId="0" fontId="54" fillId="52" borderId="0" xfId="0" applyFont="1" applyFill="1"/>
    <xf numFmtId="0" fontId="59" fillId="34" borderId="0" xfId="0" applyFont="1" applyFill="1" applyAlignment="1">
      <alignment horizontal="center" vertical="center"/>
    </xf>
    <xf numFmtId="0" fontId="54" fillId="52" borderId="20" xfId="0" applyFont="1" applyFill="1" applyBorder="1"/>
    <xf numFmtId="0" fontId="54" fillId="52" borderId="17" xfId="0" applyFont="1" applyFill="1" applyBorder="1"/>
    <xf numFmtId="0" fontId="54" fillId="52" borderId="18" xfId="0" applyFont="1" applyFill="1" applyBorder="1"/>
    <xf numFmtId="0" fontId="49" fillId="33" borderId="0" xfId="85" applyFont="1" applyFill="1"/>
    <xf numFmtId="0" fontId="59" fillId="33" borderId="0" xfId="0" applyFont="1" applyFill="1" applyAlignment="1">
      <alignment horizontal="center" vertical="center"/>
    </xf>
    <xf numFmtId="14" fontId="59" fillId="33" borderId="0" xfId="0" applyNumberFormat="1" applyFont="1" applyFill="1" applyAlignment="1">
      <alignment horizontal="center" vertical="center"/>
    </xf>
    <xf numFmtId="0" fontId="54" fillId="52" borderId="15" xfId="0" applyFont="1" applyFill="1" applyBorder="1" applyAlignment="1">
      <alignment vertical="center"/>
    </xf>
    <xf numFmtId="0" fontId="54" fillId="52" borderId="17" xfId="0" quotePrefix="1" applyFont="1" applyFill="1" applyBorder="1" applyAlignment="1">
      <alignment horizontal="center" wrapText="1"/>
    </xf>
    <xf numFmtId="0" fontId="54" fillId="52" borderId="18" xfId="0" quotePrefix="1" applyFont="1" applyFill="1" applyBorder="1" applyAlignment="1">
      <alignment horizontal="center" wrapText="1"/>
    </xf>
    <xf numFmtId="0" fontId="51" fillId="35" borderId="19" xfId="0" applyFont="1" applyFill="1" applyBorder="1" applyAlignment="1">
      <alignment horizontal="left" indent="1"/>
    </xf>
    <xf numFmtId="0" fontId="54" fillId="52" borderId="28" xfId="0" applyFont="1" applyFill="1" applyBorder="1" applyAlignment="1">
      <alignment horizontal="center" wrapText="1"/>
    </xf>
    <xf numFmtId="0" fontId="48" fillId="53" borderId="27" xfId="0" applyFont="1" applyFill="1" applyBorder="1" applyAlignment="1" applyProtection="1">
      <alignment horizontal="left" vertical="top" wrapText="1"/>
      <protection locked="0"/>
    </xf>
    <xf numFmtId="171" fontId="65" fillId="35" borderId="0" xfId="0" applyNumberFormat="1" applyFont="1" applyFill="1"/>
    <xf numFmtId="0" fontId="54" fillId="52" borderId="24" xfId="0" applyFont="1" applyFill="1" applyBorder="1"/>
    <xf numFmtId="171" fontId="54" fillId="52" borderId="24" xfId="0" applyNumberFormat="1" applyFont="1" applyFill="1" applyBorder="1" applyAlignment="1">
      <alignment horizontal="center" wrapText="1"/>
    </xf>
    <xf numFmtId="171" fontId="59" fillId="52" borderId="24" xfId="0" applyNumberFormat="1" applyFont="1" applyFill="1" applyBorder="1" applyAlignment="1">
      <alignment wrapText="1"/>
    </xf>
    <xf numFmtId="0" fontId="54" fillId="37" borderId="31" xfId="0" applyFont="1" applyFill="1" applyBorder="1"/>
    <xf numFmtId="171" fontId="48" fillId="53" borderId="27" xfId="79" applyNumberFormat="1" applyFont="1" applyFill="1" applyBorder="1" applyAlignment="1" applyProtection="1">
      <alignment horizontal="center"/>
      <protection locked="0"/>
    </xf>
    <xf numFmtId="0" fontId="54" fillId="52" borderId="22" xfId="0" applyFont="1" applyFill="1" applyBorder="1" applyAlignment="1">
      <alignment horizontal="center"/>
    </xf>
    <xf numFmtId="171" fontId="54" fillId="35" borderId="0" xfId="0" applyNumberFormat="1" applyFont="1" applyFill="1"/>
    <xf numFmtId="171" fontId="48" fillId="35" borderId="0" xfId="79" applyNumberFormat="1" applyFont="1" applyFill="1" applyBorder="1" applyProtection="1"/>
    <xf numFmtId="0" fontId="51" fillId="35" borderId="19" xfId="0" applyFont="1" applyFill="1" applyBorder="1"/>
    <xf numFmtId="0" fontId="50" fillId="35" borderId="19" xfId="0" applyFont="1" applyFill="1" applyBorder="1"/>
    <xf numFmtId="171" fontId="48" fillId="36" borderId="27" xfId="79" applyNumberFormat="1" applyFont="1" applyFill="1" applyBorder="1" applyProtection="1"/>
    <xf numFmtId="171" fontId="54" fillId="52" borderId="24" xfId="0" applyNumberFormat="1" applyFont="1" applyFill="1" applyBorder="1" applyAlignment="1">
      <alignment horizontal="center"/>
    </xf>
    <xf numFmtId="171" fontId="59" fillId="52" borderId="24" xfId="0" applyNumberFormat="1" applyFont="1" applyFill="1" applyBorder="1"/>
    <xf numFmtId="165" fontId="48" fillId="33" borderId="0" xfId="0" applyNumberFormat="1" applyFont="1" applyFill="1" applyAlignment="1">
      <alignment horizontal="center"/>
    </xf>
    <xf numFmtId="172" fontId="48" fillId="36" borderId="27" xfId="83" applyNumberFormat="1" applyFont="1" applyFill="1" applyBorder="1" applyAlignment="1" applyProtection="1">
      <alignment horizontal="right"/>
    </xf>
    <xf numFmtId="172" fontId="48" fillId="35" borderId="0" xfId="83" applyNumberFormat="1" applyFont="1" applyFill="1" applyBorder="1" applyProtection="1"/>
    <xf numFmtId="0" fontId="59" fillId="33" borderId="0" xfId="0" applyFont="1" applyFill="1" applyAlignment="1">
      <alignment vertical="center"/>
    </xf>
    <xf numFmtId="0" fontId="48" fillId="33" borderId="0" xfId="0" applyFont="1" applyFill="1" applyAlignment="1">
      <alignment vertical="center"/>
    </xf>
    <xf numFmtId="0" fontId="59" fillId="52" borderId="25" xfId="0" applyFont="1" applyFill="1" applyBorder="1"/>
    <xf numFmtId="0" fontId="59" fillId="52" borderId="22" xfId="0" applyFont="1" applyFill="1" applyBorder="1"/>
    <xf numFmtId="0" fontId="54" fillId="52" borderId="15" xfId="0" applyFont="1" applyFill="1" applyBorder="1" applyAlignment="1">
      <alignment horizontal="left"/>
    </xf>
    <xf numFmtId="171" fontId="54" fillId="52" borderId="25" xfId="0" applyNumberFormat="1" applyFont="1" applyFill="1" applyBorder="1" applyAlignment="1">
      <alignment horizontal="center"/>
    </xf>
    <xf numFmtId="171" fontId="59" fillId="52" borderId="25" xfId="0" applyNumberFormat="1" applyFont="1" applyFill="1" applyBorder="1" applyAlignment="1">
      <alignment horizontal="center"/>
    </xf>
    <xf numFmtId="0" fontId="54" fillId="52" borderId="17" xfId="0" applyFont="1" applyFill="1" applyBorder="1" applyAlignment="1">
      <alignment horizontal="left"/>
    </xf>
    <xf numFmtId="171" fontId="59" fillId="52" borderId="22" xfId="0" applyNumberFormat="1" applyFont="1" applyFill="1" applyBorder="1" applyAlignment="1">
      <alignment horizontal="center"/>
    </xf>
    <xf numFmtId="0" fontId="68" fillId="35" borderId="19" xfId="0" applyFont="1" applyFill="1" applyBorder="1" applyAlignment="1">
      <alignment horizontal="left" vertical="center" wrapText="1"/>
    </xf>
    <xf numFmtId="0" fontId="54" fillId="52" borderId="0" xfId="0" applyFont="1" applyFill="1" applyAlignment="1">
      <alignment horizontal="center"/>
    </xf>
    <xf numFmtId="0" fontId="62" fillId="52" borderId="17" xfId="0" applyFont="1" applyFill="1" applyBorder="1" applyAlignment="1">
      <alignment horizontal="center" vertical="center" wrapText="1"/>
    </xf>
    <xf numFmtId="171" fontId="59" fillId="52" borderId="22" xfId="0" applyNumberFormat="1" applyFont="1" applyFill="1" applyBorder="1" applyAlignment="1">
      <alignment horizontal="center" vertical="center"/>
    </xf>
    <xf numFmtId="171" fontId="59" fillId="52" borderId="16" xfId="0" applyNumberFormat="1" applyFont="1" applyFill="1" applyBorder="1"/>
    <xf numFmtId="171" fontId="59" fillId="52" borderId="18" xfId="0" applyNumberFormat="1" applyFont="1" applyFill="1" applyBorder="1"/>
    <xf numFmtId="171" fontId="48" fillId="35" borderId="18" xfId="0" applyNumberFormat="1" applyFont="1" applyFill="1" applyBorder="1"/>
    <xf numFmtId="168" fontId="48" fillId="33" borderId="0" xfId="83" applyNumberFormat="1" applyFont="1" applyFill="1" applyBorder="1" applyProtection="1"/>
    <xf numFmtId="0" fontId="54" fillId="52" borderId="23" xfId="0" applyFont="1" applyFill="1" applyBorder="1" applyAlignment="1">
      <alignment horizontal="center" vertical="center"/>
    </xf>
    <xf numFmtId="0" fontId="54" fillId="52" borderId="31" xfId="0" applyFont="1" applyFill="1" applyBorder="1" applyAlignment="1">
      <alignment horizontal="center"/>
    </xf>
    <xf numFmtId="0" fontId="48" fillId="35" borderId="0" xfId="0" applyFont="1" applyFill="1" applyAlignment="1">
      <alignment horizontal="center"/>
    </xf>
    <xf numFmtId="0" fontId="54" fillId="33" borderId="0" xfId="0" applyFont="1" applyFill="1" applyAlignment="1">
      <alignment horizontal="center"/>
    </xf>
    <xf numFmtId="0" fontId="48" fillId="35" borderId="15" xfId="0" applyFont="1" applyFill="1" applyBorder="1"/>
    <xf numFmtId="9" fontId="54" fillId="33" borderId="0" xfId="0" applyNumberFormat="1" applyFont="1" applyFill="1" applyAlignment="1">
      <alignment horizontal="center"/>
    </xf>
    <xf numFmtId="0" fontId="48" fillId="35" borderId="22" xfId="0" applyFont="1" applyFill="1" applyBorder="1" applyAlignment="1">
      <alignment horizontal="center"/>
    </xf>
    <xf numFmtId="168" fontId="48" fillId="0" borderId="0" xfId="83" applyNumberFormat="1" applyFont="1" applyFill="1" applyBorder="1" applyProtection="1"/>
    <xf numFmtId="168" fontId="48" fillId="33" borderId="0" xfId="83" applyNumberFormat="1" applyFont="1" applyFill="1" applyBorder="1" applyAlignment="1" applyProtection="1">
      <alignment wrapText="1"/>
    </xf>
    <xf numFmtId="0" fontId="54" fillId="52" borderId="17" xfId="0" applyFont="1" applyFill="1" applyBorder="1" applyAlignment="1">
      <alignment vertical="center"/>
    </xf>
    <xf numFmtId="0" fontId="54" fillId="52" borderId="22" xfId="0" applyFont="1" applyFill="1" applyBorder="1" applyAlignment="1">
      <alignment horizontal="center" vertical="center" wrapText="1"/>
    </xf>
    <xf numFmtId="0" fontId="54" fillId="52" borderId="18" xfId="0" applyFont="1" applyFill="1" applyBorder="1" applyAlignment="1">
      <alignment horizontal="center" vertical="center" wrapText="1"/>
    </xf>
    <xf numFmtId="0" fontId="54" fillId="52" borderId="24" xfId="0" quotePrefix="1" applyFont="1" applyFill="1" applyBorder="1" applyAlignment="1">
      <alignment horizontal="center" wrapText="1"/>
    </xf>
    <xf numFmtId="171" fontId="54" fillId="35" borderId="0" xfId="0" applyNumberFormat="1" applyFont="1" applyFill="1" applyAlignment="1">
      <alignment horizontal="center"/>
    </xf>
    <xf numFmtId="171" fontId="65" fillId="33" borderId="0" xfId="0" applyNumberFormat="1" applyFont="1" applyFill="1"/>
    <xf numFmtId="0" fontId="59" fillId="33" borderId="0" xfId="0" applyFont="1" applyFill="1" applyAlignment="1">
      <alignment horizontal="center"/>
    </xf>
    <xf numFmtId="0" fontId="67" fillId="33" borderId="0" xfId="0" applyFont="1" applyFill="1" applyAlignment="1">
      <alignment horizontal="center"/>
    </xf>
    <xf numFmtId="0" fontId="69" fillId="33" borderId="0" xfId="32" applyFont="1" applyFill="1" applyBorder="1" applyAlignment="1" applyProtection="1">
      <alignment horizontal="center"/>
    </xf>
    <xf numFmtId="0" fontId="54" fillId="52" borderId="25" xfId="0" applyFont="1" applyFill="1" applyBorder="1" applyAlignment="1">
      <alignment horizontal="left" vertical="center" wrapText="1"/>
    </xf>
    <xf numFmtId="0" fontId="54" fillId="52" borderId="22" xfId="0" applyFont="1" applyFill="1" applyBorder="1" applyAlignment="1">
      <alignment horizontal="left" vertical="center"/>
    </xf>
    <xf numFmtId="0" fontId="71" fillId="52" borderId="22" xfId="0" applyFont="1" applyFill="1" applyBorder="1" applyAlignment="1">
      <alignment horizontal="center" wrapText="1"/>
    </xf>
    <xf numFmtId="0" fontId="67" fillId="33" borderId="0" xfId="0" applyFont="1" applyFill="1" applyAlignment="1">
      <alignment wrapText="1"/>
    </xf>
    <xf numFmtId="0" fontId="67" fillId="33" borderId="0" xfId="0" applyFont="1" applyFill="1"/>
    <xf numFmtId="0" fontId="54" fillId="52" borderId="25" xfId="0" applyFont="1" applyFill="1" applyBorder="1" applyAlignment="1">
      <alignment wrapText="1"/>
    </xf>
    <xf numFmtId="0" fontId="54" fillId="52" borderId="16" xfId="0" applyFont="1" applyFill="1" applyBorder="1" applyAlignment="1">
      <alignment vertical="center"/>
    </xf>
    <xf numFmtId="0" fontId="54" fillId="52" borderId="17" xfId="0" applyFont="1" applyFill="1" applyBorder="1" applyAlignment="1">
      <alignment horizontal="center" vertical="center" wrapText="1"/>
    </xf>
    <xf numFmtId="0" fontId="54" fillId="52" borderId="17" xfId="0" applyFont="1" applyFill="1" applyBorder="1" applyAlignment="1">
      <alignment horizontal="left" vertical="center" wrapText="1"/>
    </xf>
    <xf numFmtId="0" fontId="72" fillId="52" borderId="22" xfId="0" applyFont="1" applyFill="1" applyBorder="1" applyAlignment="1">
      <alignment horizontal="center" vertical="center" wrapText="1"/>
    </xf>
    <xf numFmtId="10" fontId="54" fillId="52" borderId="22" xfId="83" applyNumberFormat="1" applyFont="1" applyFill="1" applyBorder="1" applyAlignment="1" applyProtection="1">
      <alignment horizontal="center" vertical="center" wrapText="1"/>
    </xf>
    <xf numFmtId="0" fontId="73" fillId="35" borderId="0" xfId="0" applyFont="1" applyFill="1"/>
    <xf numFmtId="0" fontId="73" fillId="35" borderId="19" xfId="0" applyFont="1" applyFill="1" applyBorder="1"/>
    <xf numFmtId="0" fontId="74" fillId="35" borderId="0" xfId="0" applyFont="1" applyFill="1"/>
    <xf numFmtId="171" fontId="67" fillId="35" borderId="0" xfId="0" applyNumberFormat="1" applyFont="1" applyFill="1" applyAlignment="1">
      <alignment wrapText="1"/>
    </xf>
    <xf numFmtId="171" fontId="67" fillId="35" borderId="0" xfId="0" applyNumberFormat="1" applyFont="1" applyFill="1"/>
    <xf numFmtId="0" fontId="74" fillId="35" borderId="22" xfId="0" applyFont="1" applyFill="1" applyBorder="1"/>
    <xf numFmtId="0" fontId="54" fillId="33" borderId="22" xfId="0" quotePrefix="1" applyFont="1" applyFill="1" applyBorder="1" applyAlignment="1">
      <alignment horizontal="center"/>
    </xf>
    <xf numFmtId="0" fontId="59" fillId="33" borderId="22" xfId="0" applyFont="1" applyFill="1" applyBorder="1"/>
    <xf numFmtId="0" fontId="54" fillId="33" borderId="22" xfId="0" applyFont="1" applyFill="1" applyBorder="1" applyAlignment="1">
      <alignment horizontal="center"/>
    </xf>
    <xf numFmtId="0" fontId="54" fillId="52" borderId="21" xfId="0" applyFont="1" applyFill="1" applyBorder="1" applyAlignment="1">
      <alignment horizontal="left"/>
    </xf>
    <xf numFmtId="0" fontId="59" fillId="52" borderId="24" xfId="0" applyFont="1" applyFill="1" applyBorder="1" applyAlignment="1">
      <alignment horizontal="center"/>
    </xf>
    <xf numFmtId="0" fontId="54" fillId="52" borderId="24" xfId="0" quotePrefix="1" applyFont="1" applyFill="1" applyBorder="1" applyAlignment="1">
      <alignment horizontal="center"/>
    </xf>
    <xf numFmtId="0" fontId="59" fillId="52" borderId="23" xfId="0" applyFont="1" applyFill="1" applyBorder="1" applyAlignment="1">
      <alignment horizontal="center"/>
    </xf>
    <xf numFmtId="0" fontId="49" fillId="35" borderId="19" xfId="0" applyFont="1" applyFill="1" applyBorder="1" applyAlignment="1">
      <alignment horizontal="left"/>
    </xf>
    <xf numFmtId="0" fontId="54" fillId="52" borderId="42" xfId="0" applyFont="1" applyFill="1" applyBorder="1" applyAlignment="1">
      <alignment horizontal="center"/>
    </xf>
    <xf numFmtId="0" fontId="54" fillId="52" borderId="42" xfId="0" applyFont="1" applyFill="1" applyBorder="1" applyAlignment="1">
      <alignment horizontal="center" vertical="center" wrapText="1"/>
    </xf>
    <xf numFmtId="0" fontId="73" fillId="35" borderId="22" xfId="0" applyFont="1" applyFill="1" applyBorder="1"/>
    <xf numFmtId="10" fontId="49" fillId="35" borderId="0" xfId="0" applyNumberFormat="1" applyFont="1" applyFill="1"/>
    <xf numFmtId="0" fontId="58" fillId="35" borderId="0" xfId="0" applyFont="1" applyFill="1"/>
    <xf numFmtId="0" fontId="54" fillId="33" borderId="0" xfId="32" applyFont="1" applyFill="1" applyBorder="1" applyAlignment="1" applyProtection="1">
      <alignment horizontal="center"/>
    </xf>
    <xf numFmtId="0" fontId="54" fillId="52" borderId="21" xfId="0" applyFont="1" applyFill="1" applyBorder="1" applyAlignment="1">
      <alignment horizontal="left" vertical="center"/>
    </xf>
    <xf numFmtId="0" fontId="54" fillId="52" borderId="24" xfId="0" applyFont="1" applyFill="1" applyBorder="1" applyAlignment="1">
      <alignment horizontal="left" vertical="center"/>
    </xf>
    <xf numFmtId="0" fontId="54" fillId="52" borderId="38" xfId="0" applyFont="1" applyFill="1" applyBorder="1" applyAlignment="1">
      <alignment horizontal="center"/>
    </xf>
    <xf numFmtId="0" fontId="54" fillId="35" borderId="0" xfId="0" applyFont="1" applyFill="1" applyAlignment="1">
      <alignment horizontal="center"/>
    </xf>
    <xf numFmtId="0" fontId="51" fillId="35" borderId="0" xfId="0" applyFont="1" applyFill="1"/>
    <xf numFmtId="171" fontId="48" fillId="35" borderId="0" xfId="83" applyNumberFormat="1" applyFont="1" applyFill="1" applyBorder="1" applyAlignment="1" applyProtection="1">
      <alignment horizontal="center"/>
    </xf>
    <xf numFmtId="0" fontId="65" fillId="33" borderId="0" xfId="0" applyFont="1" applyFill="1" applyAlignment="1">
      <alignment vertical="center"/>
    </xf>
    <xf numFmtId="0" fontId="54" fillId="52" borderId="0" xfId="0" applyFont="1" applyFill="1" applyAlignment="1">
      <alignment horizontal="left" vertical="center"/>
    </xf>
    <xf numFmtId="0" fontId="48" fillId="43" borderId="0" xfId="0" applyFont="1" applyFill="1"/>
    <xf numFmtId="167" fontId="48" fillId="43" borderId="0" xfId="79" applyNumberFormat="1" applyFont="1" applyFill="1" applyBorder="1" applyProtection="1"/>
    <xf numFmtId="9" fontId="48" fillId="35" borderId="0" xfId="83" applyFont="1" applyFill="1" applyBorder="1" applyAlignment="1" applyProtection="1">
      <alignment horizontal="center"/>
    </xf>
    <xf numFmtId="167" fontId="48" fillId="35" borderId="0" xfId="79" applyNumberFormat="1" applyFont="1" applyFill="1" applyBorder="1" applyProtection="1"/>
    <xf numFmtId="0" fontId="48" fillId="52" borderId="23" xfId="0" applyFont="1" applyFill="1" applyBorder="1"/>
    <xf numFmtId="0" fontId="54" fillId="52" borderId="39" xfId="0" applyFont="1" applyFill="1" applyBorder="1" applyAlignment="1">
      <alignment horizontal="center"/>
    </xf>
    <xf numFmtId="0" fontId="54" fillId="52" borderId="25" xfId="0" quotePrefix="1" applyFont="1" applyFill="1" applyBorder="1" applyAlignment="1">
      <alignment horizontal="center" wrapText="1"/>
    </xf>
    <xf numFmtId="10" fontId="48" fillId="33" borderId="0" xfId="83" applyNumberFormat="1" applyFont="1" applyFill="1" applyBorder="1" applyProtection="1"/>
    <xf numFmtId="167" fontId="48" fillId="33" borderId="0" xfId="79" applyNumberFormat="1" applyFont="1" applyFill="1" applyBorder="1" applyProtection="1"/>
    <xf numFmtId="0" fontId="76" fillId="35" borderId="19" xfId="32" applyFont="1" applyFill="1" applyBorder="1" applyAlignment="1" applyProtection="1">
      <alignment horizontal="left" indent="1"/>
    </xf>
    <xf numFmtId="0" fontId="48" fillId="33" borderId="22" xfId="0" applyFont="1" applyFill="1" applyBorder="1"/>
    <xf numFmtId="0" fontId="49" fillId="35" borderId="19" xfId="0" applyFont="1" applyFill="1" applyBorder="1" applyAlignment="1">
      <alignment horizontal="left" indent="1"/>
    </xf>
    <xf numFmtId="1" fontId="48" fillId="35" borderId="13" xfId="0" applyNumberFormat="1" applyFont="1" applyFill="1" applyBorder="1" applyAlignment="1">
      <alignment horizontal="center"/>
    </xf>
    <xf numFmtId="0" fontId="54" fillId="34" borderId="15" xfId="0" applyFont="1" applyFill="1" applyBorder="1" applyAlignment="1">
      <alignment horizontal="left" vertical="center"/>
    </xf>
    <xf numFmtId="0" fontId="59" fillId="34" borderId="25" xfId="0" applyFont="1" applyFill="1" applyBorder="1"/>
    <xf numFmtId="0" fontId="54" fillId="34" borderId="39" xfId="0" applyFont="1" applyFill="1" applyBorder="1" applyAlignment="1">
      <alignment horizontal="center"/>
    </xf>
    <xf numFmtId="0" fontId="54" fillId="34" borderId="25" xfId="0" applyFont="1" applyFill="1" applyBorder="1" applyAlignment="1">
      <alignment horizontal="center"/>
    </xf>
    <xf numFmtId="0" fontId="59" fillId="34" borderId="16" xfId="0" applyFont="1" applyFill="1" applyBorder="1"/>
    <xf numFmtId="0" fontId="54" fillId="52" borderId="23" xfId="0" applyFont="1" applyFill="1" applyBorder="1" applyAlignment="1">
      <alignment horizontal="center"/>
    </xf>
    <xf numFmtId="0" fontId="68" fillId="35" borderId="19" xfId="0" applyFont="1" applyFill="1" applyBorder="1" applyAlignment="1">
      <alignment horizontal="left" indent="1"/>
    </xf>
    <xf numFmtId="0" fontId="54" fillId="34" borderId="25" xfId="0" quotePrefix="1" applyFont="1" applyFill="1" applyBorder="1" applyAlignment="1">
      <alignment horizontal="center" wrapText="1"/>
    </xf>
    <xf numFmtId="0" fontId="48" fillId="33" borderId="22" xfId="0" applyFont="1" applyFill="1" applyBorder="1" applyAlignment="1">
      <alignment horizontal="center" vertical="center"/>
    </xf>
    <xf numFmtId="168" fontId="48" fillId="44" borderId="0" xfId="83" applyNumberFormat="1" applyFont="1" applyFill="1" applyBorder="1" applyAlignment="1" applyProtection="1">
      <alignment horizontal="center"/>
    </xf>
    <xf numFmtId="0" fontId="48" fillId="52" borderId="24" xfId="0" applyFont="1" applyFill="1" applyBorder="1"/>
    <xf numFmtId="0" fontId="48" fillId="44" borderId="25" xfId="0" applyFont="1" applyFill="1" applyBorder="1"/>
    <xf numFmtId="0" fontId="48" fillId="44" borderId="0" xfId="0" applyFont="1" applyFill="1"/>
    <xf numFmtId="164" fontId="48" fillId="44" borderId="0" xfId="79" applyFont="1" applyFill="1" applyBorder="1" applyAlignment="1" applyProtection="1">
      <alignment horizontal="center"/>
    </xf>
    <xf numFmtId="0" fontId="48" fillId="44" borderId="22" xfId="0" applyFont="1" applyFill="1" applyBorder="1"/>
    <xf numFmtId="167" fontId="48" fillId="33" borderId="0" xfId="83" applyNumberFormat="1" applyFont="1" applyFill="1" applyBorder="1" applyAlignment="1" applyProtection="1">
      <alignment horizontal="center"/>
    </xf>
    <xf numFmtId="168" fontId="48" fillId="33" borderId="0" xfId="83" applyNumberFormat="1" applyFont="1" applyFill="1" applyBorder="1" applyAlignment="1" applyProtection="1">
      <alignment horizontal="center"/>
    </xf>
    <xf numFmtId="0" fontId="48" fillId="35" borderId="21" xfId="0" applyFont="1" applyFill="1" applyBorder="1"/>
    <xf numFmtId="0" fontId="48" fillId="35" borderId="24" xfId="0" applyFont="1" applyFill="1" applyBorder="1"/>
    <xf numFmtId="0" fontId="54" fillId="34" borderId="21" xfId="0" applyFont="1" applyFill="1" applyBorder="1"/>
    <xf numFmtId="0" fontId="54" fillId="34" borderId="24" xfId="0" applyFont="1" applyFill="1" applyBorder="1"/>
    <xf numFmtId="0" fontId="54" fillId="34" borderId="24" xfId="0" quotePrefix="1" applyFont="1" applyFill="1" applyBorder="1" applyAlignment="1">
      <alignment horizontal="center" wrapText="1"/>
    </xf>
    <xf numFmtId="0" fontId="59" fillId="34" borderId="23" xfId="0" applyFont="1" applyFill="1" applyBorder="1"/>
    <xf numFmtId="171" fontId="48" fillId="45" borderId="27" xfId="79" applyNumberFormat="1" applyFont="1" applyFill="1" applyBorder="1" applyProtection="1"/>
    <xf numFmtId="0" fontId="51" fillId="35" borderId="19" xfId="32" applyFont="1" applyFill="1" applyBorder="1" applyAlignment="1" applyProtection="1">
      <alignment horizontal="left" indent="1"/>
    </xf>
    <xf numFmtId="0" fontId="48" fillId="35" borderId="19" xfId="32" applyFont="1" applyFill="1" applyBorder="1" applyAlignment="1" applyProtection="1">
      <alignment horizontal="left" indent="1"/>
    </xf>
    <xf numFmtId="10" fontId="58" fillId="45" borderId="27" xfId="83" applyNumberFormat="1" applyFont="1" applyFill="1" applyBorder="1" applyProtection="1"/>
    <xf numFmtId="0" fontId="58" fillId="33" borderId="0" xfId="0" applyFont="1" applyFill="1" applyAlignment="1">
      <alignment horizontal="center"/>
    </xf>
    <xf numFmtId="167" fontId="48" fillId="35" borderId="22" xfId="79" applyNumberFormat="1" applyFont="1" applyFill="1" applyBorder="1" applyProtection="1"/>
    <xf numFmtId="0" fontId="48" fillId="35" borderId="0" xfId="0" applyFont="1" applyFill="1" applyAlignment="1">
      <alignment vertical="top"/>
    </xf>
    <xf numFmtId="0" fontId="48" fillId="0" borderId="0" xfId="0" applyFont="1" applyAlignment="1">
      <alignment vertical="center"/>
    </xf>
    <xf numFmtId="0" fontId="48" fillId="51" borderId="0" xfId="0" applyFont="1" applyFill="1" applyAlignment="1">
      <alignment vertical="center" wrapText="1"/>
    </xf>
    <xf numFmtId="0" fontId="48" fillId="53" borderId="28" xfId="0" applyFont="1" applyFill="1" applyBorder="1" applyAlignment="1" applyProtection="1">
      <alignment horizontal="left" vertical="top" wrapText="1"/>
      <protection locked="0"/>
    </xf>
    <xf numFmtId="0" fontId="48" fillId="53" borderId="29" xfId="0" applyFont="1" applyFill="1" applyBorder="1" applyAlignment="1" applyProtection="1">
      <alignment horizontal="left" vertical="top" wrapText="1"/>
      <protection locked="0"/>
    </xf>
    <xf numFmtId="0" fontId="48" fillId="53" borderId="30" xfId="0" applyFont="1" applyFill="1" applyBorder="1" applyAlignment="1" applyProtection="1">
      <alignment horizontal="left" vertical="top" wrapText="1"/>
      <protection locked="0"/>
    </xf>
    <xf numFmtId="0" fontId="48" fillId="53" borderId="58" xfId="0" applyFont="1" applyFill="1" applyBorder="1" applyAlignment="1" applyProtection="1">
      <alignment horizontal="left" vertical="top" wrapText="1"/>
      <protection locked="0"/>
    </xf>
    <xf numFmtId="0" fontId="55" fillId="33" borderId="0" xfId="0" applyFont="1" applyFill="1"/>
    <xf numFmtId="0" fontId="57" fillId="0" borderId="0" xfId="1" applyFont="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33" borderId="0" xfId="0" applyFill="1" applyAlignment="1" applyProtection="1">
      <alignment vertical="center"/>
      <protection hidden="1"/>
    </xf>
    <xf numFmtId="0" fontId="0" fillId="33" borderId="0" xfId="0" applyFill="1" applyAlignment="1" applyProtection="1">
      <alignment horizontal="left" vertical="center"/>
      <protection hidden="1"/>
    </xf>
    <xf numFmtId="0" fontId="48" fillId="0" borderId="0" xfId="0" applyFont="1" applyAlignment="1" applyProtection="1">
      <alignment vertical="center"/>
      <protection hidden="1"/>
    </xf>
    <xf numFmtId="0" fontId="48" fillId="0" borderId="0" xfId="0" applyFont="1" applyAlignment="1" applyProtection="1">
      <alignment horizontal="center" vertical="center"/>
      <protection hidden="1"/>
    </xf>
    <xf numFmtId="0" fontId="54" fillId="33" borderId="0" xfId="0" applyFont="1" applyFill="1" applyAlignment="1">
      <alignment horizontal="center" wrapText="1"/>
    </xf>
    <xf numFmtId="0" fontId="57" fillId="33" borderId="0" xfId="1" applyFont="1" applyFill="1" applyAlignment="1" applyProtection="1">
      <alignment horizontal="center" vertical="center"/>
      <protection hidden="1"/>
    </xf>
    <xf numFmtId="0" fontId="48" fillId="0" borderId="0" xfId="1" applyFont="1" applyAlignment="1" applyProtection="1">
      <alignment horizontal="center" vertical="center"/>
      <protection hidden="1"/>
    </xf>
    <xf numFmtId="168" fontId="58" fillId="45" borderId="27" xfId="79" applyNumberFormat="1" applyFont="1" applyFill="1" applyBorder="1" applyAlignment="1" applyProtection="1">
      <alignment horizontal="center"/>
    </xf>
    <xf numFmtId="0" fontId="55" fillId="33" borderId="0" xfId="0" applyFont="1" applyFill="1" applyAlignment="1">
      <alignment horizontal="left"/>
    </xf>
    <xf numFmtId="0" fontId="48" fillId="53" borderId="23" xfId="88" applyFont="1" applyFill="1" applyBorder="1" applyAlignment="1" applyProtection="1">
      <alignment horizontal="center" vertical="center"/>
      <protection locked="0"/>
    </xf>
    <xf numFmtId="0" fontId="49" fillId="33" borderId="0" xfId="0" applyFont="1" applyFill="1" applyAlignment="1">
      <alignment horizontal="left" vertical="center" wrapText="1"/>
    </xf>
    <xf numFmtId="0" fontId="54" fillId="52" borderId="25" xfId="0" applyFont="1" applyFill="1" applyBorder="1" applyAlignment="1">
      <alignment horizontal="center" vertical="center"/>
    </xf>
    <xf numFmtId="0" fontId="54" fillId="52" borderId="0" xfId="0" applyFont="1" applyFill="1" applyAlignment="1">
      <alignment horizontal="center" vertical="center"/>
    </xf>
    <xf numFmtId="0" fontId="54" fillId="52" borderId="25" xfId="0" applyFont="1" applyFill="1" applyBorder="1" applyAlignment="1">
      <alignment horizontal="center" vertical="center" wrapText="1"/>
    </xf>
    <xf numFmtId="0" fontId="54" fillId="52" borderId="16" xfId="0" applyFont="1" applyFill="1" applyBorder="1" applyAlignment="1">
      <alignment horizontal="center" vertical="center" wrapText="1"/>
    </xf>
    <xf numFmtId="0" fontId="54" fillId="52" borderId="22" xfId="0" applyFont="1" applyFill="1" applyBorder="1" applyAlignment="1">
      <alignment horizontal="center" vertical="center"/>
    </xf>
    <xf numFmtId="0" fontId="54" fillId="52" borderId="15" xfId="0" applyFont="1" applyFill="1" applyBorder="1" applyAlignment="1">
      <alignment horizontal="left" vertical="center"/>
    </xf>
    <xf numFmtId="0" fontId="54" fillId="52" borderId="17" xfId="0" applyFont="1" applyFill="1" applyBorder="1" applyAlignment="1">
      <alignment horizontal="left" vertical="center"/>
    </xf>
    <xf numFmtId="0" fontId="59" fillId="52" borderId="0" xfId="0" applyFont="1" applyFill="1" applyAlignment="1">
      <alignment horizontal="center" vertical="center"/>
    </xf>
    <xf numFmtId="0" fontId="59" fillId="52" borderId="16" xfId="0" applyFont="1" applyFill="1" applyBorder="1" applyAlignment="1">
      <alignment horizontal="center"/>
    </xf>
    <xf numFmtId="0" fontId="54" fillId="52" borderId="19" xfId="0" applyFont="1" applyFill="1" applyBorder="1" applyAlignment="1">
      <alignment horizontal="left" vertical="center"/>
    </xf>
    <xf numFmtId="0" fontId="59" fillId="52" borderId="25" xfId="0" applyFont="1" applyFill="1" applyBorder="1" applyAlignment="1">
      <alignment horizontal="center"/>
    </xf>
    <xf numFmtId="0" fontId="59" fillId="52" borderId="0" xfId="0" applyFont="1" applyFill="1" applyAlignment="1">
      <alignment horizontal="center"/>
    </xf>
    <xf numFmtId="171" fontId="54" fillId="52" borderId="25" xfId="0" applyNumberFormat="1" applyFont="1" applyFill="1" applyBorder="1" applyAlignment="1">
      <alignment horizontal="center" vertical="center"/>
    </xf>
    <xf numFmtId="0" fontId="48" fillId="35" borderId="0" xfId="0" applyFont="1" applyFill="1" applyAlignment="1">
      <alignment horizontal="left"/>
    </xf>
    <xf numFmtId="0" fontId="54" fillId="52" borderId="25" xfId="0" applyFont="1" applyFill="1" applyBorder="1" applyAlignment="1">
      <alignment horizontal="left" vertical="center"/>
    </xf>
    <xf numFmtId="0" fontId="59" fillId="52" borderId="22" xfId="0" applyFont="1" applyFill="1" applyBorder="1" applyAlignment="1">
      <alignment horizontal="center" vertical="center"/>
    </xf>
    <xf numFmtId="0" fontId="59" fillId="52" borderId="22" xfId="0" applyFont="1" applyFill="1" applyBorder="1" applyAlignment="1">
      <alignment horizontal="center"/>
    </xf>
    <xf numFmtId="0" fontId="59" fillId="52" borderId="18" xfId="0" applyFont="1" applyFill="1" applyBorder="1" applyAlignment="1">
      <alignment horizontal="center"/>
    </xf>
    <xf numFmtId="0" fontId="54" fillId="52" borderId="25" xfId="0" applyFont="1" applyFill="1" applyBorder="1" applyAlignment="1">
      <alignment horizontal="center"/>
    </xf>
    <xf numFmtId="0" fontId="54" fillId="52" borderId="24" xfId="0" applyFont="1" applyFill="1" applyBorder="1" applyAlignment="1">
      <alignment horizontal="center" wrapText="1"/>
    </xf>
    <xf numFmtId="0" fontId="86" fillId="52" borderId="0" xfId="0" applyFont="1" applyFill="1" applyAlignment="1">
      <alignment horizontal="center" wrapText="1"/>
    </xf>
    <xf numFmtId="165" fontId="58" fillId="33" borderId="0" xfId="83" applyNumberFormat="1" applyFont="1" applyFill="1" applyBorder="1" applyProtection="1"/>
    <xf numFmtId="0" fontId="54" fillId="33" borderId="0" xfId="0" applyFont="1" applyFill="1" applyAlignment="1">
      <alignment horizontal="left"/>
    </xf>
    <xf numFmtId="170" fontId="48" fillId="35" borderId="0" xfId="84" applyNumberFormat="1" applyFont="1" applyFill="1" applyBorder="1" applyAlignment="1" applyProtection="1">
      <alignment wrapText="1"/>
    </xf>
    <xf numFmtId="170" fontId="51" fillId="35" borderId="0" xfId="84" applyNumberFormat="1" applyFont="1" applyFill="1" applyBorder="1" applyAlignment="1" applyProtection="1">
      <alignment wrapText="1"/>
    </xf>
    <xf numFmtId="14" fontId="59" fillId="33" borderId="0" xfId="0" applyNumberFormat="1" applyFont="1" applyFill="1" applyAlignment="1">
      <alignment horizontal="right" wrapText="1"/>
    </xf>
    <xf numFmtId="0" fontId="79" fillId="33" borderId="0" xfId="86" applyFont="1" applyFill="1" applyAlignment="1">
      <alignment wrapText="1"/>
    </xf>
    <xf numFmtId="0" fontId="54" fillId="52" borderId="15" xfId="0" applyFont="1" applyFill="1" applyBorder="1" applyAlignment="1">
      <alignment wrapText="1"/>
    </xf>
    <xf numFmtId="0" fontId="59" fillId="52" borderId="16" xfId="0" applyFont="1" applyFill="1" applyBorder="1" applyAlignment="1">
      <alignment wrapText="1"/>
    </xf>
    <xf numFmtId="0" fontId="54" fillId="52" borderId="17" xfId="0" applyFont="1" applyFill="1" applyBorder="1" applyAlignment="1">
      <alignment wrapText="1"/>
    </xf>
    <xf numFmtId="0" fontId="54" fillId="52" borderId="22" xfId="0" applyFont="1" applyFill="1" applyBorder="1" applyAlignment="1">
      <alignment wrapText="1"/>
    </xf>
    <xf numFmtId="0" fontId="59" fillId="52" borderId="18" xfId="0" applyFont="1" applyFill="1" applyBorder="1" applyAlignment="1">
      <alignment wrapText="1"/>
    </xf>
    <xf numFmtId="0" fontId="48" fillId="35" borderId="15" xfId="0" applyFont="1" applyFill="1" applyBorder="1" applyAlignment="1">
      <alignment wrapText="1"/>
    </xf>
    <xf numFmtId="0" fontId="58" fillId="35" borderId="25" xfId="0" applyFont="1" applyFill="1" applyBorder="1" applyAlignment="1">
      <alignment wrapText="1"/>
    </xf>
    <xf numFmtId="0" fontId="48" fillId="35" borderId="25" xfId="0" applyFont="1" applyFill="1" applyBorder="1" applyAlignment="1">
      <alignment wrapText="1"/>
    </xf>
    <xf numFmtId="0" fontId="48" fillId="35" borderId="16" xfId="0" applyFont="1" applyFill="1" applyBorder="1" applyAlignment="1">
      <alignment wrapText="1"/>
    </xf>
    <xf numFmtId="0" fontId="48" fillId="35" borderId="19" xfId="0" applyFont="1" applyFill="1" applyBorder="1" applyAlignment="1">
      <alignment horizontal="left" wrapText="1"/>
    </xf>
    <xf numFmtId="0" fontId="48" fillId="35" borderId="0" xfId="0" applyFont="1" applyFill="1" applyAlignment="1">
      <alignment horizontal="left" wrapText="1"/>
    </xf>
    <xf numFmtId="0" fontId="48" fillId="35" borderId="0" xfId="0" applyFont="1" applyFill="1" applyAlignment="1">
      <alignment wrapText="1"/>
    </xf>
    <xf numFmtId="0" fontId="48" fillId="35" borderId="20" xfId="0" applyFont="1" applyFill="1" applyBorder="1" applyAlignment="1">
      <alignment wrapText="1"/>
    </xf>
    <xf numFmtId="0" fontId="80" fillId="33" borderId="0" xfId="86" applyFont="1" applyFill="1" applyAlignment="1">
      <alignment wrapText="1"/>
    </xf>
    <xf numFmtId="0" fontId="51" fillId="35" borderId="0" xfId="0" applyFont="1" applyFill="1" applyAlignment="1">
      <alignment horizontal="left" wrapText="1"/>
    </xf>
    <xf numFmtId="0" fontId="51" fillId="35" borderId="0" xfId="0" applyFont="1" applyFill="1" applyAlignment="1">
      <alignment wrapText="1"/>
    </xf>
    <xf numFmtId="0" fontId="51" fillId="35" borderId="20" xfId="0" applyFont="1" applyFill="1" applyBorder="1" applyAlignment="1">
      <alignment wrapText="1"/>
    </xf>
    <xf numFmtId="0" fontId="58" fillId="35" borderId="0" xfId="0" applyFont="1" applyFill="1" applyAlignment="1">
      <alignment wrapText="1"/>
    </xf>
    <xf numFmtId="9" fontId="48" fillId="35" borderId="0" xfId="87" applyFont="1" applyFill="1" applyBorder="1" applyAlignment="1" applyProtection="1">
      <alignment wrapText="1"/>
    </xf>
    <xf numFmtId="167" fontId="48" fillId="35" borderId="0" xfId="84" applyNumberFormat="1" applyFont="1" applyFill="1" applyBorder="1" applyAlignment="1" applyProtection="1">
      <alignment wrapText="1"/>
    </xf>
    <xf numFmtId="0" fontId="58" fillId="35" borderId="0" xfId="0" applyFont="1" applyFill="1" applyAlignment="1">
      <alignment horizontal="left" wrapText="1"/>
    </xf>
    <xf numFmtId="0" fontId="48" fillId="35" borderId="22" xfId="0" applyFont="1" applyFill="1" applyBorder="1" applyAlignment="1">
      <alignment wrapText="1"/>
    </xf>
    <xf numFmtId="0" fontId="48" fillId="35" borderId="18" xfId="0" applyFont="1" applyFill="1" applyBorder="1" applyAlignment="1">
      <alignment wrapText="1"/>
    </xf>
    <xf numFmtId="0" fontId="49" fillId="33" borderId="0" xfId="86" applyFont="1" applyFill="1" applyAlignment="1">
      <alignment wrapText="1"/>
    </xf>
    <xf numFmtId="0" fontId="51" fillId="35" borderId="19" xfId="0" applyFont="1" applyFill="1" applyBorder="1" applyAlignment="1">
      <alignment wrapText="1"/>
    </xf>
    <xf numFmtId="0" fontId="50" fillId="35" borderId="0" xfId="0" applyFont="1" applyFill="1" applyAlignment="1">
      <alignment wrapText="1"/>
    </xf>
    <xf numFmtId="0" fontId="48" fillId="0" borderId="60" xfId="88" applyFont="1" applyBorder="1" applyAlignment="1">
      <alignment vertical="center"/>
    </xf>
    <xf numFmtId="0" fontId="48" fillId="33" borderId="14" xfId="88" applyFont="1" applyFill="1" applyBorder="1" applyAlignment="1">
      <alignment vertical="center"/>
    </xf>
    <xf numFmtId="0" fontId="48" fillId="33" borderId="26" xfId="88" applyFont="1" applyFill="1" applyBorder="1" applyAlignment="1">
      <alignment vertical="center"/>
    </xf>
    <xf numFmtId="0" fontId="48" fillId="33" borderId="54" xfId="88" applyFont="1" applyFill="1" applyBorder="1" applyAlignment="1">
      <alignment vertical="center"/>
    </xf>
    <xf numFmtId="0" fontId="49" fillId="0" borderId="60" xfId="88" applyFont="1" applyBorder="1" applyAlignment="1">
      <alignment horizontal="left" vertical="center" wrapText="1"/>
    </xf>
    <xf numFmtId="0" fontId="56" fillId="33" borderId="0" xfId="0" applyFont="1" applyFill="1"/>
    <xf numFmtId="0" fontId="49" fillId="33" borderId="0" xfId="0" applyFont="1" applyFill="1"/>
    <xf numFmtId="14" fontId="49" fillId="33" borderId="0" xfId="0" applyNumberFormat="1" applyFont="1" applyFill="1" applyAlignment="1">
      <alignment horizontal="right"/>
    </xf>
    <xf numFmtId="0" fontId="49" fillId="33" borderId="0" xfId="0" applyFont="1" applyFill="1" applyAlignment="1">
      <alignment horizontal="left" vertical="center"/>
    </xf>
    <xf numFmtId="165" fontId="58" fillId="33" borderId="0" xfId="0" applyNumberFormat="1" applyFont="1" applyFill="1"/>
    <xf numFmtId="0" fontId="54" fillId="34" borderId="21" xfId="0" applyFont="1" applyFill="1" applyBorder="1" applyAlignment="1">
      <alignment horizontal="center"/>
    </xf>
    <xf numFmtId="0" fontId="54" fillId="34" borderId="24" xfId="0" applyFont="1" applyFill="1" applyBorder="1" applyAlignment="1">
      <alignment horizontal="center"/>
    </xf>
    <xf numFmtId="0" fontId="54" fillId="34" borderId="23" xfId="0" applyFont="1" applyFill="1" applyBorder="1" applyAlignment="1">
      <alignment horizontal="center"/>
    </xf>
    <xf numFmtId="14" fontId="58" fillId="0" borderId="0" xfId="0" applyNumberFormat="1" applyFont="1"/>
    <xf numFmtId="0" fontId="48" fillId="33" borderId="19" xfId="0" applyFont="1" applyFill="1" applyBorder="1"/>
    <xf numFmtId="0" fontId="48" fillId="33" borderId="20" xfId="0" applyFont="1" applyFill="1" applyBorder="1"/>
    <xf numFmtId="0" fontId="48" fillId="33" borderId="19" xfId="0" applyFont="1" applyFill="1" applyBorder="1" applyAlignment="1">
      <alignment vertical="top"/>
    </xf>
    <xf numFmtId="0" fontId="48" fillId="33" borderId="0" xfId="0" applyFont="1" applyFill="1" applyAlignment="1">
      <alignment vertical="top" wrapText="1"/>
    </xf>
    <xf numFmtId="0" fontId="48" fillId="33" borderId="20" xfId="0" applyFont="1" applyFill="1" applyBorder="1" applyAlignment="1">
      <alignment vertical="top" wrapText="1"/>
    </xf>
    <xf numFmtId="0" fontId="48" fillId="33" borderId="19" xfId="0" applyFont="1" applyFill="1" applyBorder="1" applyAlignment="1">
      <alignment horizontal="left" vertical="top"/>
    </xf>
    <xf numFmtId="0" fontId="48" fillId="33" borderId="0" xfId="0" applyFont="1" applyFill="1" applyAlignment="1">
      <alignment horizontal="left" vertical="top"/>
    </xf>
    <xf numFmtId="0" fontId="48" fillId="33" borderId="0" xfId="0" applyFont="1" applyFill="1" applyAlignment="1">
      <alignment horizontal="left" vertical="top" wrapText="1"/>
    </xf>
    <xf numFmtId="0" fontId="48" fillId="33" borderId="17" xfId="0" applyFont="1" applyFill="1" applyBorder="1"/>
    <xf numFmtId="0" fontId="48" fillId="33" borderId="22" xfId="0" applyFont="1" applyFill="1" applyBorder="1" applyAlignment="1">
      <alignment horizontal="center"/>
    </xf>
    <xf numFmtId="0" fontId="48" fillId="33" borderId="22" xfId="0" applyFont="1" applyFill="1" applyBorder="1" applyAlignment="1">
      <alignment vertical="top" wrapText="1"/>
    </xf>
    <xf numFmtId="0" fontId="48" fillId="33" borderId="18" xfId="0" applyFont="1" applyFill="1" applyBorder="1"/>
    <xf numFmtId="0" fontId="58" fillId="33" borderId="0" xfId="0" applyFont="1" applyFill="1" applyAlignment="1">
      <alignment vertical="center"/>
    </xf>
    <xf numFmtId="0" fontId="61" fillId="52" borderId="59" xfId="0" applyFont="1" applyFill="1" applyBorder="1" applyAlignment="1">
      <alignment horizontal="center" vertical="center" wrapText="1"/>
    </xf>
    <xf numFmtId="0" fontId="48" fillId="0" borderId="59" xfId="0" applyFont="1" applyBorder="1" applyAlignment="1">
      <alignment vertical="center" wrapText="1"/>
    </xf>
    <xf numFmtId="171" fontId="48" fillId="42" borderId="29" xfId="79" applyNumberFormat="1" applyFont="1" applyFill="1" applyBorder="1" applyProtection="1"/>
    <xf numFmtId="0" fontId="51" fillId="33" borderId="0" xfId="0" applyFont="1" applyFill="1"/>
    <xf numFmtId="0" fontId="54" fillId="33" borderId="0" xfId="0" applyFont="1" applyFill="1" applyAlignment="1">
      <alignment vertical="center"/>
    </xf>
    <xf numFmtId="0" fontId="54" fillId="52" borderId="41" xfId="0" applyFont="1" applyFill="1" applyBorder="1"/>
    <xf numFmtId="0" fontId="59" fillId="52" borderId="42" xfId="0" applyFont="1" applyFill="1" applyBorder="1"/>
    <xf numFmtId="171" fontId="54" fillId="52" borderId="42" xfId="0" applyNumberFormat="1" applyFont="1" applyFill="1" applyBorder="1"/>
    <xf numFmtId="171" fontId="59" fillId="52" borderId="42" xfId="0" applyNumberFormat="1" applyFont="1" applyFill="1" applyBorder="1"/>
    <xf numFmtId="0" fontId="59" fillId="52" borderId="43" xfId="0" applyFont="1" applyFill="1" applyBorder="1"/>
    <xf numFmtId="164" fontId="48" fillId="33" borderId="0" xfId="0" applyNumberFormat="1" applyFont="1" applyFill="1"/>
    <xf numFmtId="0" fontId="54" fillId="52" borderId="0" xfId="0" applyFont="1" applyFill="1" applyAlignment="1">
      <alignment vertical="center"/>
    </xf>
    <xf numFmtId="0" fontId="48" fillId="33" borderId="0" xfId="0" applyFont="1" applyFill="1" applyAlignment="1">
      <alignment vertical="center" wrapText="1"/>
    </xf>
    <xf numFmtId="171" fontId="48" fillId="53" borderId="0" xfId="0" applyNumberFormat="1" applyFont="1" applyFill="1" applyProtection="1">
      <protection locked="0"/>
    </xf>
    <xf numFmtId="0" fontId="43" fillId="33" borderId="0" xfId="0" applyFont="1" applyFill="1"/>
    <xf numFmtId="171" fontId="48" fillId="43" borderId="0" xfId="79" applyNumberFormat="1" applyFont="1" applyFill="1" applyBorder="1" applyProtection="1"/>
    <xf numFmtId="0" fontId="49" fillId="36" borderId="61" xfId="0" applyFont="1" applyFill="1" applyBorder="1" applyAlignment="1">
      <alignment horizontal="center"/>
    </xf>
    <xf numFmtId="175" fontId="48" fillId="35" borderId="0" xfId="0" applyNumberFormat="1" applyFont="1" applyFill="1"/>
    <xf numFmtId="0" fontId="58" fillId="33" borderId="0" xfId="0" applyFont="1" applyFill="1" applyAlignment="1">
      <alignment horizontal="right" vertical="top"/>
    </xf>
    <xf numFmtId="0" fontId="49" fillId="33" borderId="0" xfId="85" applyFont="1" applyFill="1" applyProtection="1"/>
    <xf numFmtId="0" fontId="58" fillId="0" borderId="0" xfId="0" applyFont="1" applyAlignment="1">
      <alignment vertical="center"/>
    </xf>
    <xf numFmtId="0" fontId="54" fillId="52" borderId="16" xfId="0" applyFont="1" applyFill="1" applyBorder="1" applyAlignment="1">
      <alignment horizontal="center" vertical="center"/>
    </xf>
    <xf numFmtId="0" fontId="54" fillId="52" borderId="20" xfId="0" applyFont="1" applyFill="1" applyBorder="1" applyAlignment="1">
      <alignment horizontal="center" vertical="center"/>
    </xf>
    <xf numFmtId="0" fontId="54" fillId="52" borderId="18" xfId="0" applyFont="1" applyFill="1" applyBorder="1" applyAlignment="1">
      <alignment horizontal="center" vertical="center"/>
    </xf>
    <xf numFmtId="0" fontId="58" fillId="51" borderId="15" xfId="0" applyFont="1" applyFill="1" applyBorder="1"/>
    <xf numFmtId="0" fontId="58" fillId="51" borderId="25" xfId="0" applyFont="1" applyFill="1" applyBorder="1"/>
    <xf numFmtId="0" fontId="58" fillId="51" borderId="16" xfId="0" applyFont="1" applyFill="1" applyBorder="1"/>
    <xf numFmtId="0" fontId="58" fillId="51" borderId="19" xfId="0" applyFont="1" applyFill="1" applyBorder="1"/>
    <xf numFmtId="0" fontId="58" fillId="51" borderId="0" xfId="0" applyFont="1" applyFill="1"/>
    <xf numFmtId="0" fontId="58" fillId="51" borderId="20" xfId="0" applyFont="1" applyFill="1" applyBorder="1"/>
    <xf numFmtId="0" fontId="58" fillId="51" borderId="17" xfId="0" applyFont="1" applyFill="1" applyBorder="1"/>
    <xf numFmtId="0" fontId="58" fillId="51" borderId="22" xfId="0" applyFont="1" applyFill="1" applyBorder="1"/>
    <xf numFmtId="0" fontId="58" fillId="51" borderId="18" xfId="0" applyFont="1" applyFill="1" applyBorder="1"/>
    <xf numFmtId="0" fontId="48" fillId="51" borderId="25" xfId="0" applyFont="1" applyFill="1" applyBorder="1"/>
    <xf numFmtId="0" fontId="48" fillId="51" borderId="16" xfId="0" applyFont="1" applyFill="1" applyBorder="1"/>
    <xf numFmtId="0" fontId="48" fillId="51" borderId="0" xfId="0" applyFont="1" applyFill="1"/>
    <xf numFmtId="0" fontId="48" fillId="51" borderId="20" xfId="0" applyFont="1" applyFill="1" applyBorder="1"/>
    <xf numFmtId="0" fontId="48" fillId="51" borderId="22" xfId="0" applyFont="1" applyFill="1" applyBorder="1"/>
    <xf numFmtId="0" fontId="48" fillId="51" borderId="18" xfId="0" applyFont="1" applyFill="1" applyBorder="1"/>
    <xf numFmtId="0" fontId="58" fillId="33" borderId="0" xfId="0" applyFont="1" applyFill="1" applyAlignment="1">
      <alignment wrapText="1"/>
    </xf>
    <xf numFmtId="0" fontId="54" fillId="52" borderId="24" xfId="0" applyFont="1" applyFill="1" applyBorder="1" applyAlignment="1">
      <alignment horizontal="center" vertical="center"/>
    </xf>
    <xf numFmtId="0" fontId="48" fillId="35" borderId="20" xfId="0" applyFont="1" applyFill="1" applyBorder="1" applyAlignment="1">
      <alignment horizontal="left"/>
    </xf>
    <xf numFmtId="0" fontId="48" fillId="35" borderId="19" xfId="0" applyFont="1" applyFill="1" applyBorder="1" applyAlignment="1">
      <alignment vertical="top"/>
    </xf>
    <xf numFmtId="0" fontId="81" fillId="33" borderId="0" xfId="0" applyFont="1" applyFill="1" applyAlignment="1">
      <alignment vertical="center" wrapText="1"/>
    </xf>
    <xf numFmtId="174" fontId="48" fillId="33" borderId="0" xfId="0" applyNumberFormat="1" applyFont="1" applyFill="1"/>
    <xf numFmtId="0" fontId="81" fillId="33" borderId="0" xfId="0" applyFont="1" applyFill="1" applyAlignment="1">
      <alignment vertical="center"/>
    </xf>
    <xf numFmtId="0" fontId="48" fillId="52" borderId="25" xfId="0" applyFont="1" applyFill="1" applyBorder="1"/>
    <xf numFmtId="0" fontId="48" fillId="52" borderId="16" xfId="0" applyFont="1" applyFill="1" applyBorder="1"/>
    <xf numFmtId="0" fontId="48" fillId="52" borderId="32" xfId="0" applyFont="1" applyFill="1" applyBorder="1"/>
    <xf numFmtId="0" fontId="58" fillId="52" borderId="0" xfId="0" applyFont="1" applyFill="1"/>
    <xf numFmtId="0" fontId="48" fillId="52" borderId="20" xfId="0" applyFont="1" applyFill="1" applyBorder="1"/>
    <xf numFmtId="0" fontId="54" fillId="52" borderId="33" xfId="0" applyFont="1" applyFill="1" applyBorder="1" applyAlignment="1">
      <alignment horizontal="center" vertical="center"/>
    </xf>
    <xf numFmtId="0" fontId="54" fillId="52" borderId="0" xfId="0" applyFont="1" applyFill="1" applyAlignment="1">
      <alignment wrapText="1"/>
    </xf>
    <xf numFmtId="0" fontId="54" fillId="52" borderId="0" xfId="0" applyFont="1" applyFill="1" applyAlignment="1">
      <alignment horizontal="center" vertical="top" wrapText="1"/>
    </xf>
    <xf numFmtId="0" fontId="54" fillId="52" borderId="20" xfId="0" applyFont="1" applyFill="1" applyBorder="1" applyAlignment="1">
      <alignment horizontal="center" vertical="top" wrapText="1"/>
    </xf>
    <xf numFmtId="0" fontId="54" fillId="52" borderId="33" xfId="0" applyFont="1" applyFill="1" applyBorder="1" applyAlignment="1">
      <alignment horizontal="center" vertical="top" wrapText="1"/>
    </xf>
    <xf numFmtId="0" fontId="54" fillId="51" borderId="0" xfId="0" applyFont="1" applyFill="1" applyAlignment="1">
      <alignment wrapText="1"/>
    </xf>
    <xf numFmtId="0" fontId="54" fillId="51" borderId="0" xfId="0" quotePrefix="1" applyFont="1" applyFill="1" applyAlignment="1">
      <alignment horizontal="center" wrapText="1"/>
    </xf>
    <xf numFmtId="0" fontId="54" fillId="51" borderId="20" xfId="0" quotePrefix="1" applyFont="1" applyFill="1" applyBorder="1" applyAlignment="1">
      <alignment horizontal="center" wrapText="1"/>
    </xf>
    <xf numFmtId="0" fontId="48" fillId="52" borderId="34" xfId="0" applyFont="1" applyFill="1" applyBorder="1"/>
    <xf numFmtId="175" fontId="48" fillId="51" borderId="0" xfId="0" applyNumberFormat="1" applyFont="1" applyFill="1"/>
    <xf numFmtId="0" fontId="48" fillId="51" borderId="22" xfId="0" applyFont="1" applyFill="1" applyBorder="1" applyAlignment="1">
      <alignment vertical="center"/>
    </xf>
    <xf numFmtId="0" fontId="48" fillId="51" borderId="18" xfId="0" applyFont="1" applyFill="1" applyBorder="1" applyAlignment="1">
      <alignment vertical="center"/>
    </xf>
    <xf numFmtId="0" fontId="48" fillId="33" borderId="0" xfId="0" applyFont="1" applyFill="1" applyAlignment="1">
      <alignment horizontal="left" vertical="center"/>
    </xf>
    <xf numFmtId="174" fontId="48" fillId="33" borderId="0" xfId="0" applyNumberFormat="1" applyFont="1" applyFill="1" applyAlignment="1">
      <alignment horizontal="center" wrapText="1"/>
    </xf>
    <xf numFmtId="0" fontId="59" fillId="52" borderId="25" xfId="0" applyFont="1" applyFill="1" applyBorder="1" applyAlignment="1">
      <alignment horizontal="left" vertical="center"/>
    </xf>
    <xf numFmtId="0" fontId="59" fillId="52" borderId="16" xfId="0" applyFont="1" applyFill="1" applyBorder="1" applyAlignment="1">
      <alignment horizontal="left" vertical="center"/>
    </xf>
    <xf numFmtId="0" fontId="59" fillId="52" borderId="0" xfId="0" applyFont="1" applyFill="1" applyAlignment="1">
      <alignment horizontal="left" vertical="center"/>
    </xf>
    <xf numFmtId="0" fontId="59" fillId="52" borderId="20" xfId="0" applyFont="1" applyFill="1" applyBorder="1" applyAlignment="1">
      <alignment horizontal="left" vertical="center"/>
    </xf>
    <xf numFmtId="0" fontId="54" fillId="52" borderId="19" xfId="0" applyFont="1" applyFill="1" applyBorder="1" applyAlignment="1">
      <alignment wrapText="1"/>
    </xf>
    <xf numFmtId="0" fontId="54" fillId="51" borderId="19" xfId="0" applyFont="1" applyFill="1" applyBorder="1" applyAlignment="1">
      <alignment wrapText="1"/>
    </xf>
    <xf numFmtId="174" fontId="56" fillId="51" borderId="19" xfId="0" applyNumberFormat="1" applyFont="1" applyFill="1" applyBorder="1"/>
    <xf numFmtId="174" fontId="56" fillId="51" borderId="0" xfId="0" applyNumberFormat="1" applyFont="1" applyFill="1"/>
    <xf numFmtId="175" fontId="48" fillId="51" borderId="0" xfId="0" applyNumberFormat="1" applyFont="1" applyFill="1" applyAlignment="1">
      <alignment horizontal="right"/>
    </xf>
    <xf numFmtId="0" fontId="48" fillId="51" borderId="17" xfId="0" applyFont="1" applyFill="1" applyBorder="1" applyAlignment="1">
      <alignment vertical="center"/>
    </xf>
    <xf numFmtId="0" fontId="48" fillId="51" borderId="22" xfId="0" applyFont="1" applyFill="1" applyBorder="1" applyAlignment="1">
      <alignment horizontal="center" vertical="center"/>
    </xf>
    <xf numFmtId="0" fontId="48" fillId="51" borderId="13" xfId="0" applyFont="1" applyFill="1" applyBorder="1" applyAlignment="1">
      <alignment vertical="center"/>
    </xf>
    <xf numFmtId="0" fontId="48" fillId="51" borderId="0" xfId="0" applyFont="1" applyFill="1" applyAlignment="1">
      <alignment vertical="center"/>
    </xf>
    <xf numFmtId="0" fontId="48" fillId="51" borderId="53" xfId="0" applyFont="1" applyFill="1" applyBorder="1" applyAlignment="1">
      <alignment vertical="center"/>
    </xf>
    <xf numFmtId="0" fontId="48" fillId="51" borderId="0" xfId="0" applyFont="1" applyFill="1" applyAlignment="1">
      <alignment horizontal="left" vertical="top" wrapText="1"/>
    </xf>
    <xf numFmtId="0" fontId="48" fillId="51" borderId="14" xfId="0" applyFont="1" applyFill="1" applyBorder="1" applyAlignment="1">
      <alignment vertical="center"/>
    </xf>
    <xf numFmtId="0" fontId="48" fillId="51" borderId="26" xfId="0" applyFont="1" applyFill="1" applyBorder="1" applyAlignment="1">
      <alignment vertical="center"/>
    </xf>
    <xf numFmtId="0" fontId="48" fillId="51" borderId="54" xfId="0" applyFont="1" applyFill="1" applyBorder="1" applyAlignment="1">
      <alignment vertical="center"/>
    </xf>
    <xf numFmtId="0" fontId="48" fillId="52" borderId="15" xfId="0" applyFont="1" applyFill="1" applyBorder="1"/>
    <xf numFmtId="0" fontId="48" fillId="52" borderId="19" xfId="0" applyFont="1" applyFill="1" applyBorder="1"/>
    <xf numFmtId="0" fontId="48" fillId="52" borderId="0" xfId="0" applyFont="1" applyFill="1"/>
    <xf numFmtId="0" fontId="58" fillId="52" borderId="20" xfId="0" applyFont="1" applyFill="1" applyBorder="1"/>
    <xf numFmtId="0" fontId="48" fillId="51" borderId="19" xfId="0" applyFont="1" applyFill="1" applyBorder="1"/>
    <xf numFmtId="0" fontId="48" fillId="51" borderId="17" xfId="0" applyFont="1" applyFill="1" applyBorder="1" applyAlignment="1">
      <alignment horizontal="center" vertical="center"/>
    </xf>
    <xf numFmtId="0" fontId="54" fillId="51" borderId="22" xfId="0" applyFont="1" applyFill="1" applyBorder="1" applyAlignment="1">
      <alignment wrapText="1"/>
    </xf>
    <xf numFmtId="0" fontId="53" fillId="33" borderId="0" xfId="0" applyFont="1" applyFill="1"/>
    <xf numFmtId="0" fontId="31" fillId="33" borderId="0" xfId="0" applyFont="1" applyFill="1"/>
    <xf numFmtId="0" fontId="36" fillId="34" borderId="27" xfId="0" applyFont="1" applyFill="1" applyBorder="1" applyAlignment="1">
      <alignment vertical="center"/>
    </xf>
    <xf numFmtId="0" fontId="36" fillId="34" borderId="27" xfId="0" applyFont="1" applyFill="1" applyBorder="1" applyAlignment="1">
      <alignment horizontal="center" wrapText="1"/>
    </xf>
    <xf numFmtId="0" fontId="34" fillId="35" borderId="28" xfId="0" applyFont="1" applyFill="1" applyBorder="1"/>
    <xf numFmtId="0" fontId="34" fillId="33" borderId="28" xfId="0" applyFont="1" applyFill="1" applyBorder="1"/>
    <xf numFmtId="0" fontId="34" fillId="35" borderId="29" xfId="0" applyFont="1" applyFill="1" applyBorder="1"/>
    <xf numFmtId="0" fontId="34" fillId="33" borderId="29" xfId="0" applyFont="1" applyFill="1" applyBorder="1"/>
    <xf numFmtId="0" fontId="34" fillId="35" borderId="30" xfId="0" applyFont="1" applyFill="1" applyBorder="1"/>
    <xf numFmtId="0" fontId="34" fillId="33" borderId="30" xfId="0" applyFont="1" applyFill="1" applyBorder="1"/>
    <xf numFmtId="0" fontId="33" fillId="33" borderId="26" xfId="0" applyFont="1" applyFill="1" applyBorder="1"/>
    <xf numFmtId="0" fontId="30" fillId="50" borderId="0" xfId="0" applyFont="1" applyFill="1"/>
    <xf numFmtId="0" fontId="31" fillId="50" borderId="0" xfId="0" applyFont="1" applyFill="1" applyAlignment="1">
      <alignment horizontal="center"/>
    </xf>
    <xf numFmtId="0" fontId="44" fillId="49" borderId="0" xfId="0" applyFont="1" applyFill="1"/>
    <xf numFmtId="0" fontId="30" fillId="34" borderId="27" xfId="0" applyFont="1" applyFill="1" applyBorder="1"/>
    <xf numFmtId="0" fontId="33" fillId="35" borderId="21" xfId="0" applyFont="1" applyFill="1" applyBorder="1" applyAlignment="1">
      <alignment horizontal="center"/>
    </xf>
    <xf numFmtId="0" fontId="33" fillId="35" borderId="24" xfId="0" applyFont="1" applyFill="1" applyBorder="1" applyAlignment="1">
      <alignment horizontal="center"/>
    </xf>
    <xf numFmtId="0" fontId="33" fillId="35" borderId="23" xfId="0" applyFont="1" applyFill="1" applyBorder="1" applyAlignment="1">
      <alignment horizontal="center"/>
    </xf>
    <xf numFmtId="0" fontId="31" fillId="50" borderId="0" xfId="0" applyFont="1" applyFill="1"/>
    <xf numFmtId="0" fontId="44" fillId="50" borderId="0" xfId="0" applyFont="1" applyFill="1" applyAlignment="1">
      <alignment horizontal="center"/>
    </xf>
    <xf numFmtId="0" fontId="34" fillId="0" borderId="15" xfId="0" applyFont="1" applyBorder="1" applyAlignment="1">
      <alignment horizontal="center"/>
    </xf>
    <xf numFmtId="0" fontId="34" fillId="0" borderId="25" xfId="0" applyFont="1" applyBorder="1" applyAlignment="1">
      <alignment horizontal="center"/>
    </xf>
    <xf numFmtId="0" fontId="34" fillId="0" borderId="16" xfId="0" applyFont="1" applyBorder="1" applyAlignment="1">
      <alignment horizontal="center"/>
    </xf>
    <xf numFmtId="0" fontId="34" fillId="0" borderId="19" xfId="0" applyFont="1" applyBorder="1" applyAlignment="1">
      <alignment horizontal="center"/>
    </xf>
    <xf numFmtId="0" fontId="34" fillId="0" borderId="0" xfId="0" applyFont="1" applyAlignment="1">
      <alignment horizontal="center"/>
    </xf>
    <xf numFmtId="0" fontId="34" fillId="0" borderId="20" xfId="0" applyFont="1" applyBorder="1" applyAlignment="1">
      <alignment horizontal="center"/>
    </xf>
    <xf numFmtId="0" fontId="34" fillId="0" borderId="17" xfId="0" applyFont="1" applyBorder="1" applyAlignment="1">
      <alignment horizontal="center"/>
    </xf>
    <xf numFmtId="0" fontId="34" fillId="0" borderId="22" xfId="0" applyFont="1" applyBorder="1" applyAlignment="1">
      <alignment horizontal="center"/>
    </xf>
    <xf numFmtId="0" fontId="34" fillId="0" borderId="18" xfId="0" applyFont="1" applyBorder="1" applyAlignment="1">
      <alignment horizontal="center"/>
    </xf>
    <xf numFmtId="0" fontId="34" fillId="38" borderId="25" xfId="0" applyFont="1" applyFill="1" applyBorder="1" applyAlignment="1">
      <alignment horizontal="center"/>
    </xf>
    <xf numFmtId="0" fontId="34" fillId="38" borderId="19" xfId="0" applyFont="1" applyFill="1" applyBorder="1" applyAlignment="1">
      <alignment horizontal="center"/>
    </xf>
    <xf numFmtId="0" fontId="33" fillId="35" borderId="27" xfId="0" applyFont="1" applyFill="1" applyBorder="1" applyAlignment="1">
      <alignment horizontal="center"/>
    </xf>
    <xf numFmtId="0" fontId="34" fillId="33" borderId="33" xfId="0" applyFont="1" applyFill="1" applyBorder="1" applyAlignment="1">
      <alignment horizontal="center"/>
    </xf>
    <xf numFmtId="0" fontId="34" fillId="33" borderId="34" xfId="0" applyFont="1" applyFill="1" applyBorder="1" applyAlignment="1">
      <alignment horizontal="center"/>
    </xf>
    <xf numFmtId="0" fontId="44" fillId="50" borderId="0" xfId="0" applyFont="1" applyFill="1"/>
    <xf numFmtId="0" fontId="44" fillId="50" borderId="0" xfId="0" applyFont="1" applyFill="1" applyAlignment="1">
      <alignment horizontal="right" indent="1"/>
    </xf>
    <xf numFmtId="0" fontId="34" fillId="33" borderId="0" xfId="0" applyFont="1" applyFill="1" applyAlignment="1">
      <alignment horizontal="right" indent="1"/>
    </xf>
    <xf numFmtId="0" fontId="34" fillId="33" borderId="27" xfId="0" applyFont="1" applyFill="1" applyBorder="1" applyAlignment="1">
      <alignment horizontal="center"/>
    </xf>
    <xf numFmtId="0" fontId="37" fillId="33" borderId="0" xfId="0" applyFont="1" applyFill="1"/>
    <xf numFmtId="0" fontId="42" fillId="47" borderId="27" xfId="0" applyFont="1" applyFill="1" applyBorder="1"/>
    <xf numFmtId="0" fontId="33" fillId="47" borderId="15" xfId="0" applyFont="1" applyFill="1" applyBorder="1" applyAlignment="1">
      <alignment horizontal="center"/>
    </xf>
    <xf numFmtId="0" fontId="33" fillId="47" borderId="25" xfId="0" applyFont="1" applyFill="1" applyBorder="1" applyAlignment="1">
      <alignment horizontal="center"/>
    </xf>
    <xf numFmtId="0" fontId="33" fillId="47" borderId="16" xfId="0" applyFont="1" applyFill="1" applyBorder="1" applyAlignment="1">
      <alignment horizontal="center"/>
    </xf>
    <xf numFmtId="0" fontId="33" fillId="47" borderId="32" xfId="0" applyFont="1" applyFill="1" applyBorder="1"/>
    <xf numFmtId="0" fontId="34" fillId="47" borderId="15" xfId="0" applyFont="1" applyFill="1" applyBorder="1" applyAlignment="1">
      <alignment horizontal="center"/>
    </xf>
    <xf numFmtId="0" fontId="34" fillId="47" borderId="25" xfId="0" applyFont="1" applyFill="1" applyBorder="1" applyAlignment="1">
      <alignment horizontal="center"/>
    </xf>
    <xf numFmtId="0" fontId="34" fillId="47" borderId="16" xfId="0" applyFont="1" applyFill="1" applyBorder="1" applyAlignment="1">
      <alignment horizontal="center"/>
    </xf>
    <xf numFmtId="0" fontId="33" fillId="47" borderId="33" xfId="0" applyFont="1" applyFill="1" applyBorder="1"/>
    <xf numFmtId="0" fontId="34" fillId="47" borderId="19" xfId="0" applyFont="1" applyFill="1" applyBorder="1" applyAlignment="1">
      <alignment horizontal="center"/>
    </xf>
    <xf numFmtId="0" fontId="34" fillId="47" borderId="0" xfId="0" applyFont="1" applyFill="1" applyAlignment="1">
      <alignment horizontal="center"/>
    </xf>
    <xf numFmtId="0" fontId="34" fillId="47" borderId="20" xfId="0" applyFont="1" applyFill="1" applyBorder="1" applyAlignment="1">
      <alignment horizontal="center"/>
    </xf>
    <xf numFmtId="0" fontId="33" fillId="47" borderId="34" xfId="0" applyFont="1" applyFill="1" applyBorder="1"/>
    <xf numFmtId="0" fontId="34" fillId="47" borderId="17" xfId="0" applyFont="1" applyFill="1" applyBorder="1" applyAlignment="1">
      <alignment horizontal="center"/>
    </xf>
    <xf numFmtId="0" fontId="34" fillId="47" borderId="22" xfId="0" applyFont="1" applyFill="1" applyBorder="1" applyAlignment="1">
      <alignment horizontal="center"/>
    </xf>
    <xf numFmtId="0" fontId="34" fillId="47" borderId="18" xfId="0" applyFont="1" applyFill="1" applyBorder="1" applyAlignment="1">
      <alignment horizontal="center"/>
    </xf>
    <xf numFmtId="0" fontId="42" fillId="48" borderId="27" xfId="0" applyFont="1" applyFill="1" applyBorder="1"/>
    <xf numFmtId="0" fontId="33" fillId="48" borderId="15" xfId="0" applyFont="1" applyFill="1" applyBorder="1" applyAlignment="1">
      <alignment horizontal="center"/>
    </xf>
    <xf numFmtId="0" fontId="33" fillId="48" borderId="25" xfId="0" applyFont="1" applyFill="1" applyBorder="1" applyAlignment="1">
      <alignment horizontal="center"/>
    </xf>
    <xf numFmtId="0" fontId="33" fillId="48" borderId="16" xfId="0" applyFont="1" applyFill="1" applyBorder="1" applyAlignment="1">
      <alignment horizontal="center"/>
    </xf>
    <xf numFmtId="0" fontId="30" fillId="48" borderId="27" xfId="0" applyFont="1" applyFill="1" applyBorder="1"/>
    <xf numFmtId="0" fontId="33" fillId="48" borderId="15" xfId="0" applyFont="1" applyFill="1" applyBorder="1"/>
    <xf numFmtId="0" fontId="34" fillId="48" borderId="15" xfId="0" applyFont="1" applyFill="1" applyBorder="1" applyAlignment="1">
      <alignment horizontal="center"/>
    </xf>
    <xf numFmtId="0" fontId="34" fillId="48" borderId="25" xfId="0" applyFont="1" applyFill="1" applyBorder="1" applyAlignment="1">
      <alignment horizontal="center"/>
    </xf>
    <xf numFmtId="0" fontId="34" fillId="48" borderId="16" xfId="0" applyFont="1" applyFill="1" applyBorder="1" applyAlignment="1">
      <alignment horizontal="center"/>
    </xf>
    <xf numFmtId="0" fontId="33" fillId="48" borderId="19" xfId="0" applyFont="1" applyFill="1" applyBorder="1"/>
    <xf numFmtId="0" fontId="34" fillId="48" borderId="19" xfId="0" applyFont="1" applyFill="1" applyBorder="1" applyAlignment="1">
      <alignment horizontal="center"/>
    </xf>
    <xf numFmtId="0" fontId="34" fillId="48" borderId="0" xfId="0" applyFont="1" applyFill="1" applyAlignment="1">
      <alignment horizontal="center"/>
    </xf>
    <xf numFmtId="0" fontId="34" fillId="48" borderId="20" xfId="0" applyFont="1" applyFill="1" applyBorder="1" applyAlignment="1">
      <alignment horizontal="center"/>
    </xf>
    <xf numFmtId="0" fontId="33" fillId="48" borderId="17" xfId="0" applyFont="1" applyFill="1" applyBorder="1"/>
    <xf numFmtId="0" fontId="34" fillId="48" borderId="17" xfId="0" applyFont="1" applyFill="1" applyBorder="1" applyAlignment="1">
      <alignment horizontal="center"/>
    </xf>
    <xf numFmtId="0" fontId="34" fillId="48" borderId="22" xfId="0" applyFont="1" applyFill="1" applyBorder="1" applyAlignment="1">
      <alignment horizontal="center"/>
    </xf>
    <xf numFmtId="0" fontId="34" fillId="48" borderId="18" xfId="0" applyFont="1" applyFill="1" applyBorder="1" applyAlignment="1">
      <alignment horizontal="center"/>
    </xf>
    <xf numFmtId="0" fontId="33" fillId="35" borderId="15" xfId="0" applyFont="1" applyFill="1" applyBorder="1" applyAlignment="1">
      <alignment horizontal="center"/>
    </xf>
    <xf numFmtId="0" fontId="33" fillId="35" borderId="25" xfId="0" applyFont="1" applyFill="1" applyBorder="1" applyAlignment="1">
      <alignment horizontal="center"/>
    </xf>
    <xf numFmtId="0" fontId="33" fillId="35" borderId="16" xfId="0" applyFont="1" applyFill="1" applyBorder="1" applyAlignment="1">
      <alignment horizontal="center"/>
    </xf>
    <xf numFmtId="0" fontId="33" fillId="35" borderId="19" xfId="0" applyFont="1" applyFill="1" applyBorder="1"/>
    <xf numFmtId="0" fontId="33" fillId="35" borderId="17" xfId="0" applyFont="1" applyFill="1" applyBorder="1"/>
    <xf numFmtId="0" fontId="33" fillId="0" borderId="0" xfId="0" applyFont="1"/>
    <xf numFmtId="0" fontId="34" fillId="33" borderId="0" xfId="0" applyFont="1" applyFill="1" applyAlignment="1">
      <alignment horizontal="center"/>
    </xf>
    <xf numFmtId="0" fontId="30" fillId="34" borderId="27" xfId="0" applyFont="1" applyFill="1" applyBorder="1" applyAlignment="1">
      <alignment wrapText="1"/>
    </xf>
    <xf numFmtId="167" fontId="34" fillId="33" borderId="29" xfId="79" applyNumberFormat="1" applyFont="1" applyFill="1" applyBorder="1" applyProtection="1"/>
    <xf numFmtId="167" fontId="34" fillId="33" borderId="30" xfId="79" applyNumberFormat="1" applyFont="1" applyFill="1" applyBorder="1" applyProtection="1"/>
    <xf numFmtId="0" fontId="82" fillId="0" borderId="10" xfId="0" applyFont="1" applyBorder="1"/>
    <xf numFmtId="0" fontId="0" fillId="0" borderId="10" xfId="0" applyBorder="1"/>
    <xf numFmtId="0" fontId="83" fillId="0" borderId="0" xfId="0" applyFont="1"/>
    <xf numFmtId="0" fontId="54" fillId="52" borderId="31" xfId="0" applyFont="1" applyFill="1" applyBorder="1" applyProtection="1">
      <protection locked="0"/>
    </xf>
    <xf numFmtId="0" fontId="48" fillId="53" borderId="62" xfId="0" applyFont="1" applyFill="1" applyBorder="1" applyAlignment="1" applyProtection="1">
      <alignment horizontal="center"/>
      <protection locked="0"/>
    </xf>
    <xf numFmtId="0" fontId="48" fillId="36" borderId="62" xfId="0" applyFont="1" applyFill="1" applyBorder="1" applyAlignment="1">
      <alignment horizontal="center"/>
    </xf>
    <xf numFmtId="0" fontId="48" fillId="46" borderId="62" xfId="0" applyFont="1" applyFill="1" applyBorder="1" applyAlignment="1">
      <alignment horizontal="center" wrapText="1"/>
    </xf>
    <xf numFmtId="0" fontId="48" fillId="39" borderId="62" xfId="0" applyFont="1" applyFill="1" applyBorder="1" applyAlignment="1">
      <alignment horizontal="center"/>
    </xf>
    <xf numFmtId="0" fontId="48" fillId="40" borderId="62" xfId="0" applyFont="1" applyFill="1" applyBorder="1" applyAlignment="1">
      <alignment horizontal="center"/>
    </xf>
    <xf numFmtId="0" fontId="59" fillId="35" borderId="62" xfId="0" applyFont="1" applyFill="1" applyBorder="1" applyAlignment="1">
      <alignment wrapText="1"/>
    </xf>
    <xf numFmtId="0" fontId="54" fillId="52" borderId="63" xfId="88" applyFont="1" applyFill="1" applyBorder="1" applyAlignment="1">
      <alignment horizontal="left" vertical="center"/>
    </xf>
    <xf numFmtId="0" fontId="48" fillId="0" borderId="63" xfId="88" applyFont="1" applyBorder="1" applyAlignment="1">
      <alignment vertical="center"/>
    </xf>
    <xf numFmtId="0" fontId="48" fillId="53" borderId="62" xfId="88" applyFont="1" applyFill="1" applyBorder="1" applyAlignment="1" applyProtection="1">
      <alignment vertical="center"/>
      <protection locked="0"/>
    </xf>
    <xf numFmtId="0" fontId="48" fillId="0" borderId="62" xfId="88" applyFont="1" applyBorder="1" applyAlignment="1">
      <alignment vertical="center"/>
    </xf>
    <xf numFmtId="0" fontId="48" fillId="53" borderId="62" xfId="88" applyFont="1" applyFill="1" applyBorder="1" applyAlignment="1" applyProtection="1">
      <alignment horizontal="center" vertical="center"/>
      <protection locked="0"/>
    </xf>
    <xf numFmtId="14" fontId="48" fillId="53" borderId="62" xfId="88" applyNumberFormat="1" applyFont="1" applyFill="1" applyBorder="1" applyAlignment="1" applyProtection="1">
      <alignment horizontal="center" vertical="center"/>
      <protection locked="0"/>
    </xf>
    <xf numFmtId="0" fontId="48" fillId="33" borderId="66" xfId="88" applyFont="1" applyFill="1" applyBorder="1"/>
    <xf numFmtId="0" fontId="48" fillId="33" borderId="67" xfId="88" applyFont="1" applyFill="1" applyBorder="1" applyAlignment="1">
      <alignment vertical="center"/>
    </xf>
    <xf numFmtId="0" fontId="48" fillId="33" borderId="68" xfId="88" applyFont="1" applyFill="1" applyBorder="1" applyAlignment="1">
      <alignment vertical="center"/>
    </xf>
    <xf numFmtId="0" fontId="49" fillId="0" borderId="62" xfId="88" applyFont="1" applyBorder="1" applyAlignment="1">
      <alignment horizontal="left" vertical="center" wrapText="1"/>
    </xf>
    <xf numFmtId="2" fontId="48" fillId="53" borderId="62" xfId="88" applyNumberFormat="1" applyFont="1" applyFill="1" applyBorder="1" applyAlignment="1" applyProtection="1">
      <alignment horizontal="left" vertical="center"/>
      <protection locked="0"/>
    </xf>
    <xf numFmtId="0" fontId="59" fillId="52" borderId="65" xfId="0" applyFont="1" applyFill="1" applyBorder="1"/>
    <xf numFmtId="0" fontId="54" fillId="52" borderId="65" xfId="0" applyFont="1" applyFill="1" applyBorder="1"/>
    <xf numFmtId="0" fontId="59" fillId="52" borderId="69" xfId="0" applyFont="1" applyFill="1" applyBorder="1"/>
    <xf numFmtId="171" fontId="48" fillId="53" borderId="62" xfId="79" applyNumberFormat="1" applyFont="1" applyFill="1" applyBorder="1" applyProtection="1">
      <protection locked="0"/>
    </xf>
    <xf numFmtId="171" fontId="48" fillId="54" borderId="62" xfId="79" applyNumberFormat="1" applyFont="1" applyFill="1" applyBorder="1" applyProtection="1"/>
    <xf numFmtId="171" fontId="48" fillId="36" borderId="62" xfId="79" applyNumberFormat="1" applyFont="1" applyFill="1" applyBorder="1" applyProtection="1"/>
    <xf numFmtId="171" fontId="54" fillId="52" borderId="65" xfId="0" applyNumberFormat="1" applyFont="1" applyFill="1" applyBorder="1"/>
    <xf numFmtId="171" fontId="59" fillId="52" borderId="65" xfId="0" applyNumberFormat="1" applyFont="1" applyFill="1" applyBorder="1"/>
    <xf numFmtId="171" fontId="48" fillId="42" borderId="62" xfId="79" applyNumberFormat="1" applyFont="1" applyFill="1" applyBorder="1" applyProtection="1"/>
    <xf numFmtId="0" fontId="58" fillId="33" borderId="67" xfId="0" applyFont="1" applyFill="1" applyBorder="1" applyAlignment="1">
      <alignment wrapText="1"/>
    </xf>
    <xf numFmtId="0" fontId="48" fillId="33" borderId="67" xfId="0" applyFont="1" applyFill="1" applyBorder="1"/>
    <xf numFmtId="0" fontId="54" fillId="52" borderId="69" xfId="0" applyFont="1" applyFill="1" applyBorder="1"/>
    <xf numFmtId="171" fontId="59" fillId="52" borderId="69" xfId="0" applyNumberFormat="1" applyFont="1" applyFill="1" applyBorder="1"/>
    <xf numFmtId="170" fontId="48" fillId="36" borderId="62" xfId="79" applyNumberFormat="1" applyFont="1" applyFill="1" applyBorder="1" applyProtection="1"/>
    <xf numFmtId="173" fontId="48" fillId="36" borderId="62" xfId="83" applyNumberFormat="1" applyFont="1" applyFill="1" applyBorder="1" applyProtection="1"/>
    <xf numFmtId="9" fontId="49" fillId="53" borderId="62" xfId="0" applyNumberFormat="1" applyFont="1" applyFill="1" applyBorder="1" applyAlignment="1" applyProtection="1">
      <alignment wrapText="1"/>
      <protection locked="0"/>
    </xf>
    <xf numFmtId="171" fontId="48" fillId="40" borderId="62" xfId="79" applyNumberFormat="1" applyFont="1" applyFill="1" applyBorder="1" applyProtection="1"/>
    <xf numFmtId="0" fontId="59" fillId="37" borderId="65" xfId="0" applyFont="1" applyFill="1" applyBorder="1"/>
    <xf numFmtId="171" fontId="54" fillId="37" borderId="65" xfId="0" applyNumberFormat="1" applyFont="1" applyFill="1" applyBorder="1"/>
    <xf numFmtId="171" fontId="59" fillId="37" borderId="65" xfId="0" applyNumberFormat="1" applyFont="1" applyFill="1" applyBorder="1"/>
    <xf numFmtId="0" fontId="59" fillId="37" borderId="69" xfId="0" applyFont="1" applyFill="1" applyBorder="1"/>
    <xf numFmtId="171" fontId="48" fillId="39" borderId="62" xfId="79" applyNumberFormat="1" applyFont="1" applyFill="1" applyBorder="1" applyProtection="1"/>
    <xf numFmtId="9" fontId="48" fillId="36" borderId="62" xfId="83" applyFont="1" applyFill="1" applyBorder="1" applyAlignment="1" applyProtection="1">
      <alignment horizontal="center"/>
    </xf>
    <xf numFmtId="0" fontId="54" fillId="52" borderId="65" xfId="0" applyFont="1" applyFill="1" applyBorder="1" applyAlignment="1">
      <alignment horizontal="center"/>
    </xf>
    <xf numFmtId="0" fontId="54" fillId="52" borderId="65" xfId="0" applyFont="1" applyFill="1" applyBorder="1" applyAlignment="1">
      <alignment horizontal="center" wrapText="1"/>
    </xf>
    <xf numFmtId="0" fontId="54" fillId="52" borderId="69" xfId="0" applyFont="1" applyFill="1" applyBorder="1" applyAlignment="1">
      <alignment horizontal="center"/>
    </xf>
    <xf numFmtId="9" fontId="48" fillId="53" borderId="62" xfId="83" applyFont="1" applyFill="1" applyBorder="1" applyProtection="1">
      <protection locked="0"/>
    </xf>
    <xf numFmtId="168" fontId="48" fillId="36" borderId="62" xfId="83" applyNumberFormat="1" applyFont="1" applyFill="1" applyBorder="1" applyProtection="1"/>
    <xf numFmtId="169" fontId="48" fillId="53" borderId="62" xfId="79" applyNumberFormat="1" applyFont="1" applyFill="1" applyBorder="1" applyProtection="1">
      <protection locked="0"/>
    </xf>
    <xf numFmtId="168" fontId="48" fillId="36" borderId="62" xfId="79" applyNumberFormat="1" applyFont="1" applyFill="1" applyBorder="1" applyProtection="1"/>
    <xf numFmtId="167" fontId="48" fillId="36" borderId="62" xfId="79" applyNumberFormat="1" applyFont="1" applyFill="1" applyBorder="1" applyProtection="1"/>
    <xf numFmtId="167" fontId="48" fillId="53" borderId="62" xfId="79" applyNumberFormat="1" applyFont="1" applyFill="1" applyBorder="1" applyProtection="1">
      <protection locked="0"/>
    </xf>
    <xf numFmtId="9" fontId="48" fillId="40" borderId="62" xfId="83" applyFont="1" applyFill="1" applyBorder="1" applyAlignment="1" applyProtection="1">
      <alignment horizontal="center"/>
    </xf>
    <xf numFmtId="0" fontId="59" fillId="52" borderId="65" xfId="0" applyFont="1" applyFill="1" applyBorder="1" applyAlignment="1">
      <alignment horizontal="center"/>
    </xf>
    <xf numFmtId="0" fontId="48" fillId="52" borderId="65" xfId="0" applyFont="1" applyFill="1" applyBorder="1"/>
    <xf numFmtId="171" fontId="48" fillId="52" borderId="65" xfId="0" applyNumberFormat="1" applyFont="1" applyFill="1" applyBorder="1"/>
    <xf numFmtId="171" fontId="54" fillId="52" borderId="65" xfId="0" applyNumberFormat="1" applyFont="1" applyFill="1" applyBorder="1" applyAlignment="1">
      <alignment horizontal="center"/>
    </xf>
    <xf numFmtId="0" fontId="59" fillId="52" borderId="69" xfId="0" applyFont="1" applyFill="1" applyBorder="1" applyAlignment="1">
      <alignment horizontal="center"/>
    </xf>
    <xf numFmtId="168" fontId="48" fillId="36" borderId="62" xfId="83" applyNumberFormat="1" applyFont="1" applyFill="1" applyBorder="1" applyAlignment="1" applyProtection="1">
      <alignment horizontal="center"/>
    </xf>
    <xf numFmtId="168" fontId="48" fillId="40" borderId="62" xfId="83" applyNumberFormat="1" applyFont="1" applyFill="1" applyBorder="1" applyAlignment="1" applyProtection="1">
      <alignment horizontal="center"/>
    </xf>
    <xf numFmtId="174" fontId="48" fillId="53" borderId="62" xfId="0" applyNumberFormat="1" applyFont="1" applyFill="1" applyBorder="1" applyAlignment="1" applyProtection="1">
      <alignment horizontal="center" wrapText="1"/>
      <protection locked="0"/>
    </xf>
    <xf numFmtId="0" fontId="49" fillId="53" borderId="62" xfId="0" applyFont="1" applyFill="1" applyBorder="1" applyAlignment="1" applyProtection="1">
      <alignment wrapText="1"/>
      <protection locked="0"/>
    </xf>
    <xf numFmtId="171" fontId="48" fillId="40" borderId="62" xfId="0" applyNumberFormat="1" applyFont="1" applyFill="1" applyBorder="1" applyAlignment="1">
      <alignment horizontal="center"/>
    </xf>
    <xf numFmtId="171" fontId="49" fillId="53" borderId="62" xfId="0" applyNumberFormat="1" applyFont="1" applyFill="1" applyBorder="1" applyAlignment="1" applyProtection="1">
      <alignment wrapText="1"/>
      <protection locked="0"/>
    </xf>
    <xf numFmtId="10" fontId="49" fillId="53" borderId="62" xfId="0" applyNumberFormat="1" applyFont="1" applyFill="1" applyBorder="1" applyAlignment="1" applyProtection="1">
      <alignment wrapText="1"/>
      <protection locked="0"/>
    </xf>
    <xf numFmtId="171" fontId="48" fillId="36" borderId="62" xfId="79" applyNumberFormat="1" applyFont="1" applyFill="1" applyBorder="1" applyAlignment="1" applyProtection="1">
      <alignment horizontal="center"/>
    </xf>
    <xf numFmtId="167" fontId="48" fillId="54" borderId="62" xfId="79" applyNumberFormat="1" applyFont="1" applyFill="1" applyBorder="1" applyProtection="1"/>
    <xf numFmtId="171" fontId="48" fillId="41" borderId="62" xfId="79" applyNumberFormat="1" applyFont="1" applyFill="1" applyBorder="1" applyProtection="1"/>
    <xf numFmtId="171" fontId="48" fillId="36" borderId="62" xfId="83" applyNumberFormat="1" applyFont="1" applyFill="1" applyBorder="1" applyAlignment="1" applyProtection="1">
      <alignment horizontal="center"/>
    </xf>
    <xf numFmtId="165" fontId="48" fillId="36" borderId="62" xfId="79" applyNumberFormat="1" applyFont="1" applyFill="1" applyBorder="1" applyAlignment="1" applyProtection="1">
      <alignment horizontal="center"/>
    </xf>
    <xf numFmtId="167" fontId="48" fillId="41" borderId="62" xfId="79" applyNumberFormat="1" applyFont="1" applyFill="1" applyBorder="1" applyProtection="1"/>
    <xf numFmtId="0" fontId="54" fillId="52" borderId="65" xfId="0" applyFont="1" applyFill="1" applyBorder="1" applyProtection="1">
      <protection locked="0"/>
    </xf>
    <xf numFmtId="0" fontId="54" fillId="52" borderId="69" xfId="0" applyFont="1" applyFill="1" applyBorder="1" applyProtection="1">
      <protection locked="0"/>
    </xf>
    <xf numFmtId="173" fontId="48" fillId="53" borderId="62" xfId="0" applyNumberFormat="1" applyFont="1" applyFill="1" applyBorder="1" applyAlignment="1" applyProtection="1">
      <alignment horizontal="center"/>
      <protection locked="0"/>
    </xf>
    <xf numFmtId="170" fontId="48" fillId="53" borderId="62" xfId="79" applyNumberFormat="1" applyFont="1" applyFill="1" applyBorder="1" applyAlignment="1" applyProtection="1">
      <alignment horizontal="center"/>
      <protection locked="0"/>
    </xf>
    <xf numFmtId="0" fontId="49" fillId="53" borderId="62" xfId="0" applyFont="1" applyFill="1" applyBorder="1" applyAlignment="1" applyProtection="1">
      <alignment horizontal="center"/>
      <protection locked="0"/>
    </xf>
    <xf numFmtId="171" fontId="48" fillId="36" borderId="62" xfId="87" applyNumberFormat="1" applyFont="1" applyFill="1" applyBorder="1" applyAlignment="1" applyProtection="1">
      <alignment wrapText="1"/>
    </xf>
    <xf numFmtId="175" fontId="48" fillId="53" borderId="62" xfId="0" applyNumberFormat="1" applyFont="1" applyFill="1" applyBorder="1" applyAlignment="1" applyProtection="1">
      <alignment horizontal="right"/>
      <protection locked="0"/>
    </xf>
    <xf numFmtId="9" fontId="48" fillId="36" borderId="62" xfId="87" applyFont="1" applyFill="1" applyBorder="1" applyAlignment="1" applyProtection="1">
      <alignment wrapText="1"/>
    </xf>
    <xf numFmtId="167" fontId="48" fillId="53" borderId="62" xfId="84" applyNumberFormat="1" applyFont="1" applyFill="1" applyBorder="1" applyAlignment="1" applyProtection="1">
      <alignment wrapText="1"/>
      <protection locked="0"/>
    </xf>
    <xf numFmtId="171" fontId="51" fillId="36" borderId="62" xfId="87" applyNumberFormat="1" applyFont="1" applyFill="1" applyBorder="1" applyAlignment="1" applyProtection="1">
      <alignment wrapText="1"/>
    </xf>
    <xf numFmtId="167" fontId="51" fillId="53" borderId="62" xfId="84" applyNumberFormat="1" applyFont="1" applyFill="1" applyBorder="1" applyAlignment="1" applyProtection="1">
      <alignment wrapText="1"/>
      <protection locked="0"/>
    </xf>
    <xf numFmtId="175" fontId="51" fillId="36" borderId="62" xfId="0" applyNumberFormat="1" applyFont="1" applyFill="1" applyBorder="1" applyAlignment="1">
      <alignment horizontal="right"/>
    </xf>
    <xf numFmtId="171" fontId="58" fillId="36" borderId="62" xfId="87" applyNumberFormat="1" applyFont="1" applyFill="1" applyBorder="1" applyAlignment="1" applyProtection="1">
      <alignment wrapText="1"/>
    </xf>
    <xf numFmtId="171" fontId="50" fillId="36" borderId="62" xfId="87" applyNumberFormat="1" applyFont="1" applyFill="1" applyBorder="1" applyAlignment="1" applyProtection="1">
      <alignment wrapText="1"/>
    </xf>
    <xf numFmtId="170" fontId="48" fillId="41" borderId="62" xfId="84" applyNumberFormat="1" applyFont="1" applyFill="1" applyBorder="1" applyAlignment="1" applyProtection="1">
      <alignment wrapText="1"/>
    </xf>
    <xf numFmtId="168" fontId="50" fillId="36" borderId="62" xfId="87" applyNumberFormat="1" applyFont="1" applyFill="1" applyBorder="1" applyAlignment="1" applyProtection="1">
      <alignment wrapText="1"/>
    </xf>
    <xf numFmtId="175" fontId="48" fillId="36" borderId="62" xfId="0" applyNumberFormat="1" applyFont="1" applyFill="1" applyBorder="1" applyAlignment="1">
      <alignment horizontal="center"/>
    </xf>
    <xf numFmtId="171" fontId="48" fillId="53" borderId="62" xfId="0" applyNumberFormat="1" applyFont="1" applyFill="1" applyBorder="1" applyAlignment="1" applyProtection="1">
      <alignment vertical="top" wrapText="1"/>
      <protection locked="0"/>
    </xf>
    <xf numFmtId="175" fontId="48" fillId="36" borderId="62" xfId="0" applyNumberFormat="1" applyFont="1" applyFill="1" applyBorder="1" applyAlignment="1">
      <alignment horizontal="right"/>
    </xf>
    <xf numFmtId="174" fontId="48" fillId="53" borderId="62" xfId="0" applyNumberFormat="1" applyFont="1" applyFill="1" applyBorder="1" applyAlignment="1" applyProtection="1">
      <alignment horizontal="right"/>
      <protection locked="0"/>
    </xf>
    <xf numFmtId="14" fontId="48" fillId="53" borderId="62" xfId="0" applyNumberFormat="1" applyFont="1" applyFill="1" applyBorder="1" applyAlignment="1" applyProtection="1">
      <alignment horizontal="center"/>
      <protection locked="0"/>
    </xf>
    <xf numFmtId="14" fontId="48" fillId="53" borderId="62" xfId="0" applyNumberFormat="1" applyFont="1" applyFill="1" applyBorder="1" applyAlignment="1" applyProtection="1">
      <alignment vertical="top" wrapText="1"/>
      <protection locked="0"/>
    </xf>
    <xf numFmtId="175" fontId="48" fillId="53" borderId="62" xfId="0" applyNumberFormat="1" applyFont="1" applyFill="1" applyBorder="1" applyAlignment="1" applyProtection="1">
      <alignment horizontal="center"/>
      <protection locked="0"/>
    </xf>
    <xf numFmtId="9" fontId="48" fillId="36" borderId="62" xfId="83" applyFont="1" applyFill="1" applyBorder="1" applyAlignment="1" applyProtection="1">
      <alignment horizontal="right"/>
    </xf>
    <xf numFmtId="9" fontId="58" fillId="36" borderId="62" xfId="83" applyFont="1" applyFill="1" applyBorder="1" applyAlignment="1" applyProtection="1">
      <alignment horizontal="right"/>
    </xf>
    <xf numFmtId="0" fontId="48" fillId="51" borderId="66" xfId="0" applyFont="1" applyFill="1" applyBorder="1" applyAlignment="1">
      <alignment vertical="center"/>
    </xf>
    <xf numFmtId="0" fontId="48" fillId="51" borderId="67" xfId="0" applyFont="1" applyFill="1" applyBorder="1" applyAlignment="1">
      <alignment vertical="center"/>
    </xf>
    <xf numFmtId="0" fontId="48" fillId="51" borderId="67" xfId="0" applyFont="1" applyFill="1" applyBorder="1" applyAlignment="1">
      <alignment horizontal="center" vertical="center"/>
    </xf>
    <xf numFmtId="0" fontId="48" fillId="51" borderId="68" xfId="0" applyFont="1" applyFill="1" applyBorder="1" applyAlignment="1">
      <alignment vertical="center"/>
    </xf>
    <xf numFmtId="174" fontId="48" fillId="53" borderId="62" xfId="0" applyNumberFormat="1" applyFont="1" applyFill="1" applyBorder="1" applyAlignment="1" applyProtection="1">
      <alignment horizontal="right" vertical="top" wrapText="1"/>
      <protection locked="0"/>
    </xf>
    <xf numFmtId="174" fontId="48" fillId="53" borderId="62" xfId="0" applyNumberFormat="1" applyFont="1" applyFill="1" applyBorder="1" applyAlignment="1" applyProtection="1">
      <alignment horizontal="left" vertical="top" wrapText="1"/>
      <protection locked="0"/>
    </xf>
    <xf numFmtId="174" fontId="48" fillId="53" borderId="62" xfId="0" applyNumberFormat="1" applyFont="1" applyFill="1" applyBorder="1" applyAlignment="1" applyProtection="1">
      <alignment vertical="top" wrapText="1"/>
      <protection locked="0"/>
    </xf>
    <xf numFmtId="174" fontId="48" fillId="53" borderId="62" xfId="0" applyNumberFormat="1" applyFont="1" applyFill="1" applyBorder="1" applyAlignment="1" applyProtection="1">
      <alignment horizontal="left" wrapText="1"/>
      <protection locked="0"/>
    </xf>
    <xf numFmtId="0" fontId="48" fillId="53" borderId="62" xfId="0" applyFont="1" applyFill="1" applyBorder="1" applyAlignment="1" applyProtection="1">
      <alignment horizontal="right"/>
      <protection locked="0"/>
    </xf>
    <xf numFmtId="14" fontId="48" fillId="53" borderId="62" xfId="0" applyNumberFormat="1" applyFont="1" applyFill="1" applyBorder="1" applyAlignment="1" applyProtection="1">
      <alignment horizontal="left" wrapText="1"/>
      <protection locked="0"/>
    </xf>
    <xf numFmtId="9" fontId="48" fillId="53" borderId="62" xfId="0" applyNumberFormat="1" applyFont="1" applyFill="1" applyBorder="1" applyAlignment="1" applyProtection="1">
      <alignment horizontal="right"/>
      <protection locked="0"/>
    </xf>
    <xf numFmtId="167" fontId="33" fillId="36" borderId="62" xfId="79" applyNumberFormat="1" applyFont="1" applyFill="1" applyBorder="1" applyAlignment="1" applyProtection="1">
      <alignment horizontal="center"/>
    </xf>
    <xf numFmtId="168" fontId="34" fillId="33" borderId="64" xfId="83" applyNumberFormat="1" applyFont="1" applyFill="1" applyBorder="1" applyProtection="1"/>
    <xf numFmtId="168" fontId="34" fillId="33" borderId="62" xfId="83" applyNumberFormat="1" applyFont="1" applyFill="1" applyBorder="1" applyProtection="1"/>
    <xf numFmtId="0" fontId="33" fillId="33" borderId="67" xfId="0" applyFont="1" applyFill="1" applyBorder="1"/>
    <xf numFmtId="0" fontId="34" fillId="33" borderId="67" xfId="0" applyFont="1" applyFill="1" applyBorder="1"/>
    <xf numFmtId="0" fontId="82" fillId="0" borderId="62" xfId="0" applyFont="1" applyBorder="1"/>
    <xf numFmtId="0" fontId="0" fillId="0" borderId="62" xfId="0" applyBorder="1"/>
    <xf numFmtId="0" fontId="0" fillId="56" borderId="62" xfId="0" applyFill="1" applyBorder="1"/>
    <xf numFmtId="0" fontId="54" fillId="52" borderId="57" xfId="0" applyFont="1" applyFill="1" applyBorder="1"/>
    <xf numFmtId="171" fontId="48" fillId="54" borderId="70" xfId="79" applyNumberFormat="1" applyFont="1" applyFill="1" applyBorder="1" applyProtection="1"/>
    <xf numFmtId="171" fontId="48" fillId="36" borderId="70" xfId="79" applyNumberFormat="1" applyFont="1" applyFill="1" applyBorder="1" applyProtection="1"/>
    <xf numFmtId="0" fontId="59" fillId="52" borderId="71" xfId="0" applyFont="1" applyFill="1" applyBorder="1"/>
    <xf numFmtId="171" fontId="54" fillId="52" borderId="71" xfId="0" applyNumberFormat="1" applyFont="1" applyFill="1" applyBorder="1"/>
    <xf numFmtId="171" fontId="59" fillId="52" borderId="71" xfId="0" applyNumberFormat="1" applyFont="1" applyFill="1" applyBorder="1"/>
    <xf numFmtId="171" fontId="59" fillId="52" borderId="72" xfId="0" applyNumberFormat="1" applyFont="1" applyFill="1" applyBorder="1"/>
    <xf numFmtId="0" fontId="54" fillId="52" borderId="55" xfId="0" applyFont="1" applyFill="1" applyBorder="1"/>
    <xf numFmtId="0" fontId="54" fillId="52" borderId="56" xfId="0" applyFont="1" applyFill="1" applyBorder="1"/>
    <xf numFmtId="170" fontId="48" fillId="36" borderId="70" xfId="79" applyNumberFormat="1" applyFont="1" applyFill="1" applyBorder="1" applyProtection="1"/>
    <xf numFmtId="0" fontId="54" fillId="52" borderId="25" xfId="0" applyFont="1" applyFill="1" applyBorder="1" applyAlignment="1">
      <alignment horizontal="center" vertical="top" wrapText="1"/>
    </xf>
    <xf numFmtId="0" fontId="54" fillId="52" borderId="16" xfId="0" applyFont="1" applyFill="1" applyBorder="1" applyAlignment="1">
      <alignment horizontal="left" vertical="top" wrapText="1"/>
    </xf>
    <xf numFmtId="0" fontId="54" fillId="52" borderId="71" xfId="0" applyFont="1" applyFill="1" applyBorder="1"/>
    <xf numFmtId="0" fontId="54" fillId="52" borderId="72" xfId="0" applyFont="1" applyFill="1" applyBorder="1"/>
    <xf numFmtId="171" fontId="48" fillId="53" borderId="70" xfId="79" applyNumberFormat="1" applyFont="1" applyFill="1" applyBorder="1" applyProtection="1">
      <protection locked="0"/>
    </xf>
    <xf numFmtId="0" fontId="58" fillId="35" borderId="19" xfId="0" applyFont="1" applyFill="1" applyBorder="1"/>
    <xf numFmtId="0" fontId="59" fillId="52" borderId="38" xfId="0" applyFont="1" applyFill="1" applyBorder="1"/>
    <xf numFmtId="173" fontId="48" fillId="36" borderId="70" xfId="83" applyNumberFormat="1" applyFont="1" applyFill="1" applyBorder="1" applyProtection="1"/>
    <xf numFmtId="0" fontId="59" fillId="52" borderId="72" xfId="0" applyFont="1" applyFill="1" applyBorder="1"/>
    <xf numFmtId="171" fontId="48" fillId="40" borderId="70" xfId="79" applyNumberFormat="1" applyFont="1" applyFill="1" applyBorder="1" applyProtection="1"/>
    <xf numFmtId="0" fontId="54" fillId="52" borderId="25" xfId="0" applyFont="1" applyFill="1" applyBorder="1" applyAlignment="1">
      <alignment vertical="center" wrapText="1"/>
    </xf>
    <xf numFmtId="10" fontId="48" fillId="36" borderId="70" xfId="83" applyNumberFormat="1" applyFont="1" applyFill="1" applyBorder="1" applyProtection="1"/>
    <xf numFmtId="0" fontId="49" fillId="53" borderId="70" xfId="0" applyFont="1" applyFill="1" applyBorder="1" applyAlignment="1" applyProtection="1">
      <alignment wrapText="1"/>
      <protection locked="0"/>
    </xf>
    <xf numFmtId="173" fontId="49" fillId="53" borderId="70" xfId="0" applyNumberFormat="1" applyFont="1" applyFill="1" applyBorder="1" applyAlignment="1" applyProtection="1">
      <alignment vertical="center" wrapText="1"/>
      <protection locked="0"/>
    </xf>
    <xf numFmtId="10" fontId="49" fillId="53" borderId="70" xfId="0" applyNumberFormat="1" applyFont="1" applyFill="1" applyBorder="1" applyAlignment="1" applyProtection="1">
      <alignment horizontal="center" vertical="center" wrapText="1"/>
      <protection locked="0"/>
    </xf>
    <xf numFmtId="170" fontId="48" fillId="35" borderId="0" xfId="0" applyNumberFormat="1" applyFont="1" applyFill="1"/>
    <xf numFmtId="0" fontId="54" fillId="52" borderId="24" xfId="0" applyFont="1" applyFill="1" applyBorder="1" applyAlignment="1">
      <alignment wrapText="1"/>
    </xf>
    <xf numFmtId="0" fontId="54" fillId="52" borderId="23" xfId="0" applyFont="1" applyFill="1" applyBorder="1"/>
    <xf numFmtId="0" fontId="54" fillId="52" borderId="18" xfId="0" applyFont="1" applyFill="1" applyBorder="1" applyAlignment="1">
      <alignment horizontal="center" wrapText="1"/>
    </xf>
    <xf numFmtId="0" fontId="54" fillId="52" borderId="23" xfId="0" applyFont="1" applyFill="1" applyBorder="1" applyAlignment="1">
      <alignment wrapText="1"/>
    </xf>
    <xf numFmtId="9" fontId="48" fillId="33" borderId="0" xfId="83" applyFont="1" applyFill="1" applyProtection="1"/>
    <xf numFmtId="0" fontId="49" fillId="0" borderId="0" xfId="85" applyFont="1" applyFill="1"/>
    <xf numFmtId="14" fontId="0" fillId="0" borderId="0" xfId="0" applyNumberFormat="1"/>
    <xf numFmtId="171" fontId="48" fillId="44" borderId="19" xfId="0" applyNumberFormat="1" applyFont="1" applyFill="1" applyBorder="1"/>
    <xf numFmtId="171" fontId="48" fillId="44" borderId="0" xfId="0" applyNumberFormat="1" applyFont="1" applyFill="1"/>
    <xf numFmtId="0" fontId="48" fillId="44" borderId="20" xfId="0" applyFont="1" applyFill="1" applyBorder="1"/>
    <xf numFmtId="171" fontId="48" fillId="44" borderId="33" xfId="0" applyNumberFormat="1" applyFont="1" applyFill="1" applyBorder="1"/>
    <xf numFmtId="171" fontId="48" fillId="44" borderId="20" xfId="0" applyNumberFormat="1" applyFont="1" applyFill="1" applyBorder="1"/>
    <xf numFmtId="171" fontId="48" fillId="44" borderId="34" xfId="0" applyNumberFormat="1" applyFont="1" applyFill="1" applyBorder="1"/>
    <xf numFmtId="0" fontId="54" fillId="44" borderId="0" xfId="0" applyFont="1" applyFill="1" applyAlignment="1">
      <alignment horizontal="center"/>
    </xf>
    <xf numFmtId="0" fontId="48" fillId="44" borderId="19" xfId="0" applyFont="1" applyFill="1" applyBorder="1"/>
    <xf numFmtId="0" fontId="48" fillId="44" borderId="33" xfId="0" applyFont="1" applyFill="1" applyBorder="1"/>
    <xf numFmtId="0" fontId="48" fillId="44" borderId="41" xfId="0" applyFont="1" applyFill="1" applyBorder="1"/>
    <xf numFmtId="171" fontId="48" fillId="46" borderId="62" xfId="79" applyNumberFormat="1" applyFont="1" applyFill="1" applyBorder="1" applyProtection="1">
      <protection locked="0"/>
    </xf>
    <xf numFmtId="167" fontId="48" fillId="54" borderId="73" xfId="79" applyNumberFormat="1" applyFont="1" applyFill="1" applyBorder="1" applyProtection="1"/>
    <xf numFmtId="170" fontId="48" fillId="53" borderId="73" xfId="79" applyNumberFormat="1" applyFont="1" applyFill="1" applyBorder="1" applyProtection="1">
      <protection locked="0"/>
    </xf>
    <xf numFmtId="0" fontId="87" fillId="35" borderId="0" xfId="32" applyFont="1" applyFill="1" applyBorder="1" applyAlignment="1" applyProtection="1">
      <protection locked="0"/>
    </xf>
    <xf numFmtId="170" fontId="87" fillId="36" borderId="74" xfId="32" applyNumberFormat="1" applyFont="1" applyFill="1" applyBorder="1" applyAlignment="1" applyProtection="1">
      <protection locked="0"/>
    </xf>
    <xf numFmtId="0" fontId="65" fillId="35" borderId="20" xfId="0" applyFont="1" applyFill="1" applyBorder="1"/>
    <xf numFmtId="0" fontId="88" fillId="0" borderId="0" xfId="1" applyFont="1" applyAlignment="1" applyProtection="1">
      <alignment horizontal="center" vertical="center"/>
      <protection hidden="1"/>
    </xf>
    <xf numFmtId="168" fontId="48" fillId="35" borderId="0" xfId="0" applyNumberFormat="1" applyFont="1" applyFill="1"/>
    <xf numFmtId="168" fontId="48" fillId="55" borderId="62" xfId="83" applyNumberFormat="1" applyFont="1" applyFill="1" applyBorder="1" applyAlignment="1" applyProtection="1">
      <alignment horizontal="center"/>
    </xf>
    <xf numFmtId="175" fontId="48" fillId="33" borderId="0" xfId="0" applyNumberFormat="1" applyFont="1" applyFill="1" applyAlignment="1">
      <alignment horizontal="center"/>
    </xf>
    <xf numFmtId="0" fontId="49" fillId="33" borderId="0" xfId="85" applyFont="1" applyFill="1" applyBorder="1" applyProtection="1"/>
    <xf numFmtId="0" fontId="49" fillId="53" borderId="75" xfId="85" applyFont="1" applyFill="1" applyBorder="1" applyProtection="1">
      <protection locked="0"/>
    </xf>
    <xf numFmtId="0" fontId="48" fillId="51" borderId="17" xfId="0" applyFont="1" applyFill="1" applyBorder="1"/>
    <xf numFmtId="0" fontId="48" fillId="36" borderId="23" xfId="88" applyFont="1" applyFill="1" applyBorder="1" applyAlignment="1">
      <alignment horizontal="center" vertical="center"/>
    </xf>
    <xf numFmtId="0" fontId="49" fillId="33" borderId="0" xfId="88" applyFont="1" applyFill="1" applyAlignment="1" applyProtection="1">
      <alignment horizontal="center" vertical="center"/>
      <protection locked="0"/>
    </xf>
    <xf numFmtId="0" fontId="82" fillId="57" borderId="62" xfId="0" applyFont="1" applyFill="1" applyBorder="1"/>
    <xf numFmtId="0" fontId="54" fillId="52" borderId="64" xfId="88" applyFont="1" applyFill="1" applyBorder="1" applyAlignment="1">
      <alignment horizontal="left" vertical="center"/>
    </xf>
    <xf numFmtId="16" fontId="0" fillId="33" borderId="0" xfId="0" applyNumberFormat="1" applyFill="1"/>
    <xf numFmtId="0" fontId="83" fillId="33" borderId="76" xfId="0" applyFont="1" applyFill="1" applyBorder="1" applyAlignment="1">
      <alignment horizontal="center"/>
    </xf>
    <xf numFmtId="0" fontId="0" fillId="33" borderId="0" xfId="0" applyFill="1" applyAlignment="1">
      <alignment horizontal="center"/>
    </xf>
    <xf numFmtId="16" fontId="0" fillId="33" borderId="76" xfId="0" applyNumberFormat="1" applyFill="1" applyBorder="1"/>
    <xf numFmtId="0" fontId="0" fillId="33" borderId="76" xfId="0" applyFill="1" applyBorder="1"/>
    <xf numFmtId="14" fontId="0" fillId="33" borderId="76" xfId="0" applyNumberFormat="1" applyFill="1" applyBorder="1"/>
    <xf numFmtId="0" fontId="49" fillId="33" borderId="19" xfId="0" applyFont="1" applyFill="1" applyBorder="1" applyAlignment="1">
      <alignment vertical="top"/>
    </xf>
    <xf numFmtId="0" fontId="49" fillId="33" borderId="0" xfId="0" applyFont="1" applyFill="1" applyAlignment="1">
      <alignment horizontal="center"/>
    </xf>
    <xf numFmtId="0" fontId="49" fillId="33" borderId="0" xfId="0" applyFont="1" applyFill="1" applyAlignment="1">
      <alignment vertical="top" wrapText="1"/>
    </xf>
    <xf numFmtId="167" fontId="49" fillId="54" borderId="73" xfId="79" applyNumberFormat="1" applyFont="1" applyFill="1" applyBorder="1" applyProtection="1"/>
    <xf numFmtId="170" fontId="49" fillId="53" borderId="73" xfId="79" applyNumberFormat="1" applyFont="1" applyFill="1" applyBorder="1" applyProtection="1">
      <protection locked="0"/>
    </xf>
    <xf numFmtId="168" fontId="49" fillId="36" borderId="62" xfId="83" applyNumberFormat="1" applyFont="1" applyFill="1" applyBorder="1" applyAlignment="1" applyProtection="1">
      <alignment horizontal="center"/>
    </xf>
    <xf numFmtId="168" fontId="49" fillId="55" borderId="62" xfId="83" applyNumberFormat="1" applyFont="1" applyFill="1" applyBorder="1" applyAlignment="1" applyProtection="1">
      <alignment horizontal="center"/>
    </xf>
    <xf numFmtId="0" fontId="49" fillId="35" borderId="19" xfId="0" applyFont="1" applyFill="1" applyBorder="1"/>
    <xf numFmtId="171" fontId="49" fillId="53" borderId="62" xfId="79" applyNumberFormat="1" applyFont="1" applyFill="1" applyBorder="1" applyProtection="1">
      <protection locked="0"/>
    </xf>
    <xf numFmtId="0" fontId="54" fillId="52" borderId="26" xfId="0" applyFont="1" applyFill="1" applyBorder="1" applyAlignment="1">
      <alignment horizontal="center" vertical="center" wrapText="1"/>
    </xf>
    <xf numFmtId="0" fontId="54" fillId="52" borderId="26" xfId="0" applyFont="1" applyFill="1" applyBorder="1" applyAlignment="1">
      <alignment horizontal="left" vertical="center" wrapText="1"/>
    </xf>
    <xf numFmtId="0" fontId="54" fillId="52" borderId="26" xfId="0" applyFont="1" applyFill="1" applyBorder="1" applyAlignment="1">
      <alignment horizontal="center"/>
    </xf>
    <xf numFmtId="0" fontId="54" fillId="52" borderId="42" xfId="0" applyFont="1" applyFill="1" applyBorder="1" applyAlignment="1">
      <alignment horizontal="left" vertical="center" wrapText="1"/>
    </xf>
    <xf numFmtId="0" fontId="83" fillId="33" borderId="0" xfId="0" applyFont="1" applyFill="1"/>
    <xf numFmtId="15" fontId="83" fillId="33" borderId="0" xfId="0" applyNumberFormat="1" applyFont="1" applyFill="1" applyAlignment="1">
      <alignment horizontal="left" vertical="top"/>
    </xf>
    <xf numFmtId="176" fontId="0" fillId="33" borderId="76" xfId="79" applyNumberFormat="1" applyFont="1" applyFill="1" applyBorder="1"/>
    <xf numFmtId="0" fontId="0" fillId="33" borderId="76" xfId="0" applyFill="1" applyBorder="1" applyAlignment="1">
      <alignment wrapText="1"/>
    </xf>
    <xf numFmtId="177" fontId="0" fillId="33" borderId="76" xfId="0" applyNumberFormat="1" applyFill="1" applyBorder="1"/>
    <xf numFmtId="15" fontId="0" fillId="33" borderId="76" xfId="0" applyNumberFormat="1" applyFill="1" applyBorder="1"/>
    <xf numFmtId="0" fontId="0" fillId="33" borderId="76" xfId="0" applyFill="1" applyBorder="1" applyAlignment="1">
      <alignment vertical="top" wrapText="1"/>
    </xf>
    <xf numFmtId="0" fontId="59" fillId="51" borderId="0" xfId="0" applyFont="1" applyFill="1"/>
    <xf numFmtId="0" fontId="49" fillId="33" borderId="0" xfId="0" applyFont="1" applyFill="1" applyAlignment="1">
      <alignment horizontal="left" vertical="top" wrapText="1"/>
    </xf>
    <xf numFmtId="0" fontId="49" fillId="33" borderId="0" xfId="0" applyFont="1" applyFill="1" applyAlignment="1">
      <alignment horizontal="left" vertical="center" wrapText="1"/>
    </xf>
    <xf numFmtId="0" fontId="50" fillId="33" borderId="66" xfId="88" applyFont="1" applyFill="1" applyBorder="1" applyAlignment="1">
      <alignment horizontal="left" vertical="center" wrapText="1"/>
    </xf>
    <xf numFmtId="0" fontId="51" fillId="33" borderId="67" xfId="88" applyFont="1" applyFill="1" applyBorder="1" applyAlignment="1">
      <alignment horizontal="left" vertical="center" wrapText="1"/>
    </xf>
    <xf numFmtId="0" fontId="51" fillId="33" borderId="68" xfId="88" applyFont="1" applyFill="1" applyBorder="1" applyAlignment="1">
      <alignment horizontal="left" vertical="center" wrapText="1"/>
    </xf>
    <xf numFmtId="0" fontId="50" fillId="33" borderId="13" xfId="88" applyFont="1" applyFill="1" applyBorder="1" applyAlignment="1">
      <alignment horizontal="left" vertical="center" wrapText="1" indent="3"/>
    </xf>
    <xf numFmtId="0" fontId="51" fillId="33" borderId="0" xfId="88" applyFont="1" applyFill="1" applyAlignment="1">
      <alignment horizontal="left" vertical="center" wrapText="1" indent="3"/>
    </xf>
    <xf numFmtId="0" fontId="51" fillId="33" borderId="53" xfId="88" applyFont="1" applyFill="1" applyBorder="1" applyAlignment="1">
      <alignment horizontal="left" vertical="center" wrapText="1" indent="3"/>
    </xf>
    <xf numFmtId="0" fontId="51" fillId="0" borderId="14" xfId="88" applyFont="1" applyBorder="1" applyAlignment="1">
      <alignment horizontal="left" vertical="center" wrapText="1"/>
    </xf>
    <xf numFmtId="0" fontId="51" fillId="0" borderId="26" xfId="88" applyFont="1" applyBorder="1" applyAlignment="1">
      <alignment horizontal="left" vertical="center" wrapText="1"/>
    </xf>
    <xf numFmtId="0" fontId="51" fillId="0" borderId="54" xfId="88" applyFont="1" applyBorder="1" applyAlignment="1">
      <alignment horizontal="left" vertical="center" wrapText="1"/>
    </xf>
    <xf numFmtId="0" fontId="48" fillId="0" borderId="63" xfId="0" applyFont="1" applyBorder="1" applyAlignment="1" applyProtection="1">
      <alignment horizontal="left" vertical="center"/>
      <protection hidden="1"/>
    </xf>
    <xf numFmtId="0" fontId="48" fillId="0" borderId="65" xfId="0" applyFont="1" applyBorder="1" applyAlignment="1" applyProtection="1">
      <alignment horizontal="left" vertical="center"/>
      <protection hidden="1"/>
    </xf>
    <xf numFmtId="0" fontId="48" fillId="0" borderId="64" xfId="0" applyFont="1" applyBorder="1" applyAlignment="1" applyProtection="1">
      <alignment horizontal="left" vertical="center"/>
      <protection hidden="1"/>
    </xf>
    <xf numFmtId="0" fontId="63" fillId="0" borderId="26" xfId="88" applyFont="1" applyBorder="1" applyAlignment="1">
      <alignment horizontal="center" vertical="center" wrapText="1"/>
    </xf>
    <xf numFmtId="0" fontId="54" fillId="52" borderId="63" xfId="88" applyFont="1" applyFill="1" applyBorder="1" applyAlignment="1">
      <alignment horizontal="left" vertical="center"/>
    </xf>
    <xf numFmtId="0" fontId="54" fillId="52" borderId="64" xfId="88" applyFont="1" applyFill="1" applyBorder="1" applyAlignment="1">
      <alignment horizontal="left" vertical="center"/>
    </xf>
    <xf numFmtId="0" fontId="54" fillId="52" borderId="65" xfId="88" applyFont="1" applyFill="1" applyBorder="1" applyAlignment="1">
      <alignment horizontal="left" vertical="center"/>
    </xf>
    <xf numFmtId="0" fontId="54" fillId="52" borderId="14" xfId="88" applyFont="1" applyFill="1" applyBorder="1" applyAlignment="1">
      <alignment horizontal="left" vertical="center"/>
    </xf>
    <xf numFmtId="0" fontId="54" fillId="52" borderId="26" xfId="88" applyFont="1" applyFill="1" applyBorder="1" applyAlignment="1">
      <alignment horizontal="left" vertical="center"/>
    </xf>
    <xf numFmtId="0" fontId="54" fillId="52" borderId="54" xfId="88" applyFont="1" applyFill="1" applyBorder="1" applyAlignment="1">
      <alignment horizontal="left" vertical="center"/>
    </xf>
    <xf numFmtId="0" fontId="51" fillId="53" borderId="63" xfId="88" applyFont="1" applyFill="1" applyBorder="1" applyAlignment="1" applyProtection="1">
      <alignment horizontal="left" vertical="top" wrapText="1"/>
      <protection locked="0"/>
    </xf>
    <xf numFmtId="0" fontId="51" fillId="53" borderId="65" xfId="88" applyFont="1" applyFill="1" applyBorder="1" applyAlignment="1" applyProtection="1">
      <alignment horizontal="left" vertical="top" wrapText="1"/>
      <protection locked="0"/>
    </xf>
    <xf numFmtId="0" fontId="51" fillId="53" borderId="64" xfId="88" applyFont="1" applyFill="1" applyBorder="1" applyAlignment="1" applyProtection="1">
      <alignment horizontal="left" vertical="top" wrapText="1"/>
      <protection locked="0"/>
    </xf>
    <xf numFmtId="0" fontId="54" fillId="52" borderId="63" xfId="0" applyFont="1" applyFill="1" applyBorder="1" applyAlignment="1" applyProtection="1">
      <alignment horizontal="left" vertical="center"/>
      <protection hidden="1"/>
    </xf>
    <xf numFmtId="0" fontId="54" fillId="52" borderId="65" xfId="0" applyFont="1" applyFill="1" applyBorder="1" applyAlignment="1" applyProtection="1">
      <alignment horizontal="left" vertical="center"/>
      <protection hidden="1"/>
    </xf>
    <xf numFmtId="0" fontId="54" fillId="52" borderId="64" xfId="0" applyFont="1" applyFill="1" applyBorder="1" applyAlignment="1" applyProtection="1">
      <alignment horizontal="left" vertical="center"/>
      <protection hidden="1"/>
    </xf>
    <xf numFmtId="0" fontId="54" fillId="52" borderId="21" xfId="0" applyFont="1" applyFill="1" applyBorder="1" applyAlignment="1">
      <alignment horizontal="center"/>
    </xf>
    <xf numFmtId="0" fontId="54" fillId="52" borderId="23" xfId="0" applyFont="1" applyFill="1" applyBorder="1" applyAlignment="1">
      <alignment horizontal="center"/>
    </xf>
    <xf numFmtId="0" fontId="56" fillId="33" borderId="0" xfId="0" applyFont="1" applyFill="1" applyAlignment="1">
      <alignment horizontal="center"/>
    </xf>
    <xf numFmtId="0" fontId="54" fillId="52" borderId="25" xfId="0" applyFont="1" applyFill="1" applyBorder="1" applyAlignment="1">
      <alignment horizontal="center" vertical="center"/>
    </xf>
    <xf numFmtId="0" fontId="54" fillId="52" borderId="0" xfId="0" applyFont="1" applyFill="1" applyAlignment="1">
      <alignment horizontal="center" vertical="center"/>
    </xf>
    <xf numFmtId="0" fontId="54" fillId="52" borderId="25" xfId="0" applyFont="1" applyFill="1" applyBorder="1" applyAlignment="1">
      <alignment horizontal="center" vertical="center" wrapText="1"/>
    </xf>
    <xf numFmtId="0" fontId="54" fillId="52" borderId="16" xfId="0" applyFont="1" applyFill="1" applyBorder="1" applyAlignment="1">
      <alignment horizontal="center" vertical="center" wrapText="1"/>
    </xf>
    <xf numFmtId="0" fontId="54" fillId="52" borderId="22" xfId="0" applyFont="1" applyFill="1" applyBorder="1" applyAlignment="1">
      <alignment horizontal="center" vertical="center"/>
    </xf>
    <xf numFmtId="0" fontId="54" fillId="52" borderId="15" xfId="0" applyFont="1" applyFill="1" applyBorder="1" applyAlignment="1">
      <alignment horizontal="left" vertical="center"/>
    </xf>
    <xf numFmtId="0" fontId="54" fillId="52" borderId="17" xfId="0" applyFont="1" applyFill="1" applyBorder="1" applyAlignment="1">
      <alignment horizontal="left" vertical="center"/>
    </xf>
    <xf numFmtId="171" fontId="54" fillId="52" borderId="25" xfId="0" applyNumberFormat="1" applyFont="1" applyFill="1" applyBorder="1" applyAlignment="1">
      <alignment horizontal="center" vertical="center" wrapText="1"/>
    </xf>
    <xf numFmtId="171" fontId="54" fillId="52" borderId="22" xfId="0" applyNumberFormat="1" applyFont="1" applyFill="1" applyBorder="1" applyAlignment="1">
      <alignment horizontal="center" vertical="center" wrapText="1"/>
    </xf>
    <xf numFmtId="0" fontId="48" fillId="0" borderId="0" xfId="0" applyFont="1" applyAlignment="1">
      <alignment horizontal="left" vertical="center" wrapText="1"/>
    </xf>
    <xf numFmtId="0" fontId="48" fillId="0" borderId="22" xfId="0" applyFont="1" applyBorder="1" applyAlignment="1">
      <alignment horizontal="left" vertical="center" wrapText="1"/>
    </xf>
    <xf numFmtId="0" fontId="59" fillId="52" borderId="25" xfId="0" applyFont="1" applyFill="1" applyBorder="1" applyAlignment="1">
      <alignment horizontal="center" vertical="center"/>
    </xf>
    <xf numFmtId="0" fontId="59" fillId="52" borderId="0" xfId="0" applyFont="1" applyFill="1" applyAlignment="1">
      <alignment horizontal="center" vertical="center"/>
    </xf>
    <xf numFmtId="0" fontId="59" fillId="52" borderId="16" xfId="0" applyFont="1" applyFill="1" applyBorder="1" applyAlignment="1">
      <alignment horizontal="center"/>
    </xf>
    <xf numFmtId="0" fontId="59" fillId="52" borderId="20" xfId="0" applyFont="1" applyFill="1" applyBorder="1" applyAlignment="1">
      <alignment horizontal="center"/>
    </xf>
    <xf numFmtId="0" fontId="54" fillId="52" borderId="19" xfId="0" applyFont="1" applyFill="1" applyBorder="1" applyAlignment="1">
      <alignment horizontal="left" vertical="center"/>
    </xf>
    <xf numFmtId="0" fontId="59" fillId="52" borderId="25" xfId="0" applyFont="1" applyFill="1" applyBorder="1" applyAlignment="1">
      <alignment horizontal="center"/>
    </xf>
    <xf numFmtId="0" fontId="59" fillId="52" borderId="0" xfId="0" applyFont="1" applyFill="1" applyAlignment="1">
      <alignment horizontal="center"/>
    </xf>
    <xf numFmtId="171" fontId="54" fillId="52" borderId="0" xfId="0" applyNumberFormat="1" applyFont="1" applyFill="1" applyAlignment="1">
      <alignment horizontal="center" vertical="center" wrapText="1"/>
    </xf>
    <xf numFmtId="171" fontId="59" fillId="52" borderId="25" xfId="0" applyNumberFormat="1" applyFont="1" applyFill="1" applyBorder="1" applyAlignment="1">
      <alignment horizontal="center" vertical="center"/>
    </xf>
    <xf numFmtId="171" fontId="59" fillId="52" borderId="0" xfId="0" applyNumberFormat="1" applyFont="1" applyFill="1" applyAlignment="1">
      <alignment horizontal="center" vertical="center"/>
    </xf>
    <xf numFmtId="171" fontId="54" fillId="52" borderId="25" xfId="0" applyNumberFormat="1" applyFont="1" applyFill="1" applyBorder="1" applyAlignment="1">
      <alignment horizontal="center" vertical="center"/>
    </xf>
    <xf numFmtId="171" fontId="54" fillId="52" borderId="0" xfId="0" applyNumberFormat="1" applyFont="1" applyFill="1" applyAlignment="1">
      <alignment horizontal="center" vertical="center"/>
    </xf>
    <xf numFmtId="0" fontId="58" fillId="33" borderId="0" xfId="0" applyFont="1" applyFill="1" applyAlignment="1">
      <alignment horizontal="left" wrapText="1"/>
    </xf>
    <xf numFmtId="0" fontId="59" fillId="52" borderId="39" xfId="0" applyFont="1" applyFill="1" applyBorder="1" applyAlignment="1">
      <alignment horizontal="center"/>
    </xf>
    <xf numFmtId="0" fontId="59" fillId="52" borderId="40" xfId="0" applyFont="1" applyFill="1" applyBorder="1" applyAlignment="1">
      <alignment horizontal="center"/>
    </xf>
    <xf numFmtId="171" fontId="59" fillId="52" borderId="16" xfId="0" applyNumberFormat="1" applyFont="1" applyFill="1" applyBorder="1" applyAlignment="1">
      <alignment horizontal="center"/>
    </xf>
    <xf numFmtId="171" fontId="59" fillId="52" borderId="18" xfId="0" applyNumberFormat="1" applyFont="1" applyFill="1" applyBorder="1" applyAlignment="1">
      <alignment horizontal="center"/>
    </xf>
    <xf numFmtId="0" fontId="54" fillId="52" borderId="25" xfId="0" applyFont="1" applyFill="1" applyBorder="1" applyAlignment="1">
      <alignment horizontal="left" vertical="center"/>
    </xf>
    <xf numFmtId="0" fontId="48" fillId="35" borderId="19" xfId="0" applyFont="1" applyFill="1" applyBorder="1" applyAlignment="1">
      <alignment horizontal="left"/>
    </xf>
    <xf numFmtId="0" fontId="48" fillId="35" borderId="0" xfId="0" applyFont="1" applyFill="1" applyAlignment="1">
      <alignment horizontal="left"/>
    </xf>
    <xf numFmtId="0" fontId="48" fillId="33" borderId="22" xfId="0" applyFont="1" applyFill="1" applyBorder="1" applyAlignment="1">
      <alignment horizontal="left" wrapText="1"/>
    </xf>
    <xf numFmtId="0" fontId="48" fillId="33" borderId="0" xfId="0" applyFont="1" applyFill="1" applyAlignment="1">
      <alignment horizontal="left" wrapText="1"/>
    </xf>
    <xf numFmtId="0" fontId="54" fillId="52" borderId="31" xfId="0" applyFont="1" applyFill="1" applyBorder="1" applyAlignment="1">
      <alignment horizontal="left" wrapText="1"/>
    </xf>
    <xf numFmtId="0" fontId="54" fillId="52" borderId="65" xfId="0" applyFont="1" applyFill="1" applyBorder="1" applyAlignment="1">
      <alignment horizontal="left" wrapText="1"/>
    </xf>
    <xf numFmtId="0" fontId="59" fillId="52" borderId="22" xfId="0" applyFont="1" applyFill="1" applyBorder="1" applyAlignment="1">
      <alignment horizontal="center" vertical="center"/>
    </xf>
    <xf numFmtId="171" fontId="54" fillId="52" borderId="22" xfId="0" applyNumberFormat="1" applyFont="1" applyFill="1" applyBorder="1" applyAlignment="1">
      <alignment horizontal="center" vertical="center"/>
    </xf>
    <xf numFmtId="0" fontId="54" fillId="52" borderId="25" xfId="0" applyFont="1" applyFill="1" applyBorder="1" applyAlignment="1">
      <alignment horizontal="center"/>
    </xf>
    <xf numFmtId="0" fontId="59" fillId="52" borderId="22" xfId="0" applyFont="1" applyFill="1" applyBorder="1" applyAlignment="1">
      <alignment horizontal="center"/>
    </xf>
    <xf numFmtId="0" fontId="59" fillId="52" borderId="18" xfId="0" applyFont="1" applyFill="1" applyBorder="1" applyAlignment="1">
      <alignment horizontal="center"/>
    </xf>
    <xf numFmtId="0" fontId="54" fillId="52" borderId="24" xfId="0" applyFont="1" applyFill="1" applyBorder="1" applyAlignment="1">
      <alignment horizontal="center" wrapText="1"/>
    </xf>
    <xf numFmtId="0" fontId="58" fillId="33" borderId="0" xfId="0" applyFont="1" applyFill="1" applyAlignment="1">
      <alignment horizontal="left" vertical="top" wrapText="1"/>
    </xf>
    <xf numFmtId="0" fontId="48" fillId="33" borderId="0" xfId="0" applyFont="1" applyFill="1" applyAlignment="1">
      <alignment wrapText="1"/>
    </xf>
    <xf numFmtId="0" fontId="81" fillId="33" borderId="0" xfId="0" applyFont="1" applyFill="1" applyAlignment="1">
      <alignment horizontal="left" vertical="center" wrapText="1"/>
    </xf>
    <xf numFmtId="0" fontId="48" fillId="53" borderId="66" xfId="0" applyFont="1" applyFill="1" applyBorder="1" applyAlignment="1" applyProtection="1">
      <alignment horizontal="left" vertical="center"/>
      <protection locked="0"/>
    </xf>
    <xf numFmtId="0" fontId="48" fillId="53" borderId="67" xfId="0" applyFont="1" applyFill="1" applyBorder="1" applyAlignment="1" applyProtection="1">
      <alignment horizontal="left" vertical="center"/>
      <protection locked="0"/>
    </xf>
    <xf numFmtId="0" fontId="48" fillId="53" borderId="68" xfId="0" applyFont="1" applyFill="1" applyBorder="1" applyAlignment="1" applyProtection="1">
      <alignment horizontal="left" vertical="center"/>
      <protection locked="0"/>
    </xf>
    <xf numFmtId="0" fontId="48" fillId="53" borderId="13" xfId="0" applyFont="1" applyFill="1" applyBorder="1" applyAlignment="1" applyProtection="1">
      <alignment horizontal="left" vertical="center"/>
      <protection locked="0"/>
    </xf>
    <xf numFmtId="0" fontId="48" fillId="53" borderId="0" xfId="0" applyFont="1" applyFill="1" applyAlignment="1" applyProtection="1">
      <alignment horizontal="left" vertical="center"/>
      <protection locked="0"/>
    </xf>
    <xf numFmtId="0" fontId="48" fillId="53" borderId="53" xfId="0" applyFont="1" applyFill="1" applyBorder="1" applyAlignment="1" applyProtection="1">
      <alignment horizontal="left" vertical="center"/>
      <protection locked="0"/>
    </xf>
    <xf numFmtId="0" fontId="48" fillId="53" borderId="14" xfId="0" applyFont="1" applyFill="1" applyBorder="1" applyAlignment="1" applyProtection="1">
      <alignment horizontal="left" vertical="center"/>
      <protection locked="0"/>
    </xf>
    <xf numFmtId="0" fontId="48" fillId="53" borderId="26" xfId="0" applyFont="1" applyFill="1" applyBorder="1" applyAlignment="1" applyProtection="1">
      <alignment horizontal="left" vertical="center"/>
      <protection locked="0"/>
    </xf>
    <xf numFmtId="0" fontId="48" fillId="53" borderId="54" xfId="0" applyFont="1" applyFill="1" applyBorder="1" applyAlignment="1" applyProtection="1">
      <alignment horizontal="left" vertical="center"/>
      <protection locked="0"/>
    </xf>
    <xf numFmtId="174" fontId="48" fillId="33" borderId="0" xfId="0" applyNumberFormat="1" applyFont="1" applyFill="1" applyAlignment="1">
      <alignment horizontal="left" wrapText="1"/>
    </xf>
    <xf numFmtId="174" fontId="48" fillId="53" borderId="62" xfId="0" applyNumberFormat="1" applyFont="1" applyFill="1" applyBorder="1" applyAlignment="1" applyProtection="1">
      <alignment horizontal="left" vertical="top" wrapText="1"/>
      <protection locked="0"/>
    </xf>
    <xf numFmtId="0" fontId="41" fillId="34" borderId="32" xfId="0" applyFont="1" applyFill="1" applyBorder="1" applyAlignment="1">
      <alignment horizontal="center" wrapText="1"/>
    </xf>
    <xf numFmtId="0" fontId="41" fillId="34" borderId="34" xfId="0" applyFont="1" applyFill="1" applyBorder="1" applyAlignment="1">
      <alignment horizontal="center" wrapText="1"/>
    </xf>
    <xf numFmtId="0" fontId="36" fillId="34" borderId="21" xfId="0" applyFont="1" applyFill="1" applyBorder="1" applyAlignment="1">
      <alignment horizontal="left"/>
    </xf>
    <xf numFmtId="0" fontId="36" fillId="34" borderId="23" xfId="0" applyFont="1" applyFill="1" applyBorder="1" applyAlignment="1">
      <alignment horizontal="left"/>
    </xf>
    <xf numFmtId="0" fontId="36" fillId="34" borderId="25" xfId="0" applyFont="1" applyFill="1" applyBorder="1" applyAlignment="1">
      <alignment horizontal="center"/>
    </xf>
    <xf numFmtId="0" fontId="36" fillId="34" borderId="16" xfId="0" applyFont="1" applyFill="1" applyBorder="1" applyAlignment="1">
      <alignment horizontal="center"/>
    </xf>
    <xf numFmtId="0" fontId="32" fillId="50" borderId="0" xfId="0" applyFont="1" applyFill="1" applyAlignment="1">
      <alignment horizontal="left"/>
    </xf>
    <xf numFmtId="0" fontId="45" fillId="50" borderId="0" xfId="0" applyFont="1" applyFill="1" applyAlignment="1">
      <alignment horizontal="center"/>
    </xf>
  </cellXfs>
  <cellStyles count="89">
    <cellStyle name="20 % - Accent1" xfId="2" xr:uid="{00000000-0005-0000-0000-000000000000}"/>
    <cellStyle name="20 % - Accent2" xfId="3" xr:uid="{00000000-0005-0000-0000-000001000000}"/>
    <cellStyle name="20 % - Accent3" xfId="4" xr:uid="{00000000-0005-0000-0000-000002000000}"/>
    <cellStyle name="20 % - Accent4" xfId="5" xr:uid="{00000000-0005-0000-0000-000003000000}"/>
    <cellStyle name="20 % - Accent5" xfId="6" xr:uid="{00000000-0005-0000-0000-000004000000}"/>
    <cellStyle name="20 % - Accent6" xfId="7" xr:uid="{00000000-0005-0000-0000-000005000000}"/>
    <cellStyle name="40 % - Accent1" xfId="8" xr:uid="{00000000-0005-0000-0000-000006000000}"/>
    <cellStyle name="40 % - Accent2" xfId="9" xr:uid="{00000000-0005-0000-0000-000007000000}"/>
    <cellStyle name="40 % - Accent3" xfId="10" xr:uid="{00000000-0005-0000-0000-000008000000}"/>
    <cellStyle name="40 % - Accent4" xfId="11" xr:uid="{00000000-0005-0000-0000-000009000000}"/>
    <cellStyle name="40 % - Accent5" xfId="12" xr:uid="{00000000-0005-0000-0000-00000A000000}"/>
    <cellStyle name="40 % - Accent6" xfId="13" xr:uid="{00000000-0005-0000-0000-00000B000000}"/>
    <cellStyle name="60 % - Accent1" xfId="14" xr:uid="{00000000-0005-0000-0000-00000C000000}"/>
    <cellStyle name="60 % - Accent2" xfId="15" xr:uid="{00000000-0005-0000-0000-00000D000000}"/>
    <cellStyle name="60 % - Accent3" xfId="16" xr:uid="{00000000-0005-0000-0000-00000E000000}"/>
    <cellStyle name="60 % - Accent4" xfId="17" xr:uid="{00000000-0005-0000-0000-00000F000000}"/>
    <cellStyle name="60 % - Accent5" xfId="18" xr:uid="{00000000-0005-0000-0000-000010000000}"/>
    <cellStyle name="60 % - Accent6"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vertissement" xfId="26" xr:uid="{00000000-0005-0000-0000-000018000000}"/>
    <cellStyle name="Calcul" xfId="27" xr:uid="{00000000-0005-0000-0000-000019000000}"/>
    <cellStyle name="Cellule liée" xfId="28" xr:uid="{00000000-0005-0000-0000-00001A000000}"/>
    <cellStyle name="Comma" xfId="79" builtinId="3"/>
    <cellStyle name="Comma 2" xfId="64" xr:uid="{00000000-0005-0000-0000-00001C000000}"/>
    <cellStyle name="Comma 2 2" xfId="81" xr:uid="{00000000-0005-0000-0000-00001D000000}"/>
    <cellStyle name="Comma 3" xfId="63" xr:uid="{00000000-0005-0000-0000-00001E000000}"/>
    <cellStyle name="Comma 4" xfId="84" xr:uid="{00000000-0005-0000-0000-00001F000000}"/>
    <cellStyle name="Commentaire" xfId="29" xr:uid="{00000000-0005-0000-0000-000020000000}"/>
    <cellStyle name="Entrée" xfId="30" xr:uid="{00000000-0005-0000-0000-000021000000}"/>
    <cellStyle name="Euro" xfId="31" xr:uid="{00000000-0005-0000-0000-000022000000}"/>
    <cellStyle name="GFSC1" xfId="65" xr:uid="{00000000-0005-0000-0000-000023000000}"/>
    <cellStyle name="GFSC10" xfId="66" xr:uid="{00000000-0005-0000-0000-000024000000}"/>
    <cellStyle name="GFSC2" xfId="67" xr:uid="{00000000-0005-0000-0000-000025000000}"/>
    <cellStyle name="GFSC3" xfId="68" xr:uid="{00000000-0005-0000-0000-000026000000}"/>
    <cellStyle name="GFSC4" xfId="69" xr:uid="{00000000-0005-0000-0000-000027000000}"/>
    <cellStyle name="GFSC5" xfId="70" xr:uid="{00000000-0005-0000-0000-000028000000}"/>
    <cellStyle name="GFSC6" xfId="71" xr:uid="{00000000-0005-0000-0000-000029000000}"/>
    <cellStyle name="GFSC7" xfId="72" xr:uid="{00000000-0005-0000-0000-00002A000000}"/>
    <cellStyle name="GFSC8" xfId="73" xr:uid="{00000000-0005-0000-0000-00002B000000}"/>
    <cellStyle name="GFSC9" xfId="74" xr:uid="{00000000-0005-0000-0000-00002C000000}"/>
    <cellStyle name="Hyperlink" xfId="32" builtinId="8"/>
    <cellStyle name="Hyperlink 2" xfId="75" xr:uid="{00000000-0005-0000-0000-00002E000000}"/>
    <cellStyle name="Insatisfaisant" xfId="33" xr:uid="{00000000-0005-0000-0000-00002F000000}"/>
    <cellStyle name="Neutre" xfId="34" xr:uid="{00000000-0005-0000-0000-000030000000}"/>
    <cellStyle name="Normal" xfId="0" builtinId="0"/>
    <cellStyle name="Normal 2" xfId="1" xr:uid="{00000000-0005-0000-0000-000032000000}"/>
    <cellStyle name="Normal 2 2" xfId="76" xr:uid="{00000000-0005-0000-0000-000033000000}"/>
    <cellStyle name="Normal 2 3" xfId="80" xr:uid="{00000000-0005-0000-0000-000034000000}"/>
    <cellStyle name="Normal 2 4" xfId="86" xr:uid="{00000000-0005-0000-0000-000035000000}"/>
    <cellStyle name="Normal 3" xfId="77" xr:uid="{00000000-0005-0000-0000-000036000000}"/>
    <cellStyle name="Normal 4" xfId="62" xr:uid="{00000000-0005-0000-0000-000037000000}"/>
    <cellStyle name="Normal 6" xfId="88" xr:uid="{00000000-0005-0000-0000-000038000000}"/>
    <cellStyle name="Normalny 2 2" xfId="85" xr:uid="{00000000-0005-0000-0000-000039000000}"/>
    <cellStyle name="Per cent" xfId="83" builtinId="5"/>
    <cellStyle name="Percent 2" xfId="35" xr:uid="{00000000-0005-0000-0000-00003B000000}"/>
    <cellStyle name="Percent 2 2" xfId="82" xr:uid="{00000000-0005-0000-0000-00003C000000}"/>
    <cellStyle name="Percent 3" xfId="78" xr:uid="{00000000-0005-0000-0000-00003D000000}"/>
    <cellStyle name="Percent 4" xfId="87" xr:uid="{00000000-0005-0000-0000-00003E000000}"/>
    <cellStyle name="QIS2CalcCell" xfId="36" xr:uid="{00000000-0005-0000-0000-00003F000000}"/>
    <cellStyle name="QIS2InputCell" xfId="37" xr:uid="{00000000-0005-0000-0000-000040000000}"/>
    <cellStyle name="QIS5Area" xfId="38" xr:uid="{00000000-0005-0000-0000-000041000000}"/>
    <cellStyle name="QIS5CalcCell" xfId="39" xr:uid="{00000000-0005-0000-0000-000042000000}"/>
    <cellStyle name="QIS5Check" xfId="40" xr:uid="{00000000-0005-0000-0000-000043000000}"/>
    <cellStyle name="QIS5Empty" xfId="41" xr:uid="{00000000-0005-0000-0000-000044000000}"/>
    <cellStyle name="QIS5Fix" xfId="42" xr:uid="{00000000-0005-0000-0000-000045000000}"/>
    <cellStyle name="QIS5Header" xfId="43" xr:uid="{00000000-0005-0000-0000-000046000000}"/>
    <cellStyle name="QIS5InputCell" xfId="44" xr:uid="{00000000-0005-0000-0000-000047000000}"/>
    <cellStyle name="QIS5Label" xfId="45" xr:uid="{00000000-0005-0000-0000-000048000000}"/>
    <cellStyle name="QIS5Locked" xfId="46" xr:uid="{00000000-0005-0000-0000-000049000000}"/>
    <cellStyle name="QIS5Output" xfId="47" xr:uid="{00000000-0005-0000-0000-00004A000000}"/>
    <cellStyle name="QIS5Param" xfId="48" xr:uid="{00000000-0005-0000-0000-00004B000000}"/>
    <cellStyle name="QIS5SheetHeader" xfId="49" xr:uid="{00000000-0005-0000-0000-00004C000000}"/>
    <cellStyle name="QIS5XLink" xfId="50" xr:uid="{00000000-0005-0000-0000-00004D000000}"/>
    <cellStyle name="Satisfaisant" xfId="51" xr:uid="{00000000-0005-0000-0000-00004E000000}"/>
    <cellStyle name="Sortie" xfId="52" xr:uid="{00000000-0005-0000-0000-00004F000000}"/>
    <cellStyle name="Style 1" xfId="53" xr:uid="{00000000-0005-0000-0000-000050000000}"/>
    <cellStyle name="Texte explicatif" xfId="54" xr:uid="{00000000-0005-0000-0000-000051000000}"/>
    <cellStyle name="Titre" xfId="55" xr:uid="{00000000-0005-0000-0000-000052000000}"/>
    <cellStyle name="Titre 1" xfId="56" xr:uid="{00000000-0005-0000-0000-000053000000}"/>
    <cellStyle name="Titre 2" xfId="57" xr:uid="{00000000-0005-0000-0000-000054000000}"/>
    <cellStyle name="Titre 3" xfId="58" xr:uid="{00000000-0005-0000-0000-000055000000}"/>
    <cellStyle name="Titre 4" xfId="59" xr:uid="{00000000-0005-0000-0000-000056000000}"/>
    <cellStyle name="Total 2" xfId="60" xr:uid="{00000000-0005-0000-0000-000057000000}"/>
    <cellStyle name="Vérification" xfId="61" xr:uid="{00000000-0005-0000-0000-000058000000}"/>
  </cellStyles>
  <dxfs count="844">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ill>
        <patternFill>
          <bgColor theme="5"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s>
  <tableStyles count="0" defaultTableStyle="TableStyleMedium2" defaultPivotStyle="PivotStyleLight16"/>
  <colors>
    <mruColors>
      <color rgb="FF005782"/>
      <color rgb="FFD9D9D9"/>
      <color rgb="FFCCFFFF"/>
      <color rgb="FFFF99FF"/>
      <color rgb="FFFF99CC"/>
      <color rgb="FFFFFF99"/>
      <color rgb="FF00FFFF"/>
      <color rgb="FF00FFCC"/>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4.emf"/><Relationship Id="rId1"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3</xdr:col>
      <xdr:colOff>422250</xdr:colOff>
      <xdr:row>1</xdr:row>
      <xdr:rowOff>534290</xdr:rowOff>
    </xdr:to>
    <xdr:pic>
      <xdr:nvPicPr>
        <xdr:cNvPr id="2" name="Picture 1" descr="\\BALLACLEATOR\FSC Shared Data$\Common\IOMFSA logo\IOMFSA_landscape.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 y="0"/>
          <a:ext cx="3256890" cy="73241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3106732</xdr:colOff>
      <xdr:row>2</xdr:row>
      <xdr:rowOff>74849</xdr:rowOff>
    </xdr:to>
    <xdr:pic>
      <xdr:nvPicPr>
        <xdr:cNvPr id="2" name="Picture 1" descr="\\BALLACLEATOR\FSC Shared Data$\Common\IOMFSA logo\IOMFSA_landscape.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3109533</xdr:colOff>
      <xdr:row>2</xdr:row>
      <xdr:rowOff>116871</xdr:rowOff>
    </xdr:to>
    <xdr:pic>
      <xdr:nvPicPr>
        <xdr:cNvPr id="2" name="Picture 1" descr="\\BALLACLEATOR\FSC Shared Data$\Common\IOMFSA logo\IOMFSA_landscape.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137733</xdr:colOff>
      <xdr:row>1</xdr:row>
      <xdr:rowOff>535971</xdr:rowOff>
    </xdr:to>
    <xdr:pic>
      <xdr:nvPicPr>
        <xdr:cNvPr id="2" name="Picture 1" descr="\\BALLACLEATOR\FSC Shared Data$\Common\IOMFSA logo\IOMFSA_landscape.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1137858</xdr:colOff>
      <xdr:row>2</xdr:row>
      <xdr:rowOff>145446</xdr:rowOff>
    </xdr:to>
    <xdr:pic>
      <xdr:nvPicPr>
        <xdr:cNvPr id="2" name="Picture 1" descr="\\BALLACLEATOR\FSC Shared Data$\Common\IOMFSA logo\IOMFSA_landscape.jp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2966658</xdr:colOff>
      <xdr:row>3</xdr:row>
      <xdr:rowOff>126396</xdr:rowOff>
    </xdr:to>
    <xdr:pic>
      <xdr:nvPicPr>
        <xdr:cNvPr id="2" name="Picture 1" descr="\\BALLACLEATOR\FSC Shared Data$\Common\IOMFSA logo\IOMFSA_landscape.jpg">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842583</xdr:colOff>
      <xdr:row>3</xdr:row>
      <xdr:rowOff>69246</xdr:rowOff>
    </xdr:to>
    <xdr:pic>
      <xdr:nvPicPr>
        <xdr:cNvPr id="2" name="Picture 1" descr="\\BALLACLEATOR\FSC Shared Data$\Common\IOMFSA logo\IOMFSA_landscape.jpg">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2905026</xdr:colOff>
      <xdr:row>1</xdr:row>
      <xdr:rowOff>543815</xdr:rowOff>
    </xdr:to>
    <xdr:pic>
      <xdr:nvPicPr>
        <xdr:cNvPr id="2" name="Picture 1" descr="\\BALLACLEATOR\FSC Shared Data$\Common\IOMFSA logo\IOMFSA_landscape.jpg">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3247926" cy="73431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335377</xdr:colOff>
      <xdr:row>1</xdr:row>
      <xdr:rowOff>533590</xdr:rowOff>
    </xdr:to>
    <xdr:pic>
      <xdr:nvPicPr>
        <xdr:cNvPr id="2" name="Picture 1" descr="\\BALLACLEATOR\FSC Shared Data$\Common\IOMFSA logo\IOMFSA_landscape.jpg">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835439</xdr:colOff>
      <xdr:row>2</xdr:row>
      <xdr:rowOff>190</xdr:rowOff>
    </xdr:to>
    <xdr:pic>
      <xdr:nvPicPr>
        <xdr:cNvPr id="2" name="Picture 1" descr="\\BALLACLEATOR\FSC Shared Data$\Common\IOMFSA logo\IOMFSA_landscape.jpg">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52008</xdr:colOff>
      <xdr:row>1</xdr:row>
      <xdr:rowOff>488346</xdr:rowOff>
    </xdr:to>
    <xdr:pic>
      <xdr:nvPicPr>
        <xdr:cNvPr id="2" name="Picture 1" descr="\\BALLACLEATOR\FSC Shared Data$\Common\IOMFSA logo\IOMFSA_landscape.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6</xdr:row>
      <xdr:rowOff>76200</xdr:rowOff>
    </xdr:from>
    <xdr:to>
      <xdr:col>7</xdr:col>
      <xdr:colOff>514350</xdr:colOff>
      <xdr:row>23</xdr:row>
      <xdr:rowOff>20638</xdr:rowOff>
    </xdr:to>
    <xdr:pic>
      <xdr:nvPicPr>
        <xdr:cNvPr id="3" name="Picture 10">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1104900"/>
          <a:ext cx="6772275" cy="3135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585408</xdr:colOff>
      <xdr:row>1</xdr:row>
      <xdr:rowOff>535971</xdr:rowOff>
    </xdr:to>
    <xdr:pic>
      <xdr:nvPicPr>
        <xdr:cNvPr id="4" name="Picture 3" descr="\\BALLACLEATOR\FSC Shared Data$\Common\IOMFSA logo\IOMFSA_landscape.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1208018</xdr:colOff>
      <xdr:row>1</xdr:row>
      <xdr:rowOff>538526</xdr:rowOff>
    </xdr:to>
    <xdr:pic>
      <xdr:nvPicPr>
        <xdr:cNvPr id="2" name="Picture 1" descr="\\BALLACLEATOR\FSC Shared Data$\Common\IOMFSA logo\IOMFSA_landscape.jpg">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1080708</xdr:colOff>
      <xdr:row>1</xdr:row>
      <xdr:rowOff>535971</xdr:rowOff>
    </xdr:to>
    <xdr:pic>
      <xdr:nvPicPr>
        <xdr:cNvPr id="2" name="Picture 1" descr="\\BALLACLEATOR\FSC Shared Data$\Common\IOMFSA logo\IOMFSA_landscape.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527815</xdr:colOff>
      <xdr:row>2</xdr:row>
      <xdr:rowOff>115763</xdr:rowOff>
    </xdr:to>
    <xdr:pic>
      <xdr:nvPicPr>
        <xdr:cNvPr id="2" name="Picture 1" descr="\\BALLACLEATOR\FSC Shared Data$\Common\IOMFSA logo\IOMFSA_landscape.jp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3107292</xdr:colOff>
      <xdr:row>2</xdr:row>
      <xdr:rowOff>164496</xdr:rowOff>
    </xdr:to>
    <xdr:pic>
      <xdr:nvPicPr>
        <xdr:cNvPr id="2" name="Picture 1" descr="\\BALLACLEATOR\FSC Shared Data$\Common\IOMFSA logo\IOMFSA_landscape.jp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87120</xdr:rowOff>
    </xdr:to>
    <xdr:pic>
      <xdr:nvPicPr>
        <xdr:cNvPr id="2" name="Picture 1" descr="\\BALLACLEATOR\FSC Shared Data$\Common\IOMFSA logo\IOMFSA_landscape.jpg">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3105051</xdr:colOff>
      <xdr:row>2</xdr:row>
      <xdr:rowOff>890</xdr:rowOff>
    </xdr:to>
    <xdr:pic>
      <xdr:nvPicPr>
        <xdr:cNvPr id="2" name="Picture 1" descr="\\BALLACLEATOR\FSC Shared Data$\Common\IOMFSA logo\IOMFSA_landscape.jpg">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20618</xdr:colOff>
      <xdr:row>0</xdr:row>
      <xdr:rowOff>0</xdr:rowOff>
    </xdr:from>
    <xdr:to>
      <xdr:col>4</xdr:col>
      <xdr:colOff>383438</xdr:colOff>
      <xdr:row>2</xdr:row>
      <xdr:rowOff>49020</xdr:rowOff>
    </xdr:to>
    <xdr:pic>
      <xdr:nvPicPr>
        <xdr:cNvPr id="2" name="Picture 1" descr="\\BALLACLEATOR\FSC Shared Data$\Common\IOMFSA logo\IOMFSA_landscape.jpg">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8" y="0"/>
          <a:ext cx="3250800" cy="72720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2885040</xdr:colOff>
      <xdr:row>2</xdr:row>
      <xdr:rowOff>12096</xdr:rowOff>
    </xdr:to>
    <xdr:pic>
      <xdr:nvPicPr>
        <xdr:cNvPr id="2" name="Picture 1" descr="\\BALLACLEATOR\FSC Shared Data$\Common\IOMFSA logo\IOMFSA_landscape.jpg">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83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2763120</xdr:colOff>
      <xdr:row>3</xdr:row>
      <xdr:rowOff>18540</xdr:rowOff>
    </xdr:to>
    <xdr:pic>
      <xdr:nvPicPr>
        <xdr:cNvPr id="4" name="Picture 3" descr="\\BALLACLEATOR\FSC Shared Data$\Common\IOMFSA logo\IOMFSA_landscape.jpg">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twoCellAnchor>
    <xdr:from>
      <xdr:col>0</xdr:col>
      <xdr:colOff>38100</xdr:colOff>
      <xdr:row>76</xdr:row>
      <xdr:rowOff>66675</xdr:rowOff>
    </xdr:from>
    <xdr:to>
      <xdr:col>9</xdr:col>
      <xdr:colOff>1181100</xdr:colOff>
      <xdr:row>117</xdr:row>
      <xdr:rowOff>38100</xdr:rowOff>
    </xdr:to>
    <xdr:sp macro="" textlink="">
      <xdr:nvSpPr>
        <xdr:cNvPr id="8" name="TextBox 7">
          <a:extLst>
            <a:ext uri="{FF2B5EF4-FFF2-40B4-BE49-F238E27FC236}">
              <a16:creationId xmlns:a16="http://schemas.microsoft.com/office/drawing/2014/main" id="{00000000-0008-0000-1D00-000008000000}"/>
            </a:ext>
          </a:extLst>
        </xdr:cNvPr>
        <xdr:cNvSpPr txBox="1"/>
      </xdr:nvSpPr>
      <xdr:spPr>
        <a:xfrm>
          <a:off x="38100" y="15506700"/>
          <a:ext cx="9286875" cy="817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lvl="0" indent="-228600">
            <a:buFont typeface="+mj-lt"/>
            <a:buAutoNum type="arabicPeriod"/>
          </a:pPr>
          <a:r>
            <a:rPr lang="en-GB" sz="1100">
              <a:solidFill>
                <a:schemeClr val="dk1"/>
              </a:solidFill>
              <a:effectLst/>
              <a:latin typeface="+mn-lt"/>
              <a:ea typeface="+mn-ea"/>
              <a:cs typeface="+mn-cs"/>
            </a:rPr>
            <a:t>Input liabilities/expenses as a negative number, which will appear in brackets in the table.</a:t>
          </a:r>
        </a:p>
        <a:p>
          <a:pPr marL="228600" lvl="0" indent="-228600">
            <a:buFont typeface="+mj-lt"/>
            <a:buAutoNum type="arabicPeriod"/>
          </a:pPr>
          <a:r>
            <a:rPr lang="en-GB" sz="1100">
              <a:solidFill>
                <a:schemeClr val="dk1"/>
              </a:solidFill>
              <a:effectLst/>
              <a:latin typeface="+mn-lt"/>
              <a:ea typeface="+mn-ea"/>
              <a:cs typeface="+mn-cs"/>
            </a:rPr>
            <a:t>Input assets/income as a positive number. </a:t>
          </a:r>
        </a:p>
        <a:p>
          <a:pPr marL="228600" lvl="0" indent="-228600">
            <a:buFont typeface="+mj-lt"/>
            <a:buAutoNum type="arabicPeriod"/>
          </a:pPr>
          <a:r>
            <a:rPr lang="en-GB" sz="1100">
              <a:solidFill>
                <a:schemeClr val="dk1"/>
              </a:solidFill>
              <a:effectLst/>
              <a:latin typeface="+mn-lt"/>
              <a:ea typeface="+mn-ea"/>
              <a:cs typeface="+mn-cs"/>
            </a:rPr>
            <a:t>Input amounts in reporting currency (see Index Tab for more details).</a:t>
          </a:r>
        </a:p>
        <a:p>
          <a:pPr marL="228600" lvl="0" indent="-228600">
            <a:buFont typeface="+mj-lt"/>
            <a:buAutoNum type="arabicPeriod"/>
          </a:pPr>
          <a:r>
            <a:rPr lang="en-GB" sz="1100">
              <a:solidFill>
                <a:schemeClr val="dk1"/>
              </a:solidFill>
              <a:effectLst/>
              <a:latin typeface="+mn-lt"/>
              <a:ea typeface="+mn-ea"/>
              <a:cs typeface="+mn-cs"/>
            </a:rPr>
            <a:t>Where a column is headed “’000” this means that amounts are to be entered as thousands (for example £10,504,603.00 is entered as 10504.603 and will appear as 10,504.603).</a:t>
          </a:r>
        </a:p>
        <a:p>
          <a:pPr marL="228600" lvl="0" indent="-228600">
            <a:buFont typeface="+mj-lt"/>
            <a:buAutoNum type="arabicPeriod"/>
          </a:pPr>
          <a:r>
            <a:rPr lang="en-GB" sz="1100">
              <a:solidFill>
                <a:schemeClr val="dk1"/>
              </a:solidFill>
              <a:effectLst/>
              <a:latin typeface="+mn-lt"/>
              <a:ea typeface="+mn-ea"/>
              <a:cs typeface="+mn-cs"/>
            </a:rPr>
            <a:t>Use the comments boxes for brief commentary where necessary to support the information provided.</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Insurance Technical Provisions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following analyses the insurer’s total net technical provisions as at the reporting period end date:</a:t>
          </a:r>
        </a:p>
        <a:p>
          <a:pPr marL="171450" indent="-171450">
            <a:buFont typeface="Arial" panose="020B0604020202020204" pitchFamily="34" charset="0"/>
            <a:buChar char="•"/>
          </a:pPr>
          <a:r>
            <a:rPr lang="en-GB" sz="1100">
              <a:solidFill>
                <a:schemeClr val="dk1"/>
              </a:solidFill>
              <a:effectLst/>
              <a:latin typeface="+mn-lt"/>
              <a:ea typeface="+mn-ea"/>
              <a:cs typeface="+mn-cs"/>
            </a:rPr>
            <a:t>Analyse the insurer’s total gross technical provisions into the component UPR, OCR, IBNR, IBNER, URR and any other technical provision by any name. Note: URR is only required to be shown if not already included in UPR (include any unearned inward reinsurance premiums but exclude any unexpended outward reinsurance premiums). </a:t>
          </a:r>
          <a:r>
            <a:rPr lang="en-GB">
              <a:effectLst/>
            </a:rPr>
            <a:t> </a:t>
          </a:r>
        </a:p>
        <a:p>
          <a:pPr marL="171450" indent="-171450">
            <a:buFont typeface="Arial" panose="020B0604020202020204" pitchFamily="34" charset="0"/>
            <a:buChar char="•"/>
          </a:pPr>
          <a:r>
            <a:rPr lang="en-GB" sz="1100">
              <a:solidFill>
                <a:schemeClr val="dk1"/>
              </a:solidFill>
              <a:effectLst/>
              <a:latin typeface="+mn-lt"/>
              <a:ea typeface="+mn-ea"/>
              <a:cs typeface="+mn-cs"/>
            </a:rPr>
            <a:t>Enter the insurer’s total amounts recoverable from reinsurers as at the reporting period end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resulting total net technical provisions must correspond to the total net technical provisions contained in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endParaRPr lang="en-GB">
            <a:effectLst/>
          </a:endParaRPr>
        </a:p>
        <a:p>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Profit and Loss Statement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 the following the “reporting period” means the reporting period of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endParaRPr lang="en-GB">
            <a:effectLst/>
          </a:endParaRPr>
        </a:p>
        <a:p>
          <a:pPr marL="171450" lvl="0" indent="-171450">
            <a:buFont typeface="Arial" panose="020B0604020202020204" pitchFamily="34" charset="0"/>
            <a:buChar char="•"/>
          </a:pPr>
          <a:r>
            <a:rPr lang="en-GB" sz="1100">
              <a:solidFill>
                <a:schemeClr val="dk1"/>
              </a:solidFill>
              <a:effectLst/>
              <a:latin typeface="+mn-lt"/>
              <a:ea typeface="+mn-ea"/>
              <a:cs typeface="+mn-cs"/>
            </a:rPr>
            <a:t>For “Gross premiums written”</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insurance and reinsurance premiums written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“Outward reinsurance premiums ceded”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reinsurance premiums applicable to all reinsurance ceded or retroceded by the insurer during the reporting period.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For “Movement in UPR"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UPR for the reporting period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(include any unearned inward reinsurance premiums but exclude any unexpended outward reinsurance premiums). </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URR”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URR for the reporting period (if not already shown under movement in UPR).</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OCR, IBNR and IBNER”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following technical provisions for the reporting period: its OCR, IBNR and IBNER (do not include UPR or URR as these are shown under separate headings). </a:t>
          </a:r>
        </a:p>
        <a:p>
          <a:pPr marL="171450" lvl="0" indent="-171450">
            <a:buFont typeface="Arial" panose="020B0604020202020204" pitchFamily="34" charset="0"/>
            <a:buChar char="•"/>
          </a:pPr>
          <a:r>
            <a:rPr lang="en-GB" sz="1100">
              <a:solidFill>
                <a:schemeClr val="dk1"/>
              </a:solidFill>
              <a:effectLst/>
              <a:latin typeface="+mn-lt"/>
              <a:ea typeface="+mn-ea"/>
              <a:cs typeface="+mn-cs"/>
            </a:rPr>
            <a:t>For “Gross claims paid”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paid by the insurer during the reporting period, including any claims payments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“Reinsurance recovered”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recoveries received by the insurer from its reinsurers during the reporting period, including any recoveries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“All</a:t>
          </a:r>
          <a:r>
            <a:rPr lang="en-GB" sz="1100" baseline="0">
              <a:solidFill>
                <a:schemeClr val="dk1"/>
              </a:solidFill>
              <a:effectLst/>
              <a:latin typeface="+mn-lt"/>
              <a:ea typeface="+mn-ea"/>
              <a:cs typeface="+mn-cs"/>
            </a:rPr>
            <a:t> expenses and net c</a:t>
          </a:r>
          <a:r>
            <a:rPr lang="en-GB" sz="1100">
              <a:solidFill>
                <a:schemeClr val="dk1"/>
              </a:solidFill>
              <a:effectLst/>
              <a:latin typeface="+mn-lt"/>
              <a:ea typeface="+mn-ea"/>
              <a:cs typeface="+mn-cs"/>
            </a:rPr>
            <a:t>ommissions”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net commissions and expenses incurred by the insurer during the reporting period, including any movement in deferred acquisition costs. For</a:t>
          </a:r>
          <a:r>
            <a:rPr lang="en-GB" sz="1100" baseline="0">
              <a:solidFill>
                <a:schemeClr val="dk1"/>
              </a:solidFill>
              <a:effectLst/>
              <a:latin typeface="+mn-lt"/>
              <a:ea typeface="+mn-ea"/>
              <a:cs typeface="+mn-cs"/>
            </a:rPr>
            <a:t> clarity this should include</a:t>
          </a:r>
          <a:r>
            <a:rPr lang="en-GB" sz="1100">
              <a:solidFill>
                <a:schemeClr val="dk1"/>
              </a:solidFill>
              <a:effectLst/>
              <a:latin typeface="+mn-lt"/>
              <a:ea typeface="+mn-ea"/>
              <a:cs typeface="+mn-cs"/>
            </a:rPr>
            <a:t> all expenses recorded within the Statement of Comprehensive Income (or equivalent) whether allocated to insurance or not.</a:t>
          </a:r>
          <a:endParaRPr lang="en-GB" sz="1100">
            <a:effectLst/>
          </a:endParaRPr>
        </a:p>
        <a:p>
          <a:pPr marL="171450" lvl="0" indent="-171450">
            <a:buFont typeface="Arial" panose="020B0604020202020204" pitchFamily="34" charset="0"/>
            <a:buChar char="•"/>
          </a:pPr>
          <a:r>
            <a:rPr lang="en-GB" sz="1100">
              <a:solidFill>
                <a:schemeClr val="dk1"/>
              </a:solidFill>
              <a:effectLst/>
              <a:latin typeface="+mn-lt"/>
              <a:ea typeface="+mn-ea"/>
              <a:cs typeface="+mn-cs"/>
            </a:rPr>
            <a:t>For “Foreign exchange movements"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movement in foreign exchange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“Investment income”</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investment income earned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“Any other item not attributable to any of the above (specify)” enter any other items included in the insurer’s profit and loss statement for the reporting period, and specify in the comment box provided what those items are.</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Statistical Information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Number of staff at the reporting date should include directors and officers but should exclude staff providing services by an outsourced arrangement with an insurance manager.</a:t>
          </a:r>
        </a:p>
        <a:p>
          <a:endParaRPr lang="en-GB" sz="1100"/>
        </a:p>
        <a:p>
          <a:r>
            <a:rPr lang="en-GB" sz="1100"/>
            <a:t>PCC Supporting Cores must</a:t>
          </a:r>
          <a:r>
            <a:rPr lang="en-GB" sz="1100" baseline="0"/>
            <a:t> enter 1 in the number of policyholders field.</a:t>
          </a:r>
          <a:endParaRPr lang="en-GB"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28575</xdr:colOff>
      <xdr:row>26</xdr:row>
      <xdr:rowOff>0</xdr:rowOff>
    </xdr:from>
    <xdr:to>
      <xdr:col>0</xdr:col>
      <xdr:colOff>28575</xdr:colOff>
      <xdr:row>54</xdr:row>
      <xdr:rowOff>38100</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5219700"/>
          <a:ext cx="6395085" cy="583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60</xdr:row>
      <xdr:rowOff>133350</xdr:rowOff>
    </xdr:from>
    <xdr:to>
      <xdr:col>0</xdr:col>
      <xdr:colOff>28575</xdr:colOff>
      <xdr:row>88</xdr:row>
      <xdr:rowOff>123825</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11052810"/>
          <a:ext cx="6395085"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6350</xdr:rowOff>
    </xdr:from>
    <xdr:to>
      <xdr:col>2</xdr:col>
      <xdr:colOff>1780140</xdr:colOff>
      <xdr:row>2</xdr:row>
      <xdr:rowOff>94646</xdr:rowOff>
    </xdr:to>
    <xdr:pic>
      <xdr:nvPicPr>
        <xdr:cNvPr id="7" name="Picture 6" descr="\\BALLACLEATOR\FSC Shared Data$\Common\IOMFSA logo\IOMFSA_landscape.jpg">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350"/>
          <a:ext cx="3250800" cy="728376"/>
        </a:xfrm>
        <a:prstGeom prst="rect">
          <a:avLst/>
        </a:prstGeom>
        <a:noFill/>
        <a:ln>
          <a:noFill/>
        </a:ln>
      </xdr:spPr>
    </xdr:pic>
    <xdr:clientData/>
  </xdr:twoCellAnchor>
  <xdr:twoCellAnchor>
    <xdr:from>
      <xdr:col>1</xdr:col>
      <xdr:colOff>0</xdr:colOff>
      <xdr:row>26</xdr:row>
      <xdr:rowOff>200024</xdr:rowOff>
    </xdr:from>
    <xdr:to>
      <xdr:col>7</xdr:col>
      <xdr:colOff>381000</xdr:colOff>
      <xdr:row>111</xdr:row>
      <xdr:rowOff>9524</xdr:rowOff>
    </xdr:to>
    <xdr:sp macro="" textlink="">
      <xdr:nvSpPr>
        <xdr:cNvPr id="9" name="TextBox 8">
          <a:extLst>
            <a:ext uri="{FF2B5EF4-FFF2-40B4-BE49-F238E27FC236}">
              <a16:creationId xmlns:a16="http://schemas.microsoft.com/office/drawing/2014/main" id="{00000000-0008-0000-1E00-000009000000}"/>
            </a:ext>
          </a:extLst>
        </xdr:cNvPr>
        <xdr:cNvSpPr txBox="1"/>
      </xdr:nvSpPr>
      <xdr:spPr>
        <a:xfrm>
          <a:off x="142875" y="8210549"/>
          <a:ext cx="8391525" cy="16811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requirements below are for a summary overview, and not for the submission of extensive information. More extensive information (or clarifications) may, of course, be requested if the Authority elects to enquire further on a case by case basis.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reporting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This narrative summary must provide an overview of the material elements of the insurer’s insurance program written during the reporting period of its accompanying audited accounts (like an executive summary). See ‘content of narrative summary’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reporting period’ (see below).</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must provide an overview of the material elements of the insurer’s insurance program written/to be written (as applicable) during the 12 month period immediately following the end of the reporting period of its accompanying audited accounts (again, like an executive summary). See ‘content of narrative summary’ below.  </a:t>
          </a:r>
        </a:p>
        <a:p>
          <a:pPr>
            <a:lnSpc>
              <a:spcPct val="107000"/>
            </a:lnSpc>
            <a:spcBef>
              <a:spcPts val="1200"/>
            </a:spcBef>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forecast period’ (see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appropriate, this narrative summary and its supporting schematic diagram (if any) may be limited to highlight only material changes from the above mentioned ‘narrative summary - reporting period’ and its supporting schematic (if any).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reporting period</a:t>
          </a: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Insurers often maintain schematic diagrams of their insurance programs which can be a useful visual aid to understanding. The Authority wishes to receive such diagrams where appropriate and available to support/further simplify the ‘narrative summary - reporting period’.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forecast period</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Authority also wishes to receive such diagrams where appropriate and available to support/further simplify the ‘narrative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Key explaining abbreviations and uncommon terms used in the above</a:t>
          </a: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key must be provided to explain the meanings of any abbreviations and any uncommon terms used in the above mentioned narrative summaries and </a:t>
          </a:r>
          <a:r>
            <a:rPr lang="en-GB" sz="1100">
              <a:effectLst/>
              <a:latin typeface="Calibri" panose="020F0502020204030204" pitchFamily="34" charset="0"/>
              <a:ea typeface="Calibri" panose="020F0502020204030204" pitchFamily="34" charset="0"/>
              <a:cs typeface="Times New Roman" panose="02020603050405020304" pitchFamily="18" charset="0"/>
            </a:rPr>
            <a:t>schematic</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diagrams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nSpc>
              <a:spcPct val="107000"/>
            </a:lnSpc>
            <a:spcAft>
              <a:spcPts val="0"/>
            </a:spcAft>
          </a:pPr>
          <a:r>
            <a:rPr lang="en-GB" sz="1100" b="1">
              <a:solidFill>
                <a:srgbClr val="000000"/>
              </a:solidFill>
              <a:effectLst/>
              <a:latin typeface="Calibri" panose="020F0502020204030204" pitchFamily="34" charset="0"/>
              <a:ea typeface="Times New Roman" panose="02020603050405020304" pitchFamily="18" charset="0"/>
              <a:cs typeface="Arial" panose="020B0604020202020204" pitchFamily="34" charset="0"/>
            </a:rPr>
            <a:t>Content of narrative summary</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for the relevant period (the ‘relevant period’ is the reporting period or forecast period as referred to above,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for each line of business of the insurer, in relation to the business</a:t>
          </a:r>
          <a:r>
            <a:rPr lang="en-GB" sz="1100">
              <a:effectLst/>
              <a:latin typeface="Calibri" panose="020F0502020204030204" pitchFamily="34" charset="0"/>
              <a:ea typeface="Calibri" panose="020F0502020204030204" pitchFamily="34" charset="0"/>
              <a:cs typeface="Times New Roman" panose="02020603050405020304" pitchFamily="18" charset="0"/>
            </a:rPr>
            <a:t> </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written/to be written by the insurer in the relevant period (as applicable), a general description/profile of–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types and number of policies involved;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whether the business is direct insurance, reinsurance or a retrocession (as applicable);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level (i.e. amount, range or average – as appropriate) of any deductibles or (retro)ceding company retentions (as applicable) underlying the cover provided/to be provided by the insurer (as applicable);</a:t>
          </a:r>
        </a:p>
        <a:p>
          <a:pPr marL="342900" lvl="0" indent="-342900">
            <a:lnSpc>
              <a:spcPct val="107000"/>
            </a:lnSpc>
            <a:spcAft>
              <a:spcPts val="0"/>
            </a:spcAft>
            <a:buFont typeface="+mj-lt"/>
            <a:buAutoNum type="romanUcPeriod"/>
          </a:pPr>
          <a:r>
            <a:rPr lang="en-GB" sz="1100">
              <a:solidFill>
                <a:schemeClr val="dk1"/>
              </a:solidFill>
              <a:effectLst/>
              <a:latin typeface="+mn-lt"/>
              <a:ea typeface="+mn-ea"/>
              <a:cs typeface="+mn-cs"/>
            </a:rPr>
            <a:t>for each policy written/to be written (as applicable) details of the aggregate limits (gross and net)</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geographical origins of the risks covered/to be covered by the insurer (as applicable);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premiums and commissions receivable/to be receivable by the insurer (as applicable): an explanation of any terms which allow payment or part payment to occur more than 90 days from the date on which corresponding cover commences.</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 explanation as to where, and the extent to which, the insurer’s profile of exposure to potential liability under its insurance program/prospective program (as applicable) is–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open ended (i.e. where the insurer’s exposure is technically the sum of all the maximum sums it insures);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capped under the policy (i.e. where the insurer’s exposure is subject to a defined aggregate limit of liability);</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contractually limited or transferred, for example, by way of–</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reinsurance: including–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 of reinsurance involved: whether proportional (e.g. quota-share) or non-proportional (e.g. excess of loss);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relevant quota share proportions, attachment points and liability limits of the reinsurance (as applicable); and</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any applicable reinstatements;</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clauses entitling the insurer to additional funding or liability reduction: including any–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‘pay as paid’ clauses (where the insurer’s liability is conditional upon amounts recovered from its reinsurers);</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premium clauses (where the insurer is entitled to require additional premium based on claims levels or other trigger); or</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‘limited recourse arrangements’ (limiting the insurer’s liability to a defined threshold, such as its available assets); or</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other mechanism (please specify).</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 respect of any reinsurance ceded or retroceded by the insurer–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name of any reinsurer writing individually (or together with associated companies) more than 10% of any reinsurance treaty or more than 5% of the total amount of premiums ceded/retro-ceded during the relevant period;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each such reinsurer's security rating(s) and corresponding rating agency(ies) (and whether the rating is public or private) or, if no rating is available, briefly describe the insurer’s approach to assessing counterparty risk.</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brief description of any relevant and material factors likely to affect the insurance program, including any</a:t>
          </a:r>
          <a:r>
            <a:rPr lang="en-GB" sz="1100">
              <a:effectLst/>
              <a:latin typeface="Calibri" panose="020F0502020204030204" pitchFamily="34" charset="0"/>
              <a:ea typeface="Calibri" panose="020F0502020204030204" pitchFamily="34" charset="0"/>
              <a:cs typeface="Times New Roman" panose="02020603050405020304" pitchFamily="18" charset="0"/>
            </a:rPr>
            <a:t>–</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planned commutation or novation of business;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disruption to administration or distribution; or</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legal or regulatory issues affecting access to market.</a:t>
          </a:r>
        </a:p>
        <a:p>
          <a:pPr marL="9906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Other pertinent information regarding the insurance program including (where applicable)– </a:t>
          </a:r>
        </a:p>
        <a:p>
          <a:pPr marL="342900" lvl="0" indent="-342900">
            <a:lnSpc>
              <a:spcPct val="107000"/>
            </a:lnSpc>
            <a:spcAft>
              <a:spcPts val="0"/>
            </a:spcAft>
            <a:buFont typeface="+mj-lt"/>
            <a:buAutoNum type="romanUcPeriod"/>
          </a:pPr>
          <a:r>
            <a:rPr lang="en-GB" sz="1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details of policies whose contractual term is more than 12 months (including details of any policies that have been extended beyond their original contractual term where the total of the original term plus the extended term is more than 12 months); and </a:t>
          </a:r>
        </a:p>
        <a:p>
          <a:pPr marL="342900" lvl="0" indent="-342900">
            <a:lnSpc>
              <a:spcPct val="107000"/>
            </a:lnSpc>
            <a:spcAft>
              <a:spcPts val="0"/>
            </a:spcAft>
            <a:buFont typeface="+mj-lt"/>
            <a:buAutoNum type="romanUcPeriod"/>
          </a:pPr>
          <a:r>
            <a:rPr lang="en-GB" sz="1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details of contractual renewal dates for example:</a:t>
          </a:r>
        </a:p>
        <a:p>
          <a:pPr marL="342900" lvl="0" indent="-342900">
            <a:lnSpc>
              <a:spcPct val="107000"/>
            </a:lnSpc>
            <a:spcAft>
              <a:spcPts val="0"/>
            </a:spcAft>
            <a:buFont typeface="Courier New" panose="02070309020205020404" pitchFamily="49" charset="0"/>
            <a:buChar char="o"/>
          </a:pPr>
          <a:r>
            <a:rPr lang="en-GB" sz="1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where the insurer has an identifiable insurance program renewal date (that is, a date where a large majority of its contracts are renewed/new contracts written, rather than where it has many renewal/new policy dates driven, for example, by customer insurance purchase timings) please provide that renewal date, and briefly describe any exceptions to that date and identify the contracts where those exceptions apply; or</a:t>
          </a:r>
        </a:p>
        <a:p>
          <a:pPr marL="342900" lvl="0" indent="-342900">
            <a:lnSpc>
              <a:spcPct val="107000"/>
            </a:lnSpc>
            <a:spcAft>
              <a:spcPts val="0"/>
            </a:spcAft>
            <a:buFont typeface="Courier New" panose="02070309020205020404" pitchFamily="49" charset="0"/>
            <a:buChar char="o"/>
          </a:pPr>
          <a:r>
            <a:rPr lang="en-GB" sz="1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where the insurer does not fall into the point above, and has many renewal/new policy dates driven, for example, by customer insurance purchase timings, please confirm that fact.</a:t>
          </a: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xdr:rowOff>
    </xdr:from>
    <xdr:to>
      <xdr:col>2</xdr:col>
      <xdr:colOff>557340</xdr:colOff>
      <xdr:row>3</xdr:row>
      <xdr:rowOff>149775</xdr:rowOff>
    </xdr:to>
    <xdr:pic>
      <xdr:nvPicPr>
        <xdr:cNvPr id="2" name="Picture 1" descr="\\BALLACLEATOR\FSC Shared Data$\Common\IOMFSA logo\IOMFSA_landscape.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335"/>
          <a:ext cx="3247200" cy="7308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585408</xdr:colOff>
      <xdr:row>1</xdr:row>
      <xdr:rowOff>529080</xdr:rowOff>
    </xdr:to>
    <xdr:pic>
      <xdr:nvPicPr>
        <xdr:cNvPr id="4" name="Picture 3" descr="\\BALLACLEATOR\FSC Shared Data$\Common\IOMFSA logo\IOMFSA_landscape.jpg">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503" cy="727200"/>
        </a:xfrm>
        <a:prstGeom prst="rect">
          <a:avLst/>
        </a:prstGeom>
        <a:noFill/>
        <a:ln>
          <a:noFill/>
        </a:ln>
      </xdr:spPr>
    </xdr:pic>
    <xdr:clientData/>
  </xdr:twoCellAnchor>
  <xdr:twoCellAnchor>
    <xdr:from>
      <xdr:col>0</xdr:col>
      <xdr:colOff>0</xdr:colOff>
      <xdr:row>56</xdr:row>
      <xdr:rowOff>0</xdr:rowOff>
    </xdr:from>
    <xdr:to>
      <xdr:col>13</xdr:col>
      <xdr:colOff>161925</xdr:colOff>
      <xdr:row>91</xdr:row>
      <xdr:rowOff>123825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0" y="14420850"/>
          <a:ext cx="8105775" cy="712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 completing the tables in respect of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the insurer must use a sensible basis for allocating amounts between the component lines (including avoiding any double counting) such as using specified policy sub-limits for different types of exposure.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assets/income as a positive number.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lvl="0" indent="-342900">
            <a:lnSpc>
              <a:spcPct val="107000"/>
            </a:lnSpc>
            <a:spcBef>
              <a:spcPts val="1200"/>
            </a:spcBef>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a:t>
          </a: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In the table below, the same instructions apply for TABLE 1 (accounting period) and TABLE 2 (the following 12 month forecast period).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A:</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B, select 'Contract' if the information is based on a specified contractual maximum or 'Estimate' if based on an estimated maximum.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B:</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Enter the insurer’s highest gross contractual exposure (i.e. before taking account of any reinsurance recoverable) for any one risk or event written/to be written (as applicable). If there is no specified contractual maximum for this, enter the estimated gross maximum instead.</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C:</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the exposure indicated in column B, enter any corresponding reinsurance recoverable by the insurer that can be attributed/will be attributable (as applicable) to a loss of that level.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D:</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This column automatically calculates the net exposure to the insurer (i.e. the net of columns B and C).</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E:</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F (if applicable), select 'Contract' if the information is based on a specified contractual maximum or 'Estimate' if based on an estimated maximum.</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F:</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If the insurer has/will have (as applicable) a maximum net retained exposure for any one risk or event that is higher than its net exposure in column D, enter the net exposure in this column.  (A to D of this table relates to the gross and net position in relation to the insurer’s </a:t>
          </a:r>
          <a:r>
            <a:rPr lang="en-GB" sz="1100" u="sng">
              <a:effectLst/>
              <a:latin typeface="Calibri" panose="020F0502020204030204" pitchFamily="34" charset="0"/>
              <a:ea typeface="Calibri" panose="020F0502020204030204" pitchFamily="34" charset="0"/>
              <a:cs typeface="Times New Roman" panose="02020603050405020304" pitchFamily="18" charset="0"/>
            </a:rPr>
            <a:t>largest gross exposure</a:t>
          </a:r>
          <a:r>
            <a:rPr lang="en-GB" sz="1100">
              <a:effectLst/>
              <a:latin typeface="Calibri" panose="020F0502020204030204" pitchFamily="34" charset="0"/>
              <a:ea typeface="Calibri" panose="020F0502020204030204" pitchFamily="34" charset="0"/>
              <a:cs typeface="Times New Roman" panose="02020603050405020304" pitchFamily="18" charset="0"/>
            </a:rPr>
            <a:t>.  It is therefore possible that the insurer has lesser gross exposure in relation to which it has a higher net retention.  If so, then it is to be input in E and F).</a:t>
          </a:r>
        </a:p>
        <a:p>
          <a:endParaRPr lang="en-GB"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515220</xdr:colOff>
      <xdr:row>2</xdr:row>
      <xdr:rowOff>126396</xdr:rowOff>
    </xdr:to>
    <xdr:pic>
      <xdr:nvPicPr>
        <xdr:cNvPr id="5" name="Picture 4" descr="\\BALLACLEATOR\FSC Shared Data$\Common\IOMFSA logo\IOMFSA_landscape.jpg">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8376"/>
        </a:xfrm>
        <a:prstGeom prst="rect">
          <a:avLst/>
        </a:prstGeom>
        <a:noFill/>
        <a:ln>
          <a:noFill/>
        </a:ln>
      </xdr:spPr>
    </xdr:pic>
    <xdr:clientData/>
  </xdr:twoCellAnchor>
  <xdr:twoCellAnchor>
    <xdr:from>
      <xdr:col>0</xdr:col>
      <xdr:colOff>0</xdr:colOff>
      <xdr:row>62</xdr:row>
      <xdr:rowOff>0</xdr:rowOff>
    </xdr:from>
    <xdr:to>
      <xdr:col>12</xdr:col>
      <xdr:colOff>828675</xdr:colOff>
      <xdr:row>133</xdr:row>
      <xdr:rowOff>133351</xdr:rowOff>
    </xdr:to>
    <xdr:sp macro="" textlink="">
      <xdr:nvSpPr>
        <xdr:cNvPr id="11" name="TextBox 10">
          <a:extLst>
            <a:ext uri="{FF2B5EF4-FFF2-40B4-BE49-F238E27FC236}">
              <a16:creationId xmlns:a16="http://schemas.microsoft.com/office/drawing/2014/main" id="{00000000-0008-0000-2000-00000B000000}"/>
            </a:ext>
          </a:extLst>
        </xdr:cNvPr>
        <xdr:cNvSpPr txBox="1"/>
      </xdr:nvSpPr>
      <xdr:spPr>
        <a:xfrm>
          <a:off x="0" y="19964400"/>
          <a:ext cx="11287125" cy="143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When completing the table in respect of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the insurer must use a sensible and practicable basis for apportioning amounts between component lines (including avoiding double counting). Where any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cannot be sensibly and practicably apportioned between the lines of business, enter them instead in the line headed “Cannot be attributed by line of business” (which is located immediately below the table). In such cases, please also explain briefly why any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If any amounts relating to a </a:t>
          </a:r>
          <a:r>
            <a:rPr lang="en-GB" sz="1100">
              <a:solidFill>
                <a:schemeClr val="dk1"/>
              </a:solidFill>
              <a:effectLst/>
              <a:latin typeface="+mn-lt"/>
              <a:ea typeface="+mn-ea"/>
              <a:cs typeface="+mn-cs"/>
            </a:rPr>
            <a:t>multi-line </a:t>
          </a:r>
          <a:r>
            <a:rPr lang="en-GB" sz="1100">
              <a:effectLst/>
              <a:latin typeface="Calibri" panose="020F0502020204030204" pitchFamily="34" charset="0"/>
              <a:ea typeface="Calibri" panose="020F0502020204030204" pitchFamily="34" charset="0"/>
              <a:cs typeface="Times New Roman" panose="02020603050405020304" pitchFamily="18" charset="0"/>
            </a:rPr>
            <a:t>policy need to be entered in the line headed “Cannot be attributed by line of business” then all of the amounts relating to the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policy must be entered in that line. For example, if the claims estimates of a </a:t>
          </a:r>
          <a:r>
            <a:rPr lang="en-GB" sz="110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 then all amounts (premiums, commissions etc.) relating to that policy must also be entered in the line headed “Cannot be attributed by line of business”. </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Input assets/income as a positive number.</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 </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marR="165735"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marR="165735" lvl="0" indent="-342900">
            <a:lnSpc>
              <a:spcPct val="107000"/>
            </a:lnSpc>
            <a:spcAft>
              <a:spcPts val="120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intends to recommence writing business in the 12 month forecast period).</a:t>
          </a:r>
        </a:p>
        <a:p>
          <a:pPr marL="342900" marR="165735" lvl="0" indent="-342900">
            <a:lnSpc>
              <a:spcPct val="107000"/>
            </a:lnSpc>
            <a:spcAft>
              <a:spcPts val="120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“Relevant policies” (as referred to below) are those entered into/to be entered into (as applicable) in the forecast period. This reflects that, at the time of submitting this information to the Authority, the 12 month forecast period will in all likelihood already be partially expired.  Therefore, some of the business for the forecast period may have already been entered into and some of the business for the forecast period may not yet have been entered into (but is anticipated to be entered into before the end of the forecast period) – as the case may be.  </a:t>
          </a:r>
        </a:p>
        <a:p>
          <a:pPr marL="342900" marR="165735" lvl="0" indent="-342900">
            <a:lnSpc>
              <a:spcPct val="107000"/>
            </a:lnSpc>
            <a:spcAft>
              <a:spcPts val="120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To avoid any confusion, all of the input amounts in the table above and as referred to below (i.e. premiums, commissions, claims, claims recoveries etc.) are those estimated to be received/paid (as applicable) over the lifetime of the relevant policies irrespective of the timing of cash flows.  Thus the forecast should reflect the insurer’s considered estimations about the ultimate profitability (or otherwise) of the business that has been/will be entered into during the forecast period, together with information about its ultimate worst-case risk gap.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total gross premiums receivable attributable by line of business. The premiums must be gross of any commissions and must not be netted off against any reinsurance premiums, as those amounts (if any) are to be shown separately in other columns in the table.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total reinsurance premiums payable attributable by line of business. The reinsurance premiums must be gross of any reinsurance commissions and must not be netted off against any premiums receivable, as those amounts (if any) are to be shown separately in other columns in the table.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total commissions receivable attributable by line of business.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total commissions payable attributable by line of business.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E</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E calculates itself automatically to find total net premiums for the forecast period.  The ultimate total appearing below the table includes all amounts analysed by lineof business in the table plus any unanalysed amounts entered in the line headed “Cannot be attributed by line of business” (as applicable).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F</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the estimated worst case losses attributable by line of business. This is the insurer’s estimated worst-case scenario for total losses over the lifetime of those policies taking account of the likely effectiveness of any risk mitigation safeguards in place. This could be based on the reasonable loss expectations of the insurer’s management, an independent actuarially assessed worst/pessimistic case estimate or even contractual aggregate exposure if that is also the assessed maximum outcome (as appropriate for the insurer’s situation).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G</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the losses indicated in column F, enter any corresponding reinsurance amounts recoverable by the insurer that would be attributable to losses of that level. For any </a:t>
          </a:r>
          <a:r>
            <a:rPr lang="en-GB" sz="1100" b="0" i="0" baseline="0">
              <a:solidFill>
                <a:schemeClr val="dk1"/>
              </a:solidFill>
              <a:effectLst/>
              <a:latin typeface="+mn-lt"/>
              <a:ea typeface="+mn-ea"/>
              <a:cs typeface="+mn-cs"/>
            </a:rPr>
            <a:t>multi-line </a:t>
          </a:r>
          <a:r>
            <a:rPr lang="en-GB" sz="1100">
              <a:effectLst/>
              <a:latin typeface="Calibri" panose="020F0502020204030204" pitchFamily="34" charset="0"/>
              <a:ea typeface="Calibri" panose="020F0502020204030204" pitchFamily="34" charset="0"/>
              <a:cs typeface="Times New Roman" panose="02020603050405020304" pitchFamily="18" charset="0"/>
            </a:rPr>
            <a:t>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H</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H calculates itself automatically to find total estimated net maximum losses. The ultimate total appearing below the table includes all amounts analysed by line of business in the table plus any unanalysed amounts entered in the line headed “Cannot be attributed by line of business” (as applicable).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I</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For all relevant policies, enter the gross expected ultimate cost of claims over the lifetime of those policies (including best estimate and risk margin) attributable by line of business.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J</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 respect of the cost of claims indicated in column I, enter the reinsurance amounts recoverable which would be attributable to claims of that level. For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 see item 2 above.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K</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K calculates itself automatically to find the total net expected ultimate cost of claims. The ultimate total appearing below the table includes all amounts analysed by line of business in the table plus any unanalysed amounts entered in the line headed “Cannot be attributed by line of business” (as applicable).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L</a:t>
          </a:r>
        </a:p>
        <a:p>
          <a:pPr>
            <a:lnSpc>
              <a:spcPct val="107000"/>
            </a:lnSpc>
            <a:spcAft>
              <a:spcPts val="6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L calculates itself automatically to find simple loss ratios per class of business analysed in the table, and the loss ratios appearing below the table are in respect of the line headed “Cannot be attributed by line of business” and an overall total. </a:t>
          </a:r>
        </a:p>
        <a:p>
          <a:pPr>
            <a:lnSpc>
              <a:spcPct val="107000"/>
            </a:lnSpc>
            <a:spcAft>
              <a:spcPts val="6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Cannot be attributed by class of business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line is for amounts in respect of any </a:t>
          </a:r>
          <a:r>
            <a:rPr lang="en-GB" sz="1100" b="0" i="0" baseline="0">
              <a:solidFill>
                <a:schemeClr val="dk1"/>
              </a:solidFill>
              <a:effectLst/>
              <a:latin typeface="+mn-lt"/>
              <a:ea typeface="+mn-ea"/>
              <a:cs typeface="+mn-cs"/>
            </a:rPr>
            <a:t>multi-line</a:t>
          </a:r>
          <a:r>
            <a:rPr lang="en-GB" sz="1100">
              <a:effectLst/>
              <a:latin typeface="Calibri" panose="020F0502020204030204" pitchFamily="34" charset="0"/>
              <a:ea typeface="Calibri" panose="020F0502020204030204" pitchFamily="34" charset="0"/>
              <a:cs typeface="Times New Roman" panose="02020603050405020304" pitchFamily="18" charset="0"/>
            </a:rPr>
            <a:t> policies which cannot be sensibly and practicably apportioned between their component lines, as indicated in item 2 above. </a:t>
          </a:r>
        </a:p>
        <a:p>
          <a:pPr algn="just">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Other automatic calculations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From the information entered, the spreadsheet automatically calculates the following– </a:t>
          </a:r>
        </a:p>
        <a:p>
          <a:pPr marL="342900" lvl="0" indent="-342900">
            <a:lnSpc>
              <a:spcPct val="107000"/>
            </a:lnSpc>
            <a:spcAft>
              <a:spcPts val="0"/>
            </a:spcAft>
            <a:buFont typeface="Calibri" panose="020F050202020403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expected underwriting surplus/(deficit) (by deducting total net expected ultimate cost of claims from total net premiums receivable);</a:t>
          </a:r>
        </a:p>
        <a:p>
          <a:pPr marL="342900" lvl="0" indent="-342900">
            <a:lnSpc>
              <a:spcPct val="107000"/>
            </a:lnSpc>
            <a:spcAft>
              <a:spcPts val="0"/>
            </a:spcAft>
            <a:buFont typeface="Calibri" panose="020F050202020403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expected overall loss ratio (by dividing total net expected ultimate cost of claims by total net premiums receivable and multiplying by -1); and</a:t>
          </a:r>
        </a:p>
        <a:p>
          <a:pPr marL="342900" lvl="0" indent="-342900">
            <a:lnSpc>
              <a:spcPct val="107000"/>
            </a:lnSpc>
            <a:spcAft>
              <a:spcPts val="0"/>
            </a:spcAft>
            <a:buFont typeface="Calibri" panose="020F0502020204030204" pitchFamily="34" charset="0"/>
            <a:buChar char="-"/>
          </a:pPr>
          <a:r>
            <a:rPr lang="en-GB" sz="1100" b="0" i="0" baseline="0">
              <a:solidFill>
                <a:schemeClr val="dk1"/>
              </a:solidFill>
              <a:effectLst/>
              <a:latin typeface="+mn-lt"/>
              <a:ea typeface="+mn-ea"/>
              <a:cs typeface="+mn-cs"/>
            </a:rPr>
            <a:t>new risk gap, based on estimated net maximum losses, being taken on over the forecast period (by deducting total net premiums receivable from total estimated net maximum losses). </a:t>
          </a:r>
          <a:endParaRPr lang="en-GB" sz="1100">
            <a:effectLst/>
          </a:endParaRPr>
        </a:p>
        <a:p>
          <a:pPr algn="just">
            <a:lnSpc>
              <a:spcPct val="107000"/>
            </a:lnSpc>
            <a:spcAft>
              <a:spcPts val="0"/>
            </a:spcAft>
          </a:pPr>
          <a:endParaRPr lang="en-GB" sz="1100" b="1">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Other information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spreadsheet asks for the following information which is relevant to the new risk gap (and, of course, the insurer’s total risk gap which is outside of the scope of this spreadsheet)–</a:t>
          </a:r>
        </a:p>
        <a:p>
          <a:pPr marL="342900" lvl="0" indent="-342900">
            <a:lnSpc>
              <a:spcPct val="107000"/>
            </a:lnSpc>
            <a:spcAft>
              <a:spcPts val="0"/>
            </a:spcAft>
            <a:buFont typeface="Calibri" panose="020F050202020403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any material paid up or contingent new funding over the forecast period; </a:t>
          </a:r>
        </a:p>
        <a:p>
          <a:pPr marL="342900" lvl="0" indent="-342900">
            <a:lnSpc>
              <a:spcPct val="107000"/>
            </a:lnSpc>
            <a:spcAft>
              <a:spcPts val="0"/>
            </a:spcAft>
            <a:buFont typeface="Calibri" panose="020F050202020403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any material loss of existing paid up or contingent funding over the forecast period (other than a dividend or distribution, which is covered in the next item); and</a:t>
          </a:r>
        </a:p>
        <a:p>
          <a:pPr marL="342900" lvl="0" indent="-342900">
            <a:lnSpc>
              <a:spcPct val="107000"/>
            </a:lnSpc>
            <a:spcAft>
              <a:spcPts val="600"/>
            </a:spcAft>
            <a:buFont typeface="Calibri" panose="020F050202020403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any likely dividends or distributions.</a:t>
          </a:r>
        </a:p>
        <a:p>
          <a:endParaRPr lang="en-GB"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766680</xdr:colOff>
      <xdr:row>2</xdr:row>
      <xdr:rowOff>183546</xdr:rowOff>
    </xdr:to>
    <xdr:pic>
      <xdr:nvPicPr>
        <xdr:cNvPr id="3" name="Picture 2" descr="\\BALLACLEATOR\FSC Shared Data$\Common\IOMFSA logo\IOMFSA_landscape.jpg">
          <a:extLst>
            <a:ext uri="{FF2B5EF4-FFF2-40B4-BE49-F238E27FC236}">
              <a16:creationId xmlns:a16="http://schemas.microsoft.com/office/drawing/2014/main" id="{00000000-0008-0000-2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32186"/>
        </a:xfrm>
        <a:prstGeom prst="rect">
          <a:avLst/>
        </a:prstGeom>
        <a:noFill/>
        <a:ln>
          <a:noFill/>
        </a:ln>
      </xdr:spPr>
    </xdr:pic>
    <xdr:clientData/>
  </xdr:twoCellAnchor>
  <xdr:twoCellAnchor>
    <xdr:from>
      <xdr:col>1</xdr:col>
      <xdr:colOff>0</xdr:colOff>
      <xdr:row>32</xdr:row>
      <xdr:rowOff>0</xdr:rowOff>
    </xdr:from>
    <xdr:to>
      <xdr:col>10</xdr:col>
      <xdr:colOff>333375</xdr:colOff>
      <xdr:row>51</xdr:row>
      <xdr:rowOff>142875</xdr:rowOff>
    </xdr:to>
    <xdr:sp macro="" textlink="">
      <xdr:nvSpPr>
        <xdr:cNvPr id="5" name="TextBox 4">
          <a:extLst>
            <a:ext uri="{FF2B5EF4-FFF2-40B4-BE49-F238E27FC236}">
              <a16:creationId xmlns:a16="http://schemas.microsoft.com/office/drawing/2014/main" id="{00000000-0008-0000-2100-000005000000}"/>
            </a:ext>
          </a:extLst>
        </xdr:cNvPr>
        <xdr:cNvSpPr txBox="1"/>
      </xdr:nvSpPr>
      <xdr:spPr>
        <a:xfrm>
          <a:off x="95250" y="7038975"/>
          <a:ext cx="13858875" cy="394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each net claim of an amount (or number of claims from the same event which are collectively of a net amount) which exceeds 20% of the insurer’s net assets (as indicated in cell F34 of tab "RBS - Other Liab").</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“Net claims”, to avoid any doubt, are net of any corresponding reinsurance recoverable) which exceed 20% of the insurer’s net assets.  In other words, if reinsurance applies then any relevant recoverable amount of reinsurance should be deducted from the gross claim before assessing if the remaining net amount is greater than 20% of the insurer’s net assets. </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(as applicable)</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xisting claims meeting the threshold, new claims occurring during the reporting period meeting the threshold, and claims that have developed above the threshold during the reporting period.</a:t>
          </a:r>
        </a:p>
        <a:p>
          <a:pPr marL="342900" marR="165735" lvl="0" indent="-342900">
            <a:lnSpc>
              <a:spcPct val="107000"/>
            </a:lnSpc>
            <a:spcAft>
              <a:spcPts val="0"/>
            </a:spcAft>
            <a:buFont typeface="+mj-lt"/>
            <a:buAutoNum type="arabicPeriod"/>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Any amounts must be stated in reporting currency (see Index Tab for more details)</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R="165735">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Do not provide any names, claims reference numbers or any other reference which could be used to identify personal information.</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Use the numbered lines 1-15 (as needed). </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Please ensure that the numbering used for a particular claim event remains the same in subsequent submissions, or clearly indicate where the numbering has changed. </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line(s) of insurance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underwriting year/accident year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the development and settlement of the claim(s), including the total amount of the claim(s) and any significant changes which have occurred in respect of the claim(s) in the reporting period.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Once the claim(s) has/have been fully settled, and has/have been reported as fully settled in this table, it/they should be removed from this table in subsequent returns.</a:t>
          </a:r>
        </a:p>
        <a:p>
          <a:endParaRPr lang="en-GB"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27540</xdr:colOff>
      <xdr:row>1</xdr:row>
      <xdr:rowOff>529080</xdr:rowOff>
    </xdr:to>
    <xdr:pic>
      <xdr:nvPicPr>
        <xdr:cNvPr id="3" name="Picture 2" descr="\\BALLACLEATOR\FSC Shared Data$\Common\IOMFSA logo\IOMFSA_landscape.jpg">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twoCellAnchor>
    <xdr:from>
      <xdr:col>1</xdr:col>
      <xdr:colOff>0</xdr:colOff>
      <xdr:row>66</xdr:row>
      <xdr:rowOff>0</xdr:rowOff>
    </xdr:from>
    <xdr:to>
      <xdr:col>11</xdr:col>
      <xdr:colOff>733425</xdr:colOff>
      <xdr:row>118</xdr:row>
      <xdr:rowOff>85726</xdr:rowOff>
    </xdr:to>
    <xdr:sp macro="" textlink="">
      <xdr:nvSpPr>
        <xdr:cNvPr id="6" name="TextBox 5">
          <a:extLst>
            <a:ext uri="{FF2B5EF4-FFF2-40B4-BE49-F238E27FC236}">
              <a16:creationId xmlns:a16="http://schemas.microsoft.com/office/drawing/2014/main" id="{00000000-0008-0000-2200-000006000000}"/>
            </a:ext>
          </a:extLst>
        </xdr:cNvPr>
        <xdr:cNvSpPr txBox="1"/>
      </xdr:nvSpPr>
      <xdr:spPr>
        <a:xfrm>
          <a:off x="104775" y="13611225"/>
          <a:ext cx="9239250" cy="1160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80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1</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select 'Letter of credit' or 'Guarantee' as applicable.  Include any Letter of credit (“LOC”)/Guarantee which has or will be issued in support of the insurer’s business either directly or indirectly.</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beneficiary(ies)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and location of the party issuing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party bearing the cost of the LOC/Guarantee arrangement.</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E</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amount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F</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purpose of the LOC/Guarantee, including which elements of the insurer’s business are being secured/supported by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G</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Confirm if the terms of the LOC/Guarantee are adjustable by any of the parties to the LOC/Guarantee without the consent of the other parties. If not, state that fact. If so, state which party has a unilateral right to adjust the terms and provide a brief description of the potential scope for such adjustments.</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H</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names of the parties which can give notice to terminate the LOC/Guarantee and the notice period required.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I</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issue date/expected issue date (as applicable)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J</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expiry date of the LOC/Guarantee. If it has no expiry date and is automatically extended at the end of its current term (which is sometimes referred to as “evergreen”), state that fact and the next date on which it is expected to be automatically extended.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K</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restrictions on drawing rights in respect of the LOC/Guarantee not already disclosed in this tab.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L</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other material terms and conditions in respect of the LOC/Guarantee not already disclosed in this tab.</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any collateral provided to the LOC/Guarantee issuer (the party referred to in column C). Include the name of the party providing the collateral (which may or may not be the insurer). If the insurer is providing collateral, provide details of the collateral’s form (e.g. cash or other asset (specify)) and how it is secured (e.g. assets might be held in trust with a charge placed over them).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2</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Specify any other type of security provided or to be provided in support of the insurer’s business either directly or indirectly. For example, it may be an escrow account, trust account, funds withheld agreement, charge etc.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3</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r>
            <a:rPr lang="en-GB" sz="1100">
              <a:solidFill>
                <a:schemeClr val="dk1"/>
              </a:solidFill>
              <a:effectLst/>
              <a:latin typeface="+mn-lt"/>
              <a:ea typeface="+mn-ea"/>
              <a:cs typeface="+mn-cs"/>
            </a:rPr>
            <a:t>Specify any type of security provided to or to be provided by the insurer (in part or in</a:t>
          </a:r>
          <a:r>
            <a:rPr lang="en-GB" sz="1100" baseline="0">
              <a:solidFill>
                <a:schemeClr val="dk1"/>
              </a:solidFill>
              <a:effectLst/>
              <a:latin typeface="+mn-lt"/>
              <a:ea typeface="+mn-ea"/>
              <a:cs typeface="+mn-cs"/>
            </a:rPr>
            <a:t> full) </a:t>
          </a:r>
          <a:r>
            <a:rPr lang="en-GB" sz="1100">
              <a:solidFill>
                <a:schemeClr val="dk1"/>
              </a:solidFill>
              <a:effectLst/>
              <a:latin typeface="+mn-lt"/>
              <a:ea typeface="+mn-ea"/>
              <a:cs typeface="+mn-cs"/>
            </a:rPr>
            <a:t>for any purposes other than to guarantee that the insurer can meet its insurance obligations. </a:t>
          </a:r>
          <a:endParaRPr lang="en-GB">
            <a:effectLst/>
          </a:endParaRP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endParaRPr lang="en-GB"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888600</xdr:colOff>
      <xdr:row>2</xdr:row>
      <xdr:rowOff>12096</xdr:rowOff>
    </xdr:to>
    <xdr:pic>
      <xdr:nvPicPr>
        <xdr:cNvPr id="3" name="Picture 2" descr="\\BALLACLEATOR\FSC Shared Data$\Common\IOMFSA logo\IOMFSA_landscape.jpg">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8376"/>
        </a:xfrm>
        <a:prstGeom prst="rect">
          <a:avLst/>
        </a:prstGeom>
        <a:noFill/>
        <a:ln>
          <a:noFill/>
        </a:ln>
      </xdr:spPr>
    </xdr:pic>
    <xdr:clientData/>
  </xdr:twoCellAnchor>
  <xdr:twoCellAnchor>
    <xdr:from>
      <xdr:col>0</xdr:col>
      <xdr:colOff>95250</xdr:colOff>
      <xdr:row>18</xdr:row>
      <xdr:rowOff>0</xdr:rowOff>
    </xdr:from>
    <xdr:to>
      <xdr:col>9</xdr:col>
      <xdr:colOff>457200</xdr:colOff>
      <xdr:row>45</xdr:row>
      <xdr:rowOff>95250</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95250" y="5905500"/>
          <a:ext cx="7191375" cy="549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 the following instructions, “informed consent”, “de minimis” and “de minimis rule” have the meanings given in the Insurance Regulations 2021, and references to paragraphs and schedules are references to those regulations.</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For “Confirm compliance with requirement to keep a log in relation to informed consent”: </a:t>
          </a:r>
        </a:p>
        <a:p>
          <a:pPr marL="4572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Confirm, for the reporting period and subsequent period up to the date of submission of this document, that the insurer has established and maintained a log in relation to informed consent as required by paragraph 5(6) of Schedule 1.</a:t>
          </a:r>
        </a:p>
        <a:p>
          <a:pPr marL="4572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Please use the comment box if needed to clarify a response to this question.  For example:</a:t>
          </a:r>
        </a:p>
        <a:p>
          <a:pPr marL="742950" lvl="1" indent="-285750">
            <a:lnSpc>
              <a:spcPct val="107000"/>
            </a:lnSpc>
            <a:spcAft>
              <a:spcPts val="0"/>
            </a:spcAft>
            <a:buFont typeface="Courier New" panose="02070309020205020404" pitchFamily="49" charset="0"/>
            <a:buChar char="o"/>
          </a:pPr>
          <a:r>
            <a:rPr lang="en-GB" sz="1100">
              <a:effectLst/>
              <a:latin typeface="Calibri" panose="020F0502020204030204" pitchFamily="34" charset="0"/>
              <a:ea typeface="Calibri" panose="020F0502020204030204" pitchFamily="34" charset="0"/>
              <a:cs typeface="Times New Roman" panose="02020603050405020304" pitchFamily="18" charset="0"/>
            </a:rPr>
            <a:t>If the answer is ‘no’ due to the fact that the insurer has no business on the basis of informed consent, please state that fact in the box provided.</a:t>
          </a:r>
        </a:p>
        <a:p>
          <a:pPr marL="742950" lvl="1" indent="-285750">
            <a:lnSpc>
              <a:spcPct val="107000"/>
            </a:lnSpc>
            <a:spcAft>
              <a:spcPts val="0"/>
            </a:spcAft>
            <a:buFont typeface="Courier New" panose="02070309020205020404" pitchFamily="49" charset="0"/>
            <a:buChar char="o"/>
          </a:pPr>
          <a:r>
            <a:rPr lang="en-GB" sz="1100">
              <a:effectLst/>
              <a:latin typeface="Calibri" panose="020F0502020204030204" pitchFamily="34" charset="0"/>
              <a:ea typeface="Calibri" panose="020F0502020204030204" pitchFamily="34" charset="0"/>
              <a:cs typeface="Times New Roman" panose="02020603050405020304" pitchFamily="18" charset="0"/>
            </a:rPr>
            <a:t>If the answer is ‘yes’, but the log is empty due to the fact that the insurer has no business on the basis of informed consent, please state that fact in the box provided.</a:t>
          </a:r>
        </a:p>
        <a:p>
          <a:pPr marL="342900" lvl="0" indent="-342900">
            <a:lnSpc>
              <a:spcPct val="107000"/>
            </a:lnSpc>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For “Percentage of business by way of informed consent”:</a:t>
          </a:r>
        </a:p>
        <a:p>
          <a:pPr marL="4572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Pursuant to paragraph 5(7)(a) of Schedule 1, state, as at the end of the reporting period, what percentage of the insurer’s total overall reported but unsettled claims provisions are in respect of claimants that are insured by the insurer by way of informed consent. </a:t>
          </a:r>
        </a:p>
        <a:p>
          <a:pPr marL="342900" lvl="0" indent="-342900">
            <a:lnSpc>
              <a:spcPct val="107000"/>
            </a:lnSpc>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For ”Confirm compliance with requirement to keep a log in relation to de minimis”:</a:t>
          </a:r>
        </a:p>
        <a:p>
          <a:pPr marL="4572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Confirm, for the reporting period and subsequent period up to the date of submission of this document, that the insurer has established and maintained a log in relation to de minimis as required by paragraph 6(5)(b) of Schedule 1.</a:t>
          </a:r>
        </a:p>
        <a:p>
          <a:pPr marL="4572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Please use the comment box if needed to clarify a response to this question.  For example:</a:t>
          </a:r>
        </a:p>
        <a:p>
          <a:pPr marL="742950" lvl="1" indent="-285750">
            <a:lnSpc>
              <a:spcPct val="107000"/>
            </a:lnSpc>
            <a:spcAft>
              <a:spcPts val="0"/>
            </a:spcAft>
            <a:buFont typeface="Courier New" panose="02070309020205020404" pitchFamily="49" charset="0"/>
            <a:buChar char="o"/>
          </a:pPr>
          <a:r>
            <a:rPr lang="en-GB" sz="1100">
              <a:effectLst/>
              <a:latin typeface="Calibri" panose="020F0502020204030204" pitchFamily="34" charset="0"/>
              <a:ea typeface="Calibri" panose="020F0502020204030204" pitchFamily="34" charset="0"/>
              <a:cs typeface="Times New Roman" panose="02020603050405020304" pitchFamily="18" charset="0"/>
            </a:rPr>
            <a:t>If the answer is ‘no’ due to the fact that the insurer has no business on the basis of de minimis, please state that fact in the box provided.</a:t>
          </a:r>
        </a:p>
        <a:p>
          <a:pPr marL="742950" lvl="1" indent="-285750">
            <a:lnSpc>
              <a:spcPct val="107000"/>
            </a:lnSpc>
            <a:spcAft>
              <a:spcPts val="0"/>
            </a:spcAft>
            <a:buFont typeface="Courier New" panose="02070309020205020404" pitchFamily="49" charset="0"/>
            <a:buChar char="o"/>
          </a:pPr>
          <a:r>
            <a:rPr lang="en-GB" sz="1100">
              <a:effectLst/>
              <a:latin typeface="Calibri" panose="020F0502020204030204" pitchFamily="34" charset="0"/>
              <a:ea typeface="Calibri" panose="020F0502020204030204" pitchFamily="34" charset="0"/>
              <a:cs typeface="Times New Roman" panose="02020603050405020304" pitchFamily="18" charset="0"/>
            </a:rPr>
            <a:t>If the answer is ‘yes’, but the log is empty due to the fact that the insurer has no business on the basis of de minimis, please state that fact in the box provided.</a:t>
          </a:r>
        </a:p>
        <a:p>
          <a:pPr marL="342900" lvl="0" indent="-342900">
            <a:lnSpc>
              <a:spcPct val="107000"/>
            </a:lnSpc>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For “Percentage of business by way of de minimis rule”:</a:t>
          </a:r>
        </a:p>
        <a:p>
          <a:pPr marL="457200">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Pursuant to paragraph 6(6)(a) of Schedule 1, state, as at the end of the reporting period, what percentage of the insurer’s total overall reported but unsettled claims provisions are in respect of claimants that are insured by the insurer by way of the de minimis rule. </a:t>
          </a:r>
        </a:p>
        <a:p>
          <a:endParaRPr lang="en-GB"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137173</xdr:colOff>
      <xdr:row>1</xdr:row>
      <xdr:rowOff>534290</xdr:rowOff>
    </xdr:to>
    <xdr:pic>
      <xdr:nvPicPr>
        <xdr:cNvPr id="2" name="Picture 1" descr="\\BALLACLEATOR\FSC Shared Data$\Common\IOMFSA logo\IOMFSA_landscape.jpg">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3002218</xdr:colOff>
      <xdr:row>3</xdr:row>
      <xdr:rowOff>135921</xdr:rowOff>
    </xdr:to>
    <xdr:pic>
      <xdr:nvPicPr>
        <xdr:cNvPr id="2" name="Picture 1" descr="\\BALLACLEATOR\FSC Shared Data$\Common\IOMFSA logo\IOMFSA_landscape.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3109533</xdr:colOff>
      <xdr:row>2</xdr:row>
      <xdr:rowOff>154971</xdr:rowOff>
    </xdr:to>
    <xdr:pic>
      <xdr:nvPicPr>
        <xdr:cNvPr id="3" name="Picture 2" descr="\\BALLACLEATOR\FSC Shared Data$\Common\IOMFSA logo\IOMFSA_landscape.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twoCellAnchor editAs="oneCell">
    <xdr:from>
      <xdr:col>1</xdr:col>
      <xdr:colOff>0</xdr:colOff>
      <xdr:row>77</xdr:row>
      <xdr:rowOff>0</xdr:rowOff>
    </xdr:from>
    <xdr:to>
      <xdr:col>10</xdr:col>
      <xdr:colOff>1541374</xdr:colOff>
      <xdr:row>104</xdr:row>
      <xdr:rowOff>180277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42875" y="11106150"/>
          <a:ext cx="13409524" cy="5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3</xdr:col>
      <xdr:colOff>23433</xdr:colOff>
      <xdr:row>2</xdr:row>
      <xdr:rowOff>164496</xdr:rowOff>
    </xdr:to>
    <xdr:pic>
      <xdr:nvPicPr>
        <xdr:cNvPr id="2" name="Picture 1" descr="\\BALLACLEATOR\FSC Shared Data$\Common\IOMFSA logo\IOMFSA_landscape.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3258123" cy="72837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3</xdr:col>
      <xdr:colOff>17718</xdr:colOff>
      <xdr:row>3</xdr:row>
      <xdr:rowOff>2571</xdr:rowOff>
    </xdr:to>
    <xdr:pic>
      <xdr:nvPicPr>
        <xdr:cNvPr id="2" name="Picture 1" descr="\\BALLACLEATOR\FSC Shared Data$\Common\IOMFSA logo\IOMFSA_landscape.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 y="0"/>
          <a:ext cx="3256218" cy="73409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3108425</xdr:colOff>
      <xdr:row>3</xdr:row>
      <xdr:rowOff>139908</xdr:rowOff>
    </xdr:to>
    <xdr:pic>
      <xdr:nvPicPr>
        <xdr:cNvPr id="2" name="Picture 1" descr="\\BALLACLEATOR\FSC Shared Data$\Common\IOMFSA logo\IOMFSA_landscape.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660722</xdr:colOff>
      <xdr:row>1</xdr:row>
      <xdr:rowOff>536636</xdr:rowOff>
    </xdr:to>
    <xdr:pic>
      <xdr:nvPicPr>
        <xdr:cNvPr id="2" name="Picture 1" descr="\\BALLACLEATOR\FSC Shared Data$\Common\IOMFSA logo\IOMFSA_landscape.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2408" cy="735996"/>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rgb="FFFF0000"/>
  </sheetPr>
  <dimension ref="A1:B40"/>
  <sheetViews>
    <sheetView workbookViewId="0">
      <selection activeCell="B41" sqref="B41"/>
    </sheetView>
  </sheetViews>
  <sheetFormatPr defaultColWidth="0" defaultRowHeight="14.25" zeroHeight="1" x14ac:dyDescent="0.2"/>
  <cols>
    <col min="1" max="1" width="10.125" bestFit="1" customWidth="1"/>
    <col min="2" max="3" width="8.75" customWidth="1"/>
  </cols>
  <sheetData>
    <row r="1" spans="1:2" x14ac:dyDescent="0.2">
      <c r="A1" s="748"/>
    </row>
    <row r="2" spans="1:2" x14ac:dyDescent="0.2">
      <c r="A2" s="748"/>
    </row>
    <row r="3" spans="1:2" x14ac:dyDescent="0.2">
      <c r="A3" s="748">
        <v>44894</v>
      </c>
      <c r="B3" t="s">
        <v>1079</v>
      </c>
    </row>
    <row r="4" spans="1:2" x14ac:dyDescent="0.2">
      <c r="A4" s="748"/>
      <c r="B4" t="s">
        <v>1080</v>
      </c>
    </row>
    <row r="5" spans="1:2" x14ac:dyDescent="0.2">
      <c r="A5" s="748"/>
    </row>
    <row r="6" spans="1:2" x14ac:dyDescent="0.2">
      <c r="A6" s="748">
        <v>44916</v>
      </c>
      <c r="B6" t="s">
        <v>1081</v>
      </c>
    </row>
    <row r="7" spans="1:2" x14ac:dyDescent="0.2">
      <c r="A7" s="748"/>
    </row>
    <row r="8" spans="1:2" x14ac:dyDescent="0.2">
      <c r="A8" s="748"/>
    </row>
    <row r="9" spans="1:2" x14ac:dyDescent="0.2">
      <c r="A9" s="748">
        <v>44938</v>
      </c>
      <c r="B9" t="s">
        <v>1082</v>
      </c>
    </row>
    <row r="10" spans="1:2" x14ac:dyDescent="0.2">
      <c r="A10" s="748"/>
    </row>
    <row r="11" spans="1:2" x14ac:dyDescent="0.2">
      <c r="A11" s="748"/>
    </row>
    <row r="12" spans="1:2" x14ac:dyDescent="0.2">
      <c r="A12" s="748">
        <v>44963</v>
      </c>
      <c r="B12" t="s">
        <v>1083</v>
      </c>
    </row>
    <row r="13" spans="1:2" x14ac:dyDescent="0.2">
      <c r="A13" s="748"/>
    </row>
    <row r="14" spans="1:2" x14ac:dyDescent="0.2">
      <c r="A14" s="748">
        <v>44960</v>
      </c>
      <c r="B14" t="s">
        <v>1084</v>
      </c>
    </row>
    <row r="15" spans="1:2" x14ac:dyDescent="0.2">
      <c r="A15" s="748"/>
    </row>
    <row r="16" spans="1:2" x14ac:dyDescent="0.2">
      <c r="A16" s="748"/>
    </row>
    <row r="17" spans="1:2" x14ac:dyDescent="0.2">
      <c r="A17" s="748"/>
    </row>
    <row r="18" spans="1:2" x14ac:dyDescent="0.2">
      <c r="A18" s="748">
        <v>44979</v>
      </c>
      <c r="B18" t="s">
        <v>1085</v>
      </c>
    </row>
    <row r="19" spans="1:2" x14ac:dyDescent="0.2">
      <c r="A19" s="748"/>
    </row>
    <row r="20" spans="1:2" x14ac:dyDescent="0.2">
      <c r="A20" s="748">
        <v>44984</v>
      </c>
      <c r="B20" t="s">
        <v>1086</v>
      </c>
    </row>
    <row r="21" spans="1:2" x14ac:dyDescent="0.2">
      <c r="A21" s="748"/>
    </row>
    <row r="22" spans="1:2" x14ac:dyDescent="0.2">
      <c r="A22" s="748">
        <v>44986</v>
      </c>
      <c r="B22" t="s">
        <v>1087</v>
      </c>
    </row>
    <row r="23" spans="1:2" x14ac:dyDescent="0.2">
      <c r="A23" s="748"/>
    </row>
    <row r="24" spans="1:2" x14ac:dyDescent="0.2">
      <c r="A24" s="748">
        <v>44987</v>
      </c>
      <c r="B24" t="s">
        <v>1088</v>
      </c>
    </row>
    <row r="25" spans="1:2" x14ac:dyDescent="0.2">
      <c r="A25" s="748"/>
    </row>
    <row r="26" spans="1:2" x14ac:dyDescent="0.2">
      <c r="A26" s="748">
        <v>44988</v>
      </c>
      <c r="B26" t="s">
        <v>1089</v>
      </c>
    </row>
    <row r="27" spans="1:2" x14ac:dyDescent="0.2">
      <c r="A27" s="748"/>
    </row>
    <row r="28" spans="1:2" x14ac:dyDescent="0.2">
      <c r="A28" s="748">
        <v>44999</v>
      </c>
      <c r="B28" t="s">
        <v>1090</v>
      </c>
    </row>
    <row r="29" spans="1:2" x14ac:dyDescent="0.2">
      <c r="A29" s="748"/>
    </row>
    <row r="30" spans="1:2" x14ac:dyDescent="0.2">
      <c r="A30" s="748">
        <v>45002</v>
      </c>
      <c r="B30" t="s">
        <v>1091</v>
      </c>
    </row>
    <row r="31" spans="1:2" x14ac:dyDescent="0.2">
      <c r="A31" s="748"/>
    </row>
    <row r="32" spans="1:2" x14ac:dyDescent="0.2">
      <c r="A32" s="748">
        <v>45002</v>
      </c>
      <c r="B32" t="s">
        <v>1092</v>
      </c>
    </row>
    <row r="33" spans="1:2" x14ac:dyDescent="0.2">
      <c r="A33" s="748"/>
      <c r="B33" t="s">
        <v>1093</v>
      </c>
    </row>
    <row r="34" spans="1:2" x14ac:dyDescent="0.2">
      <c r="A34" s="748"/>
    </row>
    <row r="35" spans="1:2" x14ac:dyDescent="0.2">
      <c r="A35" s="748">
        <v>45015</v>
      </c>
      <c r="B35" t="s">
        <v>1094</v>
      </c>
    </row>
    <row r="36" spans="1:2" x14ac:dyDescent="0.2">
      <c r="A36" s="748"/>
    </row>
    <row r="37" spans="1:2" x14ac:dyDescent="0.2">
      <c r="A37" s="748">
        <v>45043</v>
      </c>
      <c r="B37" t="s">
        <v>1095</v>
      </c>
    </row>
    <row r="38" spans="1:2" x14ac:dyDescent="0.2">
      <c r="A38" s="748"/>
    </row>
    <row r="39" spans="1:2" x14ac:dyDescent="0.2">
      <c r="A39" s="748">
        <v>45089</v>
      </c>
      <c r="B39" t="s">
        <v>1096</v>
      </c>
    </row>
    <row r="40" spans="1:2" x14ac:dyDescent="0.2">
      <c r="A40" s="748"/>
    </row>
  </sheetData>
  <sheetProtection algorithmName="SHA-512" hashValue="WluXTKGc0GXeCZqfLaBDTCjG7ynsvJjDvKcclTAcd4XDlN2IXMJYD14eFmYcJehGX5ptxIEdE+cH9GfKKk7gXg==" saltValue="xX50VPe7L1hYFqKa4+kz5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rgb="FF00B050"/>
    <pageSetUpPr fitToPage="1"/>
  </sheetPr>
  <dimension ref="A1:Z45"/>
  <sheetViews>
    <sheetView workbookViewId="0"/>
  </sheetViews>
  <sheetFormatPr defaultColWidth="0" defaultRowHeight="14.25" zeroHeight="1" x14ac:dyDescent="0.2"/>
  <cols>
    <col min="1" max="1" width="1.875" customWidth="1"/>
    <col min="2" max="2" width="47.875" customWidth="1"/>
    <col min="3" max="3" width="2.375" customWidth="1"/>
    <col min="4" max="4" width="19.375" customWidth="1"/>
    <col min="5" max="5" width="1.875" customWidth="1"/>
    <col min="6" max="6" width="19.375" customWidth="1"/>
    <col min="7" max="8" width="1.875" customWidth="1"/>
    <col min="9" max="9" width="110.375" customWidth="1"/>
    <col min="10" max="10" width="1.875" customWidth="1"/>
    <col min="11" max="13" width="9" customWidth="1"/>
    <col min="14" max="26" width="9" hidden="1"/>
  </cols>
  <sheetData>
    <row r="1" spans="1:13" ht="15.75" x14ac:dyDescent="0.25">
      <c r="A1" s="59">
        <v>1</v>
      </c>
      <c r="B1" s="59"/>
      <c r="C1" s="60"/>
      <c r="D1" s="60"/>
      <c r="E1" s="60"/>
      <c r="F1" s="59"/>
      <c r="G1" s="59"/>
      <c r="H1" s="59"/>
      <c r="I1" s="60"/>
      <c r="J1" s="59"/>
      <c r="K1" s="60"/>
      <c r="L1" s="60"/>
      <c r="M1" s="60"/>
    </row>
    <row r="2" spans="1:13" ht="15.75" x14ac:dyDescent="0.25">
      <c r="A2" s="60"/>
      <c r="B2" s="60"/>
      <c r="C2" s="60"/>
      <c r="D2" s="60"/>
      <c r="E2" s="60"/>
      <c r="F2" s="60"/>
      <c r="G2" s="60"/>
      <c r="H2" s="60"/>
      <c r="I2" s="61"/>
      <c r="J2" s="60"/>
      <c r="K2" s="60"/>
      <c r="L2" s="60"/>
      <c r="M2" s="60"/>
    </row>
    <row r="3" spans="1:13" ht="15.75" x14ac:dyDescent="0.25">
      <c r="A3" s="53"/>
      <c r="B3" s="53"/>
      <c r="C3" s="53"/>
      <c r="D3" s="52" t="s">
        <v>255</v>
      </c>
      <c r="E3" s="53"/>
      <c r="F3" s="53"/>
      <c r="G3" s="53"/>
      <c r="H3" s="53"/>
      <c r="I3" s="53"/>
      <c r="J3" s="53"/>
      <c r="K3" s="53"/>
      <c r="L3" s="53"/>
      <c r="M3" s="53"/>
    </row>
    <row r="4" spans="1:13" ht="15.75" x14ac:dyDescent="0.25">
      <c r="A4" s="53"/>
      <c r="B4" s="53"/>
      <c r="C4" s="53"/>
      <c r="D4" s="53"/>
      <c r="E4" s="53"/>
      <c r="F4" s="53"/>
      <c r="G4" s="53"/>
      <c r="H4" s="53"/>
      <c r="I4" s="53"/>
      <c r="J4" s="53"/>
      <c r="K4" s="53"/>
      <c r="L4" s="53"/>
      <c r="M4" s="53"/>
    </row>
    <row r="5" spans="1:13" ht="16.5" thickBot="1" x14ac:dyDescent="0.3">
      <c r="A5" s="53"/>
      <c r="B5" s="53"/>
      <c r="C5" s="53"/>
      <c r="D5" s="53"/>
      <c r="E5" s="53"/>
      <c r="F5" s="53"/>
      <c r="G5" s="53"/>
      <c r="H5" s="53"/>
      <c r="I5" s="53"/>
      <c r="J5" s="53"/>
      <c r="K5" s="334" t="str">
        <f>IF(COUNTIF(K11:K45,"Incomplete")&gt;0,"Incomplete","Complete")</f>
        <v>Complete</v>
      </c>
      <c r="L5" s="53"/>
      <c r="M5" s="53"/>
    </row>
    <row r="6" spans="1:13" ht="15.75" x14ac:dyDescent="0.25">
      <c r="A6" s="53"/>
      <c r="B6" s="101" t="s">
        <v>256</v>
      </c>
      <c r="C6" s="833"/>
      <c r="D6" s="350" t="s">
        <v>213</v>
      </c>
      <c r="E6" s="70"/>
      <c r="F6" s="835" t="s">
        <v>257</v>
      </c>
      <c r="G6" s="836"/>
      <c r="H6" s="53"/>
      <c r="I6" s="72" t="s">
        <v>163</v>
      </c>
      <c r="J6" s="53"/>
      <c r="K6" s="53"/>
      <c r="L6" s="53"/>
      <c r="M6" s="53"/>
    </row>
    <row r="7" spans="1:13" ht="16.5" thickBot="1" x14ac:dyDescent="0.3">
      <c r="A7" s="53"/>
      <c r="B7" s="125"/>
      <c r="C7" s="837"/>
      <c r="D7" s="75" t="s">
        <v>164</v>
      </c>
      <c r="E7" s="76"/>
      <c r="F7" s="75" t="s">
        <v>164</v>
      </c>
      <c r="G7" s="77"/>
      <c r="H7" s="53"/>
      <c r="I7" s="78"/>
      <c r="J7" s="53"/>
      <c r="K7" s="53"/>
      <c r="L7" s="53"/>
      <c r="M7" s="53"/>
    </row>
    <row r="8" spans="1:13" ht="15.75" x14ac:dyDescent="0.25">
      <c r="A8" s="53"/>
      <c r="B8" s="106"/>
      <c r="C8" s="80"/>
      <c r="D8" s="80"/>
      <c r="E8" s="80"/>
      <c r="F8" s="80"/>
      <c r="G8" s="81"/>
      <c r="H8" s="53"/>
      <c r="I8" s="82"/>
      <c r="J8" s="53"/>
      <c r="K8" s="53"/>
      <c r="L8" s="53"/>
      <c r="M8" s="53"/>
    </row>
    <row r="9" spans="1:13" ht="15.75" x14ac:dyDescent="0.25">
      <c r="A9" s="53"/>
      <c r="B9" s="107" t="s">
        <v>258</v>
      </c>
      <c r="C9" s="621"/>
      <c r="D9" s="622"/>
      <c r="E9" s="621"/>
      <c r="F9" s="622"/>
      <c r="G9" s="623"/>
      <c r="H9" s="53"/>
      <c r="I9" s="84"/>
      <c r="J9" s="53"/>
      <c r="K9" s="53"/>
      <c r="L9" s="53"/>
      <c r="M9" s="53"/>
    </row>
    <row r="10" spans="1:13" ht="15.75" x14ac:dyDescent="0.25">
      <c r="A10" s="53"/>
      <c r="B10" s="106"/>
      <c r="C10" s="80"/>
      <c r="D10" s="80"/>
      <c r="E10" s="80"/>
      <c r="F10" s="80"/>
      <c r="G10" s="81"/>
      <c r="H10" s="53"/>
      <c r="I10" s="82"/>
      <c r="J10" s="53"/>
      <c r="K10" s="53"/>
      <c r="L10" s="53"/>
      <c r="M10" s="53"/>
    </row>
    <row r="11" spans="1:13" ht="15.75" x14ac:dyDescent="0.25">
      <c r="A11" s="53"/>
      <c r="B11" s="106" t="s">
        <v>259</v>
      </c>
      <c r="C11" s="80"/>
      <c r="D11" s="624">
        <v>0</v>
      </c>
      <c r="E11" s="85"/>
      <c r="F11" s="624">
        <v>0</v>
      </c>
      <c r="G11" s="81"/>
      <c r="H11" s="53"/>
      <c r="I11" s="87"/>
      <c r="J11" s="53"/>
      <c r="K11" s="334" t="str">
        <f>IF(OR(D11="",F11=""),"Incomplete","Complete")</f>
        <v>Complete</v>
      </c>
      <c r="L11" s="53"/>
      <c r="M11" s="53"/>
    </row>
    <row r="12" spans="1:13" ht="15.75" x14ac:dyDescent="0.25">
      <c r="A12" s="53"/>
      <c r="B12" s="106" t="s">
        <v>260</v>
      </c>
      <c r="C12" s="80"/>
      <c r="D12" s="624">
        <v>0</v>
      </c>
      <c r="E12" s="85"/>
      <c r="F12" s="624">
        <v>0</v>
      </c>
      <c r="G12" s="81"/>
      <c r="H12" s="53"/>
      <c r="I12" s="87"/>
      <c r="J12" s="53"/>
      <c r="K12" s="334" t="str">
        <f t="shared" ref="K12:K20" si="0">IF(OR(D12="",F12=""),"Incomplete","Complete")</f>
        <v>Complete</v>
      </c>
      <c r="L12" s="53"/>
      <c r="M12" s="53"/>
    </row>
    <row r="13" spans="1:13" ht="15.75" x14ac:dyDescent="0.25">
      <c r="A13" s="53"/>
      <c r="B13" s="106" t="s">
        <v>261</v>
      </c>
      <c r="C13" s="80"/>
      <c r="D13" s="624">
        <v>0</v>
      </c>
      <c r="E13" s="85"/>
      <c r="F13" s="624">
        <v>0</v>
      </c>
      <c r="G13" s="81"/>
      <c r="H13" s="53"/>
      <c r="I13" s="87"/>
      <c r="J13" s="53"/>
      <c r="K13" s="334" t="str">
        <f t="shared" si="0"/>
        <v>Complete</v>
      </c>
      <c r="L13" s="53"/>
      <c r="M13" s="53"/>
    </row>
    <row r="14" spans="1:13" ht="15.75" x14ac:dyDescent="0.25">
      <c r="A14" s="53"/>
      <c r="B14" s="106" t="s">
        <v>262</v>
      </c>
      <c r="C14" s="80"/>
      <c r="D14" s="624">
        <v>0</v>
      </c>
      <c r="E14" s="85"/>
      <c r="F14" s="624">
        <v>0</v>
      </c>
      <c r="G14" s="81"/>
      <c r="H14" s="53"/>
      <c r="I14" s="87"/>
      <c r="J14" s="53"/>
      <c r="K14" s="334" t="str">
        <f t="shared" si="0"/>
        <v>Complete</v>
      </c>
      <c r="L14" s="53"/>
      <c r="M14" s="53"/>
    </row>
    <row r="15" spans="1:13" ht="15.75" x14ac:dyDescent="0.25">
      <c r="A15" s="53"/>
      <c r="B15" s="106" t="s">
        <v>263</v>
      </c>
      <c r="C15" s="80"/>
      <c r="D15" s="624">
        <v>0</v>
      </c>
      <c r="E15" s="85"/>
      <c r="F15" s="624">
        <v>0</v>
      </c>
      <c r="G15" s="81"/>
      <c r="H15" s="53"/>
      <c r="I15" s="87"/>
      <c r="J15" s="53"/>
      <c r="K15" s="334" t="str">
        <f t="shared" si="0"/>
        <v>Complete</v>
      </c>
      <c r="L15" s="53"/>
      <c r="M15" s="53"/>
    </row>
    <row r="16" spans="1:13" ht="15.75" x14ac:dyDescent="0.25">
      <c r="A16" s="53"/>
      <c r="B16" s="106" t="s">
        <v>264</v>
      </c>
      <c r="C16" s="80"/>
      <c r="D16" s="624">
        <v>0</v>
      </c>
      <c r="E16" s="85"/>
      <c r="F16" s="624">
        <v>0</v>
      </c>
      <c r="G16" s="81"/>
      <c r="H16" s="53"/>
      <c r="I16" s="87"/>
      <c r="J16" s="53"/>
      <c r="K16" s="334" t="str">
        <f t="shared" si="0"/>
        <v>Complete</v>
      </c>
      <c r="L16" s="53"/>
      <c r="M16" s="53"/>
    </row>
    <row r="17" spans="1:13" ht="15.75" x14ac:dyDescent="0.25">
      <c r="A17" s="53"/>
      <c r="B17" s="106" t="s">
        <v>265</v>
      </c>
      <c r="C17" s="80"/>
      <c r="D17" s="624">
        <v>0</v>
      </c>
      <c r="E17" s="85"/>
      <c r="F17" s="624">
        <v>0</v>
      </c>
      <c r="G17" s="81"/>
      <c r="H17" s="53"/>
      <c r="I17" s="87"/>
      <c r="J17" s="53"/>
      <c r="K17" s="334" t="str">
        <f t="shared" si="0"/>
        <v>Complete</v>
      </c>
      <c r="L17" s="53"/>
      <c r="M17" s="53"/>
    </row>
    <row r="18" spans="1:13" ht="15.75" x14ac:dyDescent="0.25">
      <c r="A18" s="53"/>
      <c r="B18" s="106" t="s">
        <v>266</v>
      </c>
      <c r="C18" s="80"/>
      <c r="D18" s="624">
        <v>0</v>
      </c>
      <c r="E18" s="85"/>
      <c r="F18" s="624">
        <v>0</v>
      </c>
      <c r="G18" s="81"/>
      <c r="H18" s="53"/>
      <c r="I18" s="87"/>
      <c r="J18" s="53"/>
      <c r="K18" s="334" t="str">
        <f t="shared" si="0"/>
        <v>Complete</v>
      </c>
      <c r="L18" s="53"/>
      <c r="M18" s="53"/>
    </row>
    <row r="19" spans="1:13" ht="15.75" x14ac:dyDescent="0.25">
      <c r="A19" s="53"/>
      <c r="B19" s="106" t="s">
        <v>267</v>
      </c>
      <c r="C19" s="80"/>
      <c r="D19" s="624">
        <v>0</v>
      </c>
      <c r="E19" s="85"/>
      <c r="F19" s="624">
        <v>0</v>
      </c>
      <c r="G19" s="81"/>
      <c r="H19" s="53"/>
      <c r="I19" s="87"/>
      <c r="J19" s="53"/>
      <c r="K19" s="334" t="str">
        <f t="shared" si="0"/>
        <v>Complete</v>
      </c>
      <c r="L19" s="53"/>
      <c r="M19" s="53"/>
    </row>
    <row r="20" spans="1:13" ht="31.5" x14ac:dyDescent="0.25">
      <c r="A20" s="53"/>
      <c r="B20" s="79" t="s">
        <v>268</v>
      </c>
      <c r="C20" s="80"/>
      <c r="D20" s="624">
        <v>0</v>
      </c>
      <c r="E20" s="85"/>
      <c r="F20" s="624">
        <v>0</v>
      </c>
      <c r="G20" s="81"/>
      <c r="H20" s="53"/>
      <c r="I20" s="87"/>
      <c r="J20" s="53"/>
      <c r="K20" s="334" t="str">
        <f t="shared" si="0"/>
        <v>Complete</v>
      </c>
      <c r="L20" s="53"/>
      <c r="M20" s="53"/>
    </row>
    <row r="21" spans="1:13" ht="15.75" x14ac:dyDescent="0.25">
      <c r="A21" s="53"/>
      <c r="B21" s="106" t="s">
        <v>269</v>
      </c>
      <c r="C21" s="80"/>
      <c r="D21" s="624">
        <v>0</v>
      </c>
      <c r="E21" s="85"/>
      <c r="F21" s="624">
        <v>0</v>
      </c>
      <c r="G21" s="81"/>
      <c r="H21" s="53"/>
      <c r="I21" s="87"/>
      <c r="J21" s="53"/>
      <c r="K21" s="334" t="str">
        <f>IF(OR(D21="",F21=""),"Incomplete","Complete")</f>
        <v>Complete</v>
      </c>
      <c r="L21" s="53"/>
      <c r="M21" s="53"/>
    </row>
    <row r="22" spans="1:13" ht="15.75" x14ac:dyDescent="0.25">
      <c r="A22" s="53"/>
      <c r="B22" s="106"/>
      <c r="C22" s="80"/>
      <c r="D22" s="85"/>
      <c r="E22" s="85"/>
      <c r="F22" s="85"/>
      <c r="G22" s="81"/>
      <c r="H22" s="53"/>
      <c r="I22" s="82"/>
      <c r="J22" s="53"/>
      <c r="K22" s="53"/>
      <c r="L22" s="53"/>
      <c r="M22" s="53"/>
    </row>
    <row r="23" spans="1:13" ht="15.75" x14ac:dyDescent="0.25">
      <c r="A23" s="53"/>
      <c r="B23" s="106" t="s">
        <v>270</v>
      </c>
      <c r="C23" s="80"/>
      <c r="D23" s="626">
        <f>SUM(D11:D21)</f>
        <v>0</v>
      </c>
      <c r="E23" s="85"/>
      <c r="F23" s="626">
        <f>SUM(F11:F21)</f>
        <v>0</v>
      </c>
      <c r="G23" s="81"/>
      <c r="H23" s="53"/>
      <c r="I23" s="87"/>
      <c r="J23" s="53"/>
      <c r="K23" s="53"/>
      <c r="L23" s="53"/>
      <c r="M23" s="53"/>
    </row>
    <row r="24" spans="1:13" ht="16.5" thickBot="1" x14ac:dyDescent="0.3">
      <c r="A24" s="53"/>
      <c r="B24" s="106"/>
      <c r="C24" s="80"/>
      <c r="D24" s="85"/>
      <c r="E24" s="85"/>
      <c r="F24" s="85"/>
      <c r="G24" s="81"/>
      <c r="H24" s="53"/>
      <c r="I24" s="82"/>
      <c r="J24" s="53"/>
      <c r="K24" s="53"/>
      <c r="L24" s="53"/>
      <c r="M24" s="53"/>
    </row>
    <row r="25" spans="1:13" ht="16.5" thickBot="1" x14ac:dyDescent="0.3">
      <c r="A25" s="53"/>
      <c r="B25" s="126" t="s">
        <v>271</v>
      </c>
      <c r="C25" s="127"/>
      <c r="D25" s="127"/>
      <c r="E25" s="127"/>
      <c r="F25" s="127"/>
      <c r="G25" s="128"/>
      <c r="H25" s="53"/>
      <c r="I25" s="129"/>
      <c r="J25" s="53"/>
      <c r="K25" s="53"/>
      <c r="L25" s="53"/>
      <c r="M25" s="53"/>
    </row>
    <row r="26" spans="1:13" ht="15.75" x14ac:dyDescent="0.25">
      <c r="A26" s="53"/>
      <c r="B26" s="130"/>
      <c r="C26" s="131"/>
      <c r="D26" s="132"/>
      <c r="E26" s="132"/>
      <c r="F26" s="132"/>
      <c r="G26" s="133"/>
      <c r="H26" s="53"/>
      <c r="I26" s="82"/>
      <c r="J26" s="53"/>
      <c r="K26" s="53"/>
      <c r="L26" s="53"/>
      <c r="M26" s="53"/>
    </row>
    <row r="27" spans="1:13" ht="15.75" x14ac:dyDescent="0.25">
      <c r="A27" s="53"/>
      <c r="B27" s="106" t="s">
        <v>209</v>
      </c>
      <c r="C27" s="80"/>
      <c r="D27" s="626">
        <f>SUM('RBS - Reins TPs'!Acc_Total_1_to_28_Liabs,Acc_Other_Liabs)</f>
        <v>0</v>
      </c>
      <c r="E27" s="85"/>
      <c r="F27" s="626">
        <f>SUM('RBS - Reins TPs'!Reg_Total_1_to_28_Liabs_10,Reg_Other_Liabs_10)</f>
        <v>0</v>
      </c>
      <c r="G27" s="81"/>
      <c r="H27" s="53"/>
      <c r="I27" s="87"/>
      <c r="J27" s="53"/>
      <c r="K27" s="53"/>
      <c r="L27" s="53"/>
      <c r="M27" s="53"/>
    </row>
    <row r="28" spans="1:13" ht="16.5" thickBot="1" x14ac:dyDescent="0.3">
      <c r="A28" s="53"/>
      <c r="B28" s="110"/>
      <c r="C28" s="93"/>
      <c r="D28" s="134"/>
      <c r="E28" s="134"/>
      <c r="F28" s="134"/>
      <c r="G28" s="94"/>
      <c r="H28" s="53"/>
      <c r="I28" s="95"/>
      <c r="J28" s="53"/>
      <c r="K28" s="53"/>
      <c r="L28" s="53"/>
      <c r="M28" s="53"/>
    </row>
    <row r="29" spans="1:13" ht="15.75" x14ac:dyDescent="0.25">
      <c r="A29" s="53"/>
      <c r="B29" s="53"/>
      <c r="C29" s="53"/>
      <c r="D29" s="109"/>
      <c r="E29" s="109"/>
      <c r="F29" s="109"/>
      <c r="G29" s="53"/>
      <c r="H29" s="53"/>
      <c r="I29" s="53"/>
      <c r="J29" s="53"/>
      <c r="K29" s="53"/>
      <c r="L29" s="53"/>
      <c r="M29" s="53"/>
    </row>
    <row r="30" spans="1:13" ht="16.5" thickBot="1" x14ac:dyDescent="0.3">
      <c r="A30" s="53"/>
      <c r="B30" s="53"/>
      <c r="C30" s="53"/>
      <c r="D30" s="109"/>
      <c r="E30" s="109"/>
      <c r="F30" s="109"/>
      <c r="G30" s="53"/>
      <c r="H30" s="53"/>
      <c r="I30" s="53"/>
      <c r="J30" s="53"/>
      <c r="K30" s="53"/>
      <c r="L30" s="53"/>
      <c r="M30" s="53"/>
    </row>
    <row r="31" spans="1:13" ht="15.75" x14ac:dyDescent="0.25">
      <c r="A31" s="53"/>
      <c r="B31" s="838" t="s">
        <v>272</v>
      </c>
      <c r="C31" s="135"/>
      <c r="D31" s="840" t="s">
        <v>213</v>
      </c>
      <c r="E31" s="136"/>
      <c r="F31" s="137" t="s">
        <v>273</v>
      </c>
      <c r="G31" s="138"/>
      <c r="H31" s="53"/>
      <c r="I31" s="139"/>
      <c r="J31" s="53"/>
      <c r="K31" s="53"/>
      <c r="L31" s="53"/>
      <c r="M31" s="53"/>
    </row>
    <row r="32" spans="1:13" ht="16.5" thickBot="1" x14ac:dyDescent="0.3">
      <c r="A32" s="53"/>
      <c r="B32" s="839"/>
      <c r="C32" s="140"/>
      <c r="D32" s="841"/>
      <c r="E32" s="141"/>
      <c r="F32" s="142" t="s">
        <v>274</v>
      </c>
      <c r="G32" s="77"/>
      <c r="H32" s="53"/>
      <c r="I32" s="143"/>
      <c r="J32" s="53"/>
      <c r="K32" s="53"/>
      <c r="L32" s="53"/>
      <c r="M32" s="53"/>
    </row>
    <row r="33" spans="1:13" ht="15.75" x14ac:dyDescent="0.25">
      <c r="A33" s="53"/>
      <c r="B33" s="106"/>
      <c r="C33" s="80"/>
      <c r="D33" s="85"/>
      <c r="E33" s="85"/>
      <c r="F33" s="85"/>
      <c r="G33" s="81"/>
      <c r="H33" s="53"/>
      <c r="I33" s="82"/>
      <c r="J33" s="53"/>
      <c r="K33" s="53"/>
      <c r="L33" s="53"/>
      <c r="M33" s="53"/>
    </row>
    <row r="34" spans="1:13" ht="15.75" x14ac:dyDescent="0.25">
      <c r="A34" s="53"/>
      <c r="B34" s="106" t="s">
        <v>209</v>
      </c>
      <c r="C34" s="80"/>
      <c r="D34" s="626">
        <f>Acc_Total_Assets-Acc_Total_Liabs</f>
        <v>0</v>
      </c>
      <c r="E34" s="85"/>
      <c r="F34" s="626">
        <f>Reg_Total_Assets-Reg_Total_Liabs_10</f>
        <v>0</v>
      </c>
      <c r="G34" s="81"/>
      <c r="H34" s="53"/>
      <c r="I34" s="87"/>
      <c r="J34" s="53"/>
      <c r="K34" s="53"/>
      <c r="L34" s="53"/>
      <c r="M34" s="53"/>
    </row>
    <row r="35" spans="1:13" ht="16.5" thickBot="1" x14ac:dyDescent="0.3">
      <c r="A35" s="53"/>
      <c r="B35" s="110"/>
      <c r="C35" s="93"/>
      <c r="D35" s="93"/>
      <c r="E35" s="93"/>
      <c r="F35" s="93"/>
      <c r="G35" s="94"/>
      <c r="H35" s="53"/>
      <c r="I35" s="95"/>
      <c r="J35" s="53"/>
      <c r="K35" s="53"/>
      <c r="L35" s="53"/>
      <c r="M35" s="53"/>
    </row>
    <row r="36" spans="1:13" ht="15.75" x14ac:dyDescent="0.25">
      <c r="A36" s="53"/>
      <c r="B36" s="53"/>
      <c r="C36" s="53"/>
      <c r="D36" s="53"/>
      <c r="E36" s="53"/>
      <c r="F36" s="53"/>
      <c r="G36" s="53"/>
      <c r="H36" s="53"/>
      <c r="I36" s="53"/>
      <c r="J36" s="53"/>
      <c r="K36" s="53"/>
      <c r="L36" s="53"/>
      <c r="M36" s="53"/>
    </row>
    <row r="37" spans="1:13" ht="15.75" x14ac:dyDescent="0.25">
      <c r="A37" s="53"/>
      <c r="B37" s="53"/>
      <c r="C37" s="53"/>
      <c r="D37" s="53"/>
      <c r="E37" s="53"/>
      <c r="F37" s="53"/>
      <c r="G37" s="53"/>
      <c r="H37" s="53"/>
      <c r="I37" s="53"/>
      <c r="J37" s="53"/>
      <c r="K37" s="53"/>
      <c r="L37" s="53"/>
      <c r="M37" s="53"/>
    </row>
    <row r="38" spans="1:13" ht="15.75" x14ac:dyDescent="0.25">
      <c r="A38" s="53"/>
      <c r="B38" s="53"/>
      <c r="C38" s="53"/>
      <c r="D38" s="53"/>
      <c r="E38" s="53"/>
      <c r="F38" s="53"/>
      <c r="G38" s="53"/>
      <c r="H38" s="53"/>
      <c r="I38" s="53"/>
      <c r="J38" s="53"/>
      <c r="K38" s="53"/>
      <c r="L38" s="53"/>
      <c r="M38" s="53"/>
    </row>
    <row r="39" spans="1:13" ht="15.75" x14ac:dyDescent="0.25">
      <c r="A39" s="53"/>
      <c r="B39" s="53"/>
      <c r="C39" s="53"/>
      <c r="D39" s="53"/>
      <c r="E39" s="53"/>
      <c r="F39" s="53"/>
      <c r="G39" s="53"/>
      <c r="H39" s="53"/>
      <c r="I39" s="53"/>
      <c r="J39" s="53"/>
      <c r="K39" s="53"/>
      <c r="L39" s="53"/>
      <c r="M39" s="53"/>
    </row>
    <row r="40" spans="1:13" ht="15.75" x14ac:dyDescent="0.25">
      <c r="A40" s="53"/>
      <c r="B40" s="53"/>
      <c r="C40" s="53"/>
      <c r="D40" s="53"/>
      <c r="E40" s="53"/>
      <c r="F40" s="53"/>
      <c r="G40" s="53"/>
      <c r="H40" s="53"/>
      <c r="I40" s="53"/>
      <c r="J40" s="53"/>
      <c r="K40" s="53"/>
      <c r="L40" s="53"/>
      <c r="M40" s="53"/>
    </row>
    <row r="41" spans="1:13" ht="15.75" x14ac:dyDescent="0.25">
      <c r="A41" s="53"/>
      <c r="B41" s="53"/>
      <c r="C41" s="53"/>
      <c r="D41" s="53"/>
      <c r="E41" s="53"/>
      <c r="F41" s="53"/>
      <c r="G41" s="53"/>
      <c r="H41" s="53"/>
      <c r="I41" s="53"/>
      <c r="J41" s="53"/>
      <c r="K41" s="53"/>
      <c r="L41" s="53"/>
      <c r="M41" s="53"/>
    </row>
    <row r="42" spans="1:13" ht="15.75" x14ac:dyDescent="0.25">
      <c r="A42" s="53"/>
      <c r="B42" s="53"/>
      <c r="C42" s="53"/>
      <c r="D42" s="53"/>
      <c r="E42" s="53"/>
      <c r="F42" s="53"/>
      <c r="G42" s="53"/>
      <c r="H42" s="53"/>
      <c r="I42" s="53"/>
      <c r="J42" s="53"/>
      <c r="K42" s="53"/>
      <c r="L42" s="53"/>
      <c r="M42" s="53"/>
    </row>
    <row r="43" spans="1:13" ht="15.75" x14ac:dyDescent="0.25">
      <c r="A43" s="53"/>
      <c r="B43" s="53"/>
      <c r="C43" s="53"/>
      <c r="D43" s="53"/>
      <c r="E43" s="53"/>
      <c r="F43" s="53"/>
      <c r="G43" s="53"/>
      <c r="H43" s="53"/>
      <c r="I43" s="53"/>
      <c r="J43" s="53"/>
      <c r="K43" s="53"/>
      <c r="L43" s="53"/>
      <c r="M43" s="53"/>
    </row>
    <row r="44" spans="1:13" ht="15.75" x14ac:dyDescent="0.25">
      <c r="A44" s="53"/>
      <c r="B44" s="53"/>
      <c r="C44" s="53"/>
      <c r="D44" s="53"/>
      <c r="E44" s="53"/>
      <c r="F44" s="53"/>
      <c r="G44" s="53"/>
      <c r="H44" s="53"/>
      <c r="I44" s="53"/>
      <c r="J44" s="53"/>
      <c r="K44" s="53"/>
      <c r="L44" s="53"/>
      <c r="M44" s="53"/>
    </row>
    <row r="45" spans="1:13" ht="15.75" x14ac:dyDescent="0.25">
      <c r="A45" s="53"/>
      <c r="B45" s="53"/>
      <c r="C45" s="53"/>
      <c r="D45" s="53"/>
      <c r="E45" s="53"/>
      <c r="F45" s="53"/>
      <c r="G45" s="53"/>
      <c r="H45" s="53"/>
      <c r="I45" s="53"/>
      <c r="J45" s="53"/>
      <c r="K45" s="53"/>
      <c r="L45" s="53"/>
      <c r="M45" s="53"/>
    </row>
  </sheetData>
  <sheetProtection algorithmName="SHA-512" hashValue="e9+6p7pVmowlIw3ck5WIN46R04A28Y5oHtGVeLtYI3QEW45FFTUXXbtki9GxbYxczJk/BQd5Li7mDFpSlb6YFw==" saltValue="beB/lX/gScCA42UfPFdYaw==" spinCount="100000" sheet="1" objects="1" scenarios="1"/>
  <customSheetViews>
    <customSheetView guid="{5F9ED89D-ECFA-4459-A055-6360C65F3370}" scale="87" fitToPage="1" hiddenRows="1" hiddenColumns="1">
      <selection activeCell="D11" sqref="D11"/>
      <pageMargins left="0" right="0" top="0" bottom="0" header="0" footer="0"/>
      <pageSetup paperSize="9" scale="86" orientation="portrait" r:id="rId1"/>
      <headerFooter>
        <oddFooter>&amp;CDRAFT - FOR DISCUSSION PURPOSES ONLY</oddFooter>
      </headerFooter>
    </customSheetView>
  </customSheetViews>
  <mergeCells count="4">
    <mergeCell ref="C6:C7"/>
    <mergeCell ref="F6:G6"/>
    <mergeCell ref="B31:B32"/>
    <mergeCell ref="D31:D32"/>
  </mergeCells>
  <conditionalFormatting sqref="I1 I3:I5 I29:I30 I36:I45">
    <cfRule type="cellIs" dxfId="733" priority="12" operator="equal">
      <formula>"ZERO"</formula>
    </cfRule>
  </conditionalFormatting>
  <conditionalFormatting sqref="I1:I5">
    <cfRule type="cellIs" dxfId="732" priority="8" operator="equal">
      <formula>"OK"</formula>
    </cfRule>
    <cfRule type="cellIs" dxfId="731" priority="9" operator="equal">
      <formula>"ERROR"</formula>
    </cfRule>
  </conditionalFormatting>
  <conditionalFormatting sqref="I29:I30 I36:I45">
    <cfRule type="cellIs" dxfId="730" priority="10" operator="equal">
      <formula>"OK"</formula>
    </cfRule>
    <cfRule type="cellIs" dxfId="729" priority="11" operator="equal">
      <formula>"ERROR"</formula>
    </cfRule>
  </conditionalFormatting>
  <conditionalFormatting sqref="K5">
    <cfRule type="cellIs" dxfId="728" priority="3" operator="equal">
      <formula>"Complete"</formula>
    </cfRule>
    <cfRule type="cellIs" dxfId="727" priority="4" operator="equal">
      <formula>"Incomplete"</formula>
    </cfRule>
  </conditionalFormatting>
  <conditionalFormatting sqref="K11:K21">
    <cfRule type="cellIs" dxfId="726" priority="1" operator="equal">
      <formula>"Complete"</formula>
    </cfRule>
    <cfRule type="cellIs" dxfId="725" priority="2" operator="equal">
      <formula>"Incomplete"</formula>
    </cfRule>
  </conditionalFormatting>
  <dataValidations count="4">
    <dataValidation allowBlank="1" showInputMessage="1" showErrorMessage="1" promptTitle="Any other liabilities" prompt="Note: this should not include subordinated liabilities." sqref="B21" xr:uid="{00000000-0002-0000-0900-000000000000}"/>
    <dataValidation allowBlank="1" showErrorMessage="1" promptTitle="Regulatory basis" prompt="The value of other liabilities for solvency purposes in accordance with Part 2 of the regulations." sqref="F6:G6" xr:uid="{00000000-0002-0000-0900-000001000000}"/>
    <dataValidation allowBlank="1" showErrorMessage="1" promptTitle="Balance Sheet - Liabilities" prompt="See TS(10) 1.2. for valuation of technical provisions._x000a_See TS(10) 1.1. for valuation of &quot;Other liabilities&quot;." sqref="C6:C7" xr:uid="{00000000-0002-0000-0900-000002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F7 D7" xr:uid="{00000000-0002-0000-0900-000003000000}"/>
  </dataValidations>
  <pageMargins left="0.70866141732283472" right="0.70866141732283472" top="0.74803149606299213" bottom="0.74803149606299213" header="0.31496062992125984" footer="0.31496062992125984"/>
  <pageSetup paperSize="9" scale="86" orientation="portrait" r:id="rId2"/>
  <headerFooter>
    <oddFooter>&amp;CDRAFT - FOR DISCUSSION PURPOSES ONLY</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00B050"/>
    <pageSetUpPr fitToPage="1"/>
  </sheetPr>
  <dimension ref="A1:BO104"/>
  <sheetViews>
    <sheetView workbookViewId="0"/>
  </sheetViews>
  <sheetFormatPr defaultColWidth="0" defaultRowHeight="14.25" zeroHeight="1" x14ac:dyDescent="0.2"/>
  <cols>
    <col min="1" max="1" width="1.875" customWidth="1"/>
    <col min="2" max="2" width="23.625" customWidth="1"/>
    <col min="3" max="3" width="1.875" customWidth="1"/>
    <col min="4" max="4" width="4.625" customWidth="1"/>
    <col min="5" max="5" width="1.875" customWidth="1"/>
    <col min="6" max="6" width="20.875" customWidth="1"/>
    <col min="7" max="7" width="1.875" customWidth="1"/>
    <col min="8" max="8" width="20.875" customWidth="1"/>
    <col min="9" max="9" width="1.875" customWidth="1"/>
    <col min="10" max="10" width="20.875" customWidth="1"/>
    <col min="11" max="11" width="1.875" customWidth="1"/>
    <col min="12" max="12" width="20.875" customWidth="1"/>
    <col min="13" max="13" width="1.875" customWidth="1"/>
    <col min="14" max="14" width="20.875" customWidth="1"/>
    <col min="15" max="15" width="1.875" customWidth="1"/>
    <col min="16" max="16" width="20.875" customWidth="1"/>
    <col min="17" max="17" width="1.875" customWidth="1"/>
    <col min="18" max="18" width="20.875" customWidth="1"/>
    <col min="19" max="19" width="1.875" customWidth="1"/>
    <col min="20" max="20" width="20.875" customWidth="1"/>
    <col min="21" max="21" width="1.875" customWidth="1"/>
    <col min="22" max="22" width="20.875" customWidth="1"/>
    <col min="23" max="23" width="1.875" customWidth="1"/>
    <col min="24" max="24" width="20.875" customWidth="1"/>
    <col min="25" max="25" width="1.875" customWidth="1"/>
    <col min="26" max="26" width="20.875" customWidth="1"/>
    <col min="27" max="27" width="1.875" customWidth="1"/>
    <col min="28" max="28" width="20.875" customWidth="1"/>
    <col min="29" max="29" width="1.875" customWidth="1"/>
    <col min="30" max="30" width="20.875" customWidth="1"/>
    <col min="31" max="31" width="1.875" customWidth="1"/>
    <col min="32" max="32" width="20.875" customWidth="1"/>
    <col min="33" max="33" width="1.875" customWidth="1"/>
    <col min="34" max="34" width="20.875" customWidth="1"/>
    <col min="35" max="35" width="1.875" customWidth="1"/>
    <col min="36" max="36" width="20.875" customWidth="1"/>
    <col min="37" max="37" width="1.875" customWidth="1"/>
    <col min="38" max="38" width="20.875" customWidth="1"/>
    <col min="39" max="39" width="1.875" customWidth="1"/>
    <col min="40" max="40" width="20.875" customWidth="1"/>
    <col min="41" max="41" width="1.875" customWidth="1"/>
    <col min="42" max="42" width="20.875" customWidth="1"/>
    <col min="43" max="43" width="1.875" customWidth="1"/>
    <col min="44" max="44" width="20.875" customWidth="1"/>
    <col min="45" max="45" width="1.875" customWidth="1"/>
    <col min="46" max="46" width="20.875" customWidth="1"/>
    <col min="47" max="47" width="1.875" customWidth="1"/>
    <col min="48" max="48" width="20.875" customWidth="1"/>
    <col min="49" max="49" width="1.875" customWidth="1"/>
    <col min="50" max="50" width="20.875" customWidth="1"/>
    <col min="51" max="51" width="1.875" customWidth="1"/>
    <col min="52" max="52" width="20.875" customWidth="1"/>
    <col min="53" max="53" width="1.875" customWidth="1"/>
    <col min="54" max="54" width="20.875" customWidth="1"/>
    <col min="55" max="55" width="1.875" customWidth="1"/>
    <col min="56" max="56" width="20.875" customWidth="1"/>
    <col min="57" max="57" width="1.875" customWidth="1"/>
    <col min="58" max="58" width="20.875" customWidth="1"/>
    <col min="59" max="59" width="1.875" customWidth="1"/>
    <col min="60" max="60" width="20.875" customWidth="1"/>
    <col min="61" max="61" width="1.875" customWidth="1"/>
    <col min="62" max="62" width="16.125" customWidth="1"/>
    <col min="63" max="64" width="1.875" customWidth="1"/>
    <col min="65" max="65" width="18.125" customWidth="1"/>
    <col min="66" max="66" width="8.5" customWidth="1"/>
    <col min="67" max="67" width="8.625" hidden="1"/>
  </cols>
  <sheetData>
    <row r="1" spans="1:66" ht="15.75" x14ac:dyDescent="0.25">
      <c r="A1" s="59">
        <v>1</v>
      </c>
      <c r="B1" s="59"/>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59"/>
      <c r="BL1" s="59"/>
      <c r="BM1" s="60"/>
      <c r="BN1" s="59"/>
    </row>
    <row r="2" spans="1:66" ht="50.25" customHeight="1" x14ac:dyDescent="0.25">
      <c r="A2" s="60"/>
      <c r="B2" s="60"/>
      <c r="C2" s="60"/>
      <c r="D2" s="60"/>
      <c r="E2" s="60"/>
      <c r="F2" s="60"/>
      <c r="G2" s="60"/>
      <c r="H2" s="52" t="s">
        <v>275</v>
      </c>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1"/>
      <c r="BN2" s="60"/>
    </row>
    <row r="3" spans="1:66" ht="15.75"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row>
    <row r="4" spans="1:66" ht="15.75" x14ac:dyDescent="0.25">
      <c r="A4" s="53"/>
      <c r="B4" s="96" t="s">
        <v>276</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row>
    <row r="5" spans="1:66" ht="16.5" thickBot="1" x14ac:dyDescent="0.3">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334" t="str">
        <f>IF(COUNTIF(BN62,"Incomplete")&gt;0,"Incomplete","Complete")</f>
        <v>Complete</v>
      </c>
    </row>
    <row r="6" spans="1:66" ht="72.75" customHeight="1" x14ac:dyDescent="0.25">
      <c r="A6" s="53"/>
      <c r="B6" s="145"/>
      <c r="C6" s="69"/>
      <c r="D6" s="69"/>
      <c r="E6" s="69"/>
      <c r="F6" s="69" t="s">
        <v>217</v>
      </c>
      <c r="G6" s="69"/>
      <c r="H6" s="69" t="s">
        <v>222</v>
      </c>
      <c r="I6" s="69"/>
      <c r="J6" s="69" t="s">
        <v>223</v>
      </c>
      <c r="K6" s="69"/>
      <c r="L6" s="69" t="s">
        <v>224</v>
      </c>
      <c r="M6" s="69"/>
      <c r="N6" s="69" t="s">
        <v>225</v>
      </c>
      <c r="O6" s="69"/>
      <c r="P6" s="69" t="s">
        <v>226</v>
      </c>
      <c r="Q6" s="69"/>
      <c r="R6" s="69" t="s">
        <v>227</v>
      </c>
      <c r="S6" s="69"/>
      <c r="T6" s="69" t="s">
        <v>228</v>
      </c>
      <c r="U6" s="69"/>
      <c r="V6" s="69" t="s">
        <v>229</v>
      </c>
      <c r="W6" s="69"/>
      <c r="X6" s="69" t="s">
        <v>230</v>
      </c>
      <c r="Y6" s="69"/>
      <c r="Z6" s="69" t="s">
        <v>231</v>
      </c>
      <c r="AA6" s="69"/>
      <c r="AB6" s="69" t="s">
        <v>232</v>
      </c>
      <c r="AC6" s="69"/>
      <c r="AD6" s="69" t="s">
        <v>237</v>
      </c>
      <c r="AE6" s="69"/>
      <c r="AF6" s="69" t="s">
        <v>238</v>
      </c>
      <c r="AG6" s="69"/>
      <c r="AH6" s="69" t="s">
        <v>239</v>
      </c>
      <c r="AI6" s="69"/>
      <c r="AJ6" s="69" t="s">
        <v>240</v>
      </c>
      <c r="AK6" s="69"/>
      <c r="AL6" s="69" t="s">
        <v>241</v>
      </c>
      <c r="AM6" s="69"/>
      <c r="AN6" s="69" t="s">
        <v>242</v>
      </c>
      <c r="AO6" s="69"/>
      <c r="AP6" s="69" t="s">
        <v>243</v>
      </c>
      <c r="AQ6" s="69"/>
      <c r="AR6" s="69" t="s">
        <v>244</v>
      </c>
      <c r="AS6" s="69"/>
      <c r="AT6" s="69" t="s">
        <v>245</v>
      </c>
      <c r="AU6" s="69"/>
      <c r="AV6" s="69" t="s">
        <v>246</v>
      </c>
      <c r="AW6" s="69"/>
      <c r="AX6" s="69" t="s">
        <v>247</v>
      </c>
      <c r="AY6" s="69"/>
      <c r="AZ6" s="69" t="s">
        <v>248</v>
      </c>
      <c r="BA6" s="69"/>
      <c r="BB6" s="69" t="s">
        <v>249</v>
      </c>
      <c r="BC6" s="69"/>
      <c r="BD6" s="69" t="s">
        <v>250</v>
      </c>
      <c r="BE6" s="69"/>
      <c r="BF6" s="69" t="s">
        <v>251</v>
      </c>
      <c r="BG6" s="69"/>
      <c r="BH6" s="69" t="s">
        <v>252</v>
      </c>
      <c r="BI6" s="358"/>
      <c r="BJ6" s="69"/>
      <c r="BK6" s="146"/>
      <c r="BL6" s="53"/>
      <c r="BM6" s="53"/>
      <c r="BN6" s="53"/>
    </row>
    <row r="7" spans="1:66" ht="16.5" thickBot="1" x14ac:dyDescent="0.3">
      <c r="A7" s="53"/>
      <c r="B7" s="147"/>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364"/>
      <c r="BJ7" s="148"/>
      <c r="BK7" s="149"/>
      <c r="BL7" s="53"/>
      <c r="BM7" s="53"/>
      <c r="BN7" s="53"/>
    </row>
    <row r="8" spans="1:66" ht="6" customHeight="1" x14ac:dyDescent="0.25">
      <c r="A8" s="53"/>
      <c r="B8" s="106"/>
      <c r="C8" s="15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1"/>
      <c r="BL8" s="53"/>
      <c r="BM8" s="53"/>
      <c r="BN8" s="53"/>
    </row>
    <row r="9" spans="1:66" ht="15.75" x14ac:dyDescent="0.25">
      <c r="A9" s="53"/>
      <c r="B9" s="151" t="s">
        <v>277</v>
      </c>
      <c r="C9" s="152"/>
      <c r="D9" s="153"/>
      <c r="E9" s="154"/>
      <c r="F9" s="624">
        <v>0</v>
      </c>
      <c r="G9" s="155"/>
      <c r="H9" s="624">
        <v>0</v>
      </c>
      <c r="I9" s="155"/>
      <c r="J9" s="624">
        <v>0</v>
      </c>
      <c r="K9" s="155"/>
      <c r="L9" s="624">
        <v>0</v>
      </c>
      <c r="M9" s="155"/>
      <c r="N9" s="624">
        <v>0</v>
      </c>
      <c r="O9" s="155"/>
      <c r="P9" s="624">
        <v>0</v>
      </c>
      <c r="Q9" s="155"/>
      <c r="R9" s="624">
        <v>0</v>
      </c>
      <c r="S9" s="155"/>
      <c r="T9" s="624">
        <v>0</v>
      </c>
      <c r="U9" s="155"/>
      <c r="V9" s="624">
        <v>0</v>
      </c>
      <c r="W9" s="155"/>
      <c r="X9" s="624">
        <v>0</v>
      </c>
      <c r="Y9" s="155"/>
      <c r="Z9" s="624">
        <v>0</v>
      </c>
      <c r="AA9" s="155"/>
      <c r="AB9" s="624">
        <v>0</v>
      </c>
      <c r="AC9" s="155"/>
      <c r="AD9" s="624">
        <v>0</v>
      </c>
      <c r="AE9" s="155"/>
      <c r="AF9" s="624">
        <v>0</v>
      </c>
      <c r="AG9" s="155"/>
      <c r="AH9" s="624">
        <v>0</v>
      </c>
      <c r="AI9" s="155"/>
      <c r="AJ9" s="624">
        <v>0</v>
      </c>
      <c r="AK9" s="155"/>
      <c r="AL9" s="624">
        <v>0</v>
      </c>
      <c r="AM9" s="155"/>
      <c r="AN9" s="624">
        <v>0</v>
      </c>
      <c r="AO9" s="155"/>
      <c r="AP9" s="624">
        <v>0</v>
      </c>
      <c r="AQ9" s="155"/>
      <c r="AR9" s="624">
        <v>0</v>
      </c>
      <c r="AS9" s="155"/>
      <c r="AT9" s="624">
        <v>0</v>
      </c>
      <c r="AU9" s="155"/>
      <c r="AV9" s="624">
        <v>0</v>
      </c>
      <c r="AW9" s="155"/>
      <c r="AX9" s="624">
        <v>0</v>
      </c>
      <c r="AY9" s="155"/>
      <c r="AZ9" s="624">
        <v>0</v>
      </c>
      <c r="BA9" s="155"/>
      <c r="BB9" s="624">
        <v>0</v>
      </c>
      <c r="BC9" s="155"/>
      <c r="BD9" s="624">
        <v>0</v>
      </c>
      <c r="BE9" s="155"/>
      <c r="BF9" s="624">
        <v>0</v>
      </c>
      <c r="BG9" s="155"/>
      <c r="BH9" s="624">
        <v>0</v>
      </c>
      <c r="BI9" s="156"/>
      <c r="BJ9" s="156"/>
      <c r="BK9" s="157"/>
      <c r="BL9" s="53"/>
      <c r="BM9" s="158"/>
      <c r="BN9" s="53"/>
    </row>
    <row r="10" spans="1:66" ht="6" customHeight="1" thickBot="1" x14ac:dyDescent="0.3">
      <c r="A10" s="53"/>
      <c r="B10" s="110"/>
      <c r="C10" s="159"/>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4"/>
      <c r="BL10" s="53"/>
      <c r="BM10" s="53"/>
      <c r="BN10" s="53"/>
    </row>
    <row r="11" spans="1:66" ht="15.75" x14ac:dyDescent="0.2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row>
    <row r="12" spans="1:66" ht="15.75" x14ac:dyDescent="0.25">
      <c r="A12" s="53"/>
      <c r="B12" s="96" t="s">
        <v>278</v>
      </c>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row>
    <row r="13" spans="1:66" ht="16.5" thickBot="1" x14ac:dyDescent="0.3">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row>
    <row r="14" spans="1:66" ht="70.5" customHeight="1" x14ac:dyDescent="0.25">
      <c r="A14" s="53"/>
      <c r="B14" s="145"/>
      <c r="C14" s="69"/>
      <c r="D14" s="69"/>
      <c r="E14" s="69"/>
      <c r="F14" s="69" t="s">
        <v>217</v>
      </c>
      <c r="G14" s="69"/>
      <c r="H14" s="69" t="s">
        <v>222</v>
      </c>
      <c r="I14" s="69"/>
      <c r="J14" s="69" t="s">
        <v>223</v>
      </c>
      <c r="K14" s="69"/>
      <c r="L14" s="69" t="s">
        <v>224</v>
      </c>
      <c r="M14" s="69"/>
      <c r="N14" s="69" t="s">
        <v>225</v>
      </c>
      <c r="O14" s="69"/>
      <c r="P14" s="69" t="s">
        <v>226</v>
      </c>
      <c r="Q14" s="69"/>
      <c r="R14" s="69" t="s">
        <v>227</v>
      </c>
      <c r="S14" s="69"/>
      <c r="T14" s="69" t="s">
        <v>228</v>
      </c>
      <c r="U14" s="69"/>
      <c r="V14" s="69" t="s">
        <v>229</v>
      </c>
      <c r="W14" s="69"/>
      <c r="X14" s="69" t="s">
        <v>230</v>
      </c>
      <c r="Y14" s="69"/>
      <c r="Z14" s="69" t="s">
        <v>231</v>
      </c>
      <c r="AA14" s="69"/>
      <c r="AB14" s="69" t="s">
        <v>232</v>
      </c>
      <c r="AC14" s="69"/>
      <c r="AD14" s="69" t="s">
        <v>237</v>
      </c>
      <c r="AE14" s="69"/>
      <c r="AF14" s="69" t="s">
        <v>238</v>
      </c>
      <c r="AG14" s="69"/>
      <c r="AH14" s="69" t="s">
        <v>239</v>
      </c>
      <c r="AI14" s="69"/>
      <c r="AJ14" s="69" t="s">
        <v>240</v>
      </c>
      <c r="AK14" s="69"/>
      <c r="AL14" s="69" t="s">
        <v>241</v>
      </c>
      <c r="AM14" s="69"/>
      <c r="AN14" s="69" t="s">
        <v>242</v>
      </c>
      <c r="AO14" s="69"/>
      <c r="AP14" s="69" t="s">
        <v>243</v>
      </c>
      <c r="AQ14" s="69"/>
      <c r="AR14" s="69" t="s">
        <v>244</v>
      </c>
      <c r="AS14" s="69"/>
      <c r="AT14" s="69" t="s">
        <v>245</v>
      </c>
      <c r="AU14" s="69"/>
      <c r="AV14" s="69" t="s">
        <v>246</v>
      </c>
      <c r="AW14" s="69"/>
      <c r="AX14" s="69" t="s">
        <v>247</v>
      </c>
      <c r="AY14" s="69"/>
      <c r="AZ14" s="69" t="s">
        <v>248</v>
      </c>
      <c r="BA14" s="69"/>
      <c r="BB14" s="69" t="s">
        <v>249</v>
      </c>
      <c r="BC14" s="69"/>
      <c r="BD14" s="69" t="s">
        <v>250</v>
      </c>
      <c r="BE14" s="69"/>
      <c r="BF14" s="69" t="s">
        <v>251</v>
      </c>
      <c r="BG14" s="69"/>
      <c r="BH14" s="69" t="s">
        <v>252</v>
      </c>
      <c r="BI14" s="358"/>
      <c r="BJ14" s="69" t="s">
        <v>169</v>
      </c>
      <c r="BK14" s="146"/>
      <c r="BL14" s="53"/>
      <c r="BM14" s="53"/>
      <c r="BN14" s="53"/>
    </row>
    <row r="15" spans="1:66" ht="16.5" hidden="1" thickBot="1" x14ac:dyDescent="0.3">
      <c r="A15" s="53"/>
      <c r="B15" s="147"/>
      <c r="C15" s="148"/>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row>
    <row r="16" spans="1:66" ht="15.75" hidden="1" x14ac:dyDescent="0.25">
      <c r="A16" s="53"/>
      <c r="B16" s="106"/>
      <c r="C16" s="150"/>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row>
    <row r="17" spans="1:66" ht="15.75" x14ac:dyDescent="0.25">
      <c r="A17" s="53"/>
      <c r="B17" s="151" t="s">
        <v>279</v>
      </c>
      <c r="C17" s="152"/>
      <c r="D17" s="153"/>
      <c r="E17" s="154"/>
      <c r="F17" s="634">
        <f>'RBS - Direct TPs'!F13</f>
        <v>0</v>
      </c>
      <c r="G17" s="155"/>
      <c r="H17" s="634">
        <f>'RBS - Direct TPs'!F22</f>
        <v>0</v>
      </c>
      <c r="I17" s="155"/>
      <c r="J17" s="634">
        <f>'RBS - Direct TPs'!F31</f>
        <v>0</v>
      </c>
      <c r="K17" s="155"/>
      <c r="L17" s="634">
        <f>'RBS - Direct TPs'!F40</f>
        <v>0</v>
      </c>
      <c r="M17" s="155"/>
      <c r="N17" s="634">
        <f>'RBS - Direct TPs'!F49</f>
        <v>0</v>
      </c>
      <c r="O17" s="155"/>
      <c r="P17" s="634">
        <f>'RBS - Direct TPs'!F58</f>
        <v>0</v>
      </c>
      <c r="Q17" s="155"/>
      <c r="R17" s="634">
        <f>'RBS - Direct TPs'!F67</f>
        <v>0</v>
      </c>
      <c r="S17" s="155"/>
      <c r="T17" s="634">
        <f>'RBS - Direct TPs'!F76</f>
        <v>0</v>
      </c>
      <c r="U17" s="155"/>
      <c r="V17" s="634">
        <f>'RBS - Direct TPs'!F85</f>
        <v>0</v>
      </c>
      <c r="W17" s="155"/>
      <c r="X17" s="634">
        <f>'RBS - Direct TPs'!F94</f>
        <v>0</v>
      </c>
      <c r="Y17" s="155"/>
      <c r="Z17" s="634">
        <f>'RBS - Direct TPs'!F103</f>
        <v>0</v>
      </c>
      <c r="AA17" s="155"/>
      <c r="AB17" s="634">
        <f>'RBS - Direct TPs'!F112</f>
        <v>0</v>
      </c>
      <c r="AC17" s="155"/>
      <c r="AD17" s="634">
        <f>'RBS - Reins TPs'!F13</f>
        <v>0</v>
      </c>
      <c r="AE17" s="155"/>
      <c r="AF17" s="634">
        <f>'RBS - Reins TPs'!F22</f>
        <v>0</v>
      </c>
      <c r="AG17" s="155"/>
      <c r="AH17" s="634">
        <f>'RBS - Reins TPs'!F31</f>
        <v>0</v>
      </c>
      <c r="AI17" s="155"/>
      <c r="AJ17" s="634">
        <f>'RBS - Reins TPs'!F40</f>
        <v>0</v>
      </c>
      <c r="AK17" s="155"/>
      <c r="AL17" s="634">
        <f>'RBS - Reins TPs'!F49</f>
        <v>0</v>
      </c>
      <c r="AM17" s="155"/>
      <c r="AN17" s="634">
        <f>'RBS - Reins TPs'!F58</f>
        <v>0</v>
      </c>
      <c r="AO17" s="155"/>
      <c r="AP17" s="634">
        <f>'RBS - Reins TPs'!F67</f>
        <v>0</v>
      </c>
      <c r="AQ17" s="155"/>
      <c r="AR17" s="634">
        <f>'RBS - Reins TPs'!F76</f>
        <v>0</v>
      </c>
      <c r="AS17" s="155"/>
      <c r="AT17" s="634">
        <f>'RBS - Reins TPs'!F85</f>
        <v>0</v>
      </c>
      <c r="AU17" s="155"/>
      <c r="AV17" s="634">
        <f>'RBS - Reins TPs'!F94</f>
        <v>0</v>
      </c>
      <c r="AW17" s="155"/>
      <c r="AX17" s="634">
        <f>'RBS - Reins TPs'!F103</f>
        <v>0</v>
      </c>
      <c r="AY17" s="155"/>
      <c r="AZ17" s="634">
        <f>'RBS - Reins TPs'!F112</f>
        <v>0</v>
      </c>
      <c r="BA17" s="155"/>
      <c r="BB17" s="634">
        <f>'RBS - Reins TPs'!F121</f>
        <v>0</v>
      </c>
      <c r="BC17" s="155"/>
      <c r="BD17" s="634">
        <f>'RBS - Reins TPs'!F130</f>
        <v>0</v>
      </c>
      <c r="BE17" s="155"/>
      <c r="BF17" s="634">
        <f>'RBS - Reins TPs'!F139</f>
        <v>0</v>
      </c>
      <c r="BG17" s="155"/>
      <c r="BH17" s="634">
        <f>'RBS - Reins TPs'!F148</f>
        <v>0</v>
      </c>
      <c r="BI17" s="156"/>
      <c r="BJ17" s="634">
        <f>SUM(F17:BH17)</f>
        <v>0</v>
      </c>
      <c r="BK17" s="157"/>
      <c r="BL17" s="53"/>
      <c r="BM17" s="160"/>
      <c r="BN17" s="53"/>
    </row>
    <row r="18" spans="1:66" ht="5.25" customHeight="1" x14ac:dyDescent="0.25">
      <c r="A18" s="53"/>
      <c r="B18" s="731"/>
      <c r="C18" s="15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1"/>
      <c r="BL18" s="53"/>
      <c r="BM18" s="431"/>
      <c r="BN18" s="53"/>
    </row>
    <row r="19" spans="1:66" ht="15.75" x14ac:dyDescent="0.25">
      <c r="A19" s="53"/>
      <c r="B19" s="151" t="s">
        <v>280</v>
      </c>
      <c r="C19" s="152"/>
      <c r="D19" s="153"/>
      <c r="E19" s="154"/>
      <c r="F19" s="634">
        <f>(F28*F$17)/(1+$BJ28)^$D28+(F29*F$17)/(1+$BJ29)^$D29+(F30*F$17)/(1+$BJ30)^$D30+(F31*F$17)/(1+$BJ31)^$D31+(F32*F$17)/(1+$BJ32)^$D32+(F33*F$17)/(1+$BJ33)^$D33+(F34*F$17)/(1+$BJ34)^$D34+(F35*F$17)/(1+$BJ35)^$D35+(F36*F$17)/(1+$BJ36)^$D36+(F37*F$17)/(1+$BJ37)^$D37+(F38*F$17)/(1+$BJ38)^$D38+(F39*F$17)/(1+$BJ39)^$D39+(F40*F$17)/(1+$BJ40)^$D40+(F41*F$17)/(1+$BJ41)^$D41+(F42*F$17)/(1+$BJ42)^$D42+(F43*F$17)/(1+$BJ43)^$D43+(F44*F$17)/(1+$BJ44)^$D44+(F45*F$17)/(1+$BJ45)^$D45+(F46*F$17)/(1+$BJ46)^$D46+(F47*F$17)/(1+$BJ47)^$D47+(F48*F$17)/(1+$BJ48)^$D48+(F49*F$17)/(1+$BJ49)^$D49+(F50*F$17)/(1+$BJ50)^$D50+(F51*F$17)/(1+$BJ51)^$D51+(F52*F$17)/(1+$BJ52)^$D52+(F53*F$17)/(1+$BJ53)^$D53+(F54*F$17)/(1+$BJ54)^$D54+(F55*F$17)/(1+$BJ55)^$D55+(F56*F$17)/(1+$BJ56)^$D56+(F57*F$17)/(1+$BJ57)^$D57</f>
        <v>0</v>
      </c>
      <c r="G19" s="155"/>
      <c r="H19" s="634">
        <f>(H28*H$17)/(1+$BJ28)^$D28+(H29*H$17)/(1+$BJ29)^$D29+(H30*H$17)/(1+$BJ30)^$D30+(H31*H$17)/(1+$BJ31)^$D31+(H32*H$17)/(1+$BJ32)^$D32+(H33*H$17)/(1+$BJ33)^$D33+(H34*H$17)/(1+$BJ34)^$D34+(H35*H$17)/(1+$BJ35)^$D35+(H36*H$17)/(1+$BJ36)^$D36+(H37*H$17)/(1+$BJ37)^$D37+(H38*H$17)/(1+$BJ38)^$D38+(H39*H$17)/(1+$BJ39)^$D39+(H40*H$17)/(1+$BJ40)^$D40+(H41*H$17)/(1+$BJ41)^$D41+(H42*H$17)/(1+$BJ42)^$D42+(H43*H$17)/(1+$BJ43)^$D43+(H44*H$17)/(1+$BJ44)^$D44+(H45*H$17)/(1+$BJ45)^$D45+(H46*H$17)/(1+$BJ46)^$D46+(H47*H$17)/(1+$BJ47)^$D47+(H48*H$17)/(1+$BJ48)^$D48+(H49*H$17)/(1+$BJ49)^$D49+(H50*H$17)/(1+$BJ50)^$D50+(H51*H$17)/(1+$BJ51)^$D51+(H52*H$17)/(1+$BJ52)^$D52+(H53*H$17)/(1+$BJ53)^$D53+(H54*H$17)/(1+$BJ54)^$D54+(H55*H$17)/(1+$BJ55)^$D55+(H56*H$17)/(1+$BJ56)^$D56+(H57*H$17)/(1+$BJ57)^$D57</f>
        <v>0</v>
      </c>
      <c r="I19" s="155"/>
      <c r="J19" s="634">
        <f>(J28*J$17)/(1+$BJ28)^$D28+(J29*J$17)/(1+$BJ29)^$D29+(J30*J$17)/(1+$BJ30)^$D30+(J31*J$17)/(1+$BJ31)^$D31+(J32*J$17)/(1+$BJ32)^$D32+(J33*J$17)/(1+$BJ33)^$D33+(J34*J$17)/(1+$BJ34)^$D34+(J35*J$17)/(1+$BJ35)^$D35+(J36*J$17)/(1+$BJ36)^$D36+(J37*J$17)/(1+$BJ37)^$D37+(J38*J$17)/(1+$BJ38)^$D38+(J39*J$17)/(1+$BJ39)^$D39+(J40*J$17)/(1+$BJ40)^$D40+(J41*J$17)/(1+$BJ41)^$D41+(J42*J$17)/(1+$BJ42)^$D42+(J43*J$17)/(1+$BJ43)^$D43+(J44*J$17)/(1+$BJ44)^$D44+(J45*J$17)/(1+$BJ45)^$D45+(J46*J$17)/(1+$BJ46)^$D46+(J47*J$17)/(1+$BJ47)^$D47+(J48*J$17)/(1+$BJ48)^$D48+(J49*J$17)/(1+$BJ49)^$D49+(J50*J$17)/(1+$BJ50)^$D50+(J51*J$17)/(1+$BJ51)^$D51+(J52*J$17)/(1+$BJ52)^$D52+(J53*J$17)/(1+$BJ53)^$D53+(J54*J$17)/(1+$BJ54)^$D54+(J55*J$17)/(1+$BJ55)^$D55+(J56*J$17)/(1+$BJ56)^$D56+(J57*J$17)/(1+$BJ57)^$D57</f>
        <v>0</v>
      </c>
      <c r="K19" s="155"/>
      <c r="L19" s="634">
        <f>(L28*L$17)/(1+$BJ28)^$D28+(L29*L$17)/(1+$BJ29)^$D29+(L30*L$17)/(1+$BJ30)^$D30+(L31*L$17)/(1+$BJ31)^$D31+(L32*L$17)/(1+$BJ32)^$D32+(L33*L$17)/(1+$BJ33)^$D33+(L34*L$17)/(1+$BJ34)^$D34+(L35*L$17)/(1+$BJ35)^$D35+(L36*L$17)/(1+$BJ36)^$D36+(L37*L$17)/(1+$BJ37)^$D37+(L38*L$17)/(1+$BJ38)^$D38+(L39*L$17)/(1+$BJ39)^$D39+(L40*L$17)/(1+$BJ40)^$D40+(L41*L$17)/(1+$BJ41)^$D41+(L42*L$17)/(1+$BJ42)^$D42+(L43*L$17)/(1+$BJ43)^$D43+(L44*L$17)/(1+$BJ44)^$D44+(L45*L$17)/(1+$BJ45)^$D45+(L46*L$17)/(1+$BJ46)^$D46+(L47*L$17)/(1+$BJ47)^$D47+(L48*L$17)/(1+$BJ48)^$D48+(L49*L$17)/(1+$BJ49)^$D49+(L50*L$17)/(1+$BJ50)^$D50+(L51*L$17)/(1+$BJ51)^$D51+(L52*L$17)/(1+$BJ52)^$D52+(L53*L$17)/(1+$BJ53)^$D53+(L54*L$17)/(1+$BJ54)^$D54+(L55*L$17)/(1+$BJ55)^$D55+(L56*L$17)/(1+$BJ56)^$D56+(L57*L$17)/(1+$BJ57)^$D57</f>
        <v>0</v>
      </c>
      <c r="M19" s="155"/>
      <c r="N19" s="634">
        <f>(N28*N$17)/(1+$BJ28)^$D28+(N29*N$17)/(1+$BJ29)^$D29+(N30*N$17)/(1+$BJ30)^$D30+(N31*N$17)/(1+$BJ31)^$D31+(N32*N$17)/(1+$BJ32)^$D32+(N33*N$17)/(1+$BJ33)^$D33+(N34*N$17)/(1+$BJ34)^$D34+(N35*N$17)/(1+$BJ35)^$D35+(N36*N$17)/(1+$BJ36)^$D36+(N37*N$17)/(1+$BJ37)^$D37+(N38*N$17)/(1+$BJ38)^$D38+(N39*N$17)/(1+$BJ39)^$D39+(N40*N$17)/(1+$BJ40)^$D40+(N41*N$17)/(1+$BJ41)^$D41+(N42*N$17)/(1+$BJ42)^$D42+(N43*N$17)/(1+$BJ43)^$D43+(N44*N$17)/(1+$BJ44)^$D44+(N45*N$17)/(1+$BJ45)^$D45+(N46*N$17)/(1+$BJ46)^$D46+(N47*N$17)/(1+$BJ47)^$D47+(N48*N$17)/(1+$BJ48)^$D48+(N49*N$17)/(1+$BJ49)^$D49+(N50*N$17)/(1+$BJ50)^$D50+(N51*N$17)/(1+$BJ51)^$D51+(N52*N$17)/(1+$BJ52)^$D52+(N53*N$17)/(1+$BJ53)^$D53+(N54*N$17)/(1+$BJ54)^$D54+(N55*N$17)/(1+$BJ55)^$D55+(N56*N$17)/(1+$BJ56)^$D56+(N57*N$17)/(1+$BJ57)^$D57</f>
        <v>0</v>
      </c>
      <c r="O19" s="155"/>
      <c r="P19" s="634">
        <f>(P28*P$17)/(1+$BJ28)^$D28+(P29*P$17)/(1+$BJ29)^$D29+(P30*P$17)/(1+$BJ30)^$D30+(P31*P$17)/(1+$BJ31)^$D31+(P32*P$17)/(1+$BJ32)^$D32+(P33*P$17)/(1+$BJ33)^$D33+(P34*P$17)/(1+$BJ34)^$D34+(P35*P$17)/(1+$BJ35)^$D35+(P36*P$17)/(1+$BJ36)^$D36+(P37*P$17)/(1+$BJ37)^$D37+(P38*P$17)/(1+$BJ38)^$D38+(P39*P$17)/(1+$BJ39)^$D39+(P40*P$17)/(1+$BJ40)^$D40+(P41*P$17)/(1+$BJ41)^$D41+(P42*P$17)/(1+$BJ42)^$D42+(P43*P$17)/(1+$BJ43)^$D43+(P44*P$17)/(1+$BJ44)^$D44+(P45*P$17)/(1+$BJ45)^$D45+(P46*P$17)/(1+$BJ46)^$D46+(P47*P$17)/(1+$BJ47)^$D47+(P48*P$17)/(1+$BJ48)^$D48+(P49*P$17)/(1+$BJ49)^$D49+(P50*P$17)/(1+$BJ50)^$D50+(P51*P$17)/(1+$BJ51)^$D51+(P52*P$17)/(1+$BJ52)^$D52+(P53*P$17)/(1+$BJ53)^$D53+(P54*P$17)/(1+$BJ54)^$D54+(P55*P$17)/(1+$BJ55)^$D55+(P56*P$17)/(1+$BJ56)^$D56+(P57*P$17)/(1+$BJ57)^$D57</f>
        <v>0</v>
      </c>
      <c r="Q19" s="155"/>
      <c r="R19" s="634">
        <f>(R28*R$17)/(1+$BJ28)^$D28+(R29*R$17)/(1+$BJ29)^$D29+(R30*R$17)/(1+$BJ30)^$D30+(R31*R$17)/(1+$BJ31)^$D31+(R32*R$17)/(1+$BJ32)^$D32+(R33*R$17)/(1+$BJ33)^$D33+(R34*R$17)/(1+$BJ34)^$D34+(R35*R$17)/(1+$BJ35)^$D35+(R36*R$17)/(1+$BJ36)^$D36+(R37*R$17)/(1+$BJ37)^$D37+(R38*R$17)/(1+$BJ38)^$D38+(R39*R$17)/(1+$BJ39)^$D39+(R40*R$17)/(1+$BJ40)^$D40+(R41*R$17)/(1+$BJ41)^$D41+(R42*R$17)/(1+$BJ42)^$D42+(R43*R$17)/(1+$BJ43)^$D43+(R44*R$17)/(1+$BJ44)^$D44+(R45*R$17)/(1+$BJ45)^$D45+(R46*R$17)/(1+$BJ46)^$D46+(R47*R$17)/(1+$BJ47)^$D47+(R48*R$17)/(1+$BJ48)^$D48+(R49*R$17)/(1+$BJ49)^$D49+(R50*R$17)/(1+$BJ50)^$D50+(R51*R$17)/(1+$BJ51)^$D51+(R52*R$17)/(1+$BJ52)^$D52+(R53*R$17)/(1+$BJ53)^$D53+(R54*R$17)/(1+$BJ54)^$D54+(R55*R$17)/(1+$BJ55)^$D55+(R56*R$17)/(1+$BJ56)^$D56+(R57*R$17)/(1+$BJ57)^$D57</f>
        <v>0</v>
      </c>
      <c r="S19" s="155"/>
      <c r="T19" s="634">
        <f>(T28*T$17)/(1+$BJ28)^$D28+(T29*T$17)/(1+$BJ29)^$D29+(T30*T$17)/(1+$BJ30)^$D30+(T31*T$17)/(1+$BJ31)^$D31+(T32*T$17)/(1+$BJ32)^$D32+(T33*T$17)/(1+$BJ33)^$D33+(T34*T$17)/(1+$BJ34)^$D34+(T35*T$17)/(1+$BJ35)^$D35+(T36*T$17)/(1+$BJ36)^$D36+(T37*T$17)/(1+$BJ37)^$D37+(T38*T$17)/(1+$BJ38)^$D38+(T39*T$17)/(1+$BJ39)^$D39+(T40*T$17)/(1+$BJ40)^$D40+(T41*T$17)/(1+$BJ41)^$D41+(T42*T$17)/(1+$BJ42)^$D42+(T43*T$17)/(1+$BJ43)^$D43+(T44*T$17)/(1+$BJ44)^$D44+(T45*T$17)/(1+$BJ45)^$D45+(T46*T$17)/(1+$BJ46)^$D46+(T47*T$17)/(1+$BJ47)^$D47+(T48*T$17)/(1+$BJ48)^$D48+(T49*T$17)/(1+$BJ49)^$D49+(T50*T$17)/(1+$BJ50)^$D50+(T51*T$17)/(1+$BJ51)^$D51+(T52*T$17)/(1+$BJ52)^$D52+(T53*T$17)/(1+$BJ53)^$D53+(T54*T$17)/(1+$BJ54)^$D54+(T55*T$17)/(1+$BJ55)^$D55+(T56*T$17)/(1+$BJ56)^$D56+(T57*T$17)/(1+$BJ57)^$D57</f>
        <v>0</v>
      </c>
      <c r="U19" s="155"/>
      <c r="V19" s="634">
        <f>(V28*V$17)/(1+$BJ28)^$D28+(V29*V$17)/(1+$BJ29)^$D29+(V30*V$17)/(1+$BJ30)^$D30+(V31*V$17)/(1+$BJ31)^$D31+(V32*V$17)/(1+$BJ32)^$D32+(V33*V$17)/(1+$BJ33)^$D33+(V34*V$17)/(1+$BJ34)^$D34+(V35*V$17)/(1+$BJ35)^$D35+(V36*V$17)/(1+$BJ36)^$D36+(V37*V$17)/(1+$BJ37)^$D37+(V38*V$17)/(1+$BJ38)^$D38+(V39*V$17)/(1+$BJ39)^$D39+(V40*V$17)/(1+$BJ40)^$D40+(V41*V$17)/(1+$BJ41)^$D41+(V42*V$17)/(1+$BJ42)^$D42+(V43*V$17)/(1+$BJ43)^$D43+(V44*V$17)/(1+$BJ44)^$D44+(V45*V$17)/(1+$BJ45)^$D45+(V46*V$17)/(1+$BJ46)^$D46+(V47*V$17)/(1+$BJ47)^$D47+(V48*V$17)/(1+$BJ48)^$D48+(V49*V$17)/(1+$BJ49)^$D49+(V50*V$17)/(1+$BJ50)^$D50+(V51*V$17)/(1+$BJ51)^$D51+(V52*V$17)/(1+$BJ52)^$D52+(V53*V$17)/(1+$BJ53)^$D53+(V54*V$17)/(1+$BJ54)^$D54+(V55*V$17)/(1+$BJ55)^$D55+(V56*V$17)/(1+$BJ56)^$D56+(V57*V$17)/(1+$BJ57)^$D57</f>
        <v>0</v>
      </c>
      <c r="W19" s="155"/>
      <c r="X19" s="634">
        <f>(X28*X$17)/(1+$BJ28)^$D28+(X29*X$17)/(1+$BJ29)^$D29+(X30*X$17)/(1+$BJ30)^$D30+(X31*X$17)/(1+$BJ31)^$D31+(X32*X$17)/(1+$BJ32)^$D32+(X33*X$17)/(1+$BJ33)^$D33+(X34*X$17)/(1+$BJ34)^$D34+(X35*X$17)/(1+$BJ35)^$D35+(X36*X$17)/(1+$BJ36)^$D36+(X37*X$17)/(1+$BJ37)^$D37+(X38*X$17)/(1+$BJ38)^$D38+(X39*X$17)/(1+$BJ39)^$D39+(X40*X$17)/(1+$BJ40)^$D40+(X41*X$17)/(1+$BJ41)^$D41+(X42*X$17)/(1+$BJ42)^$D42+(X43*X$17)/(1+$BJ43)^$D43+(X44*X$17)/(1+$BJ44)^$D44+(X45*X$17)/(1+$BJ45)^$D45+(X46*X$17)/(1+$BJ46)^$D46+(X47*X$17)/(1+$BJ47)^$D47+(X48*X$17)/(1+$BJ48)^$D48+(X49*X$17)/(1+$BJ49)^$D49+(X50*X$17)/(1+$BJ50)^$D50+(X51*X$17)/(1+$BJ51)^$D51+(X52*X$17)/(1+$BJ52)^$D52+(X53*X$17)/(1+$BJ53)^$D53+(X54*X$17)/(1+$BJ54)^$D54+(X55*X$17)/(1+$BJ55)^$D55+(X56*X$17)/(1+$BJ56)^$D56+(X57*X$17)/(1+$BJ57)^$D57</f>
        <v>0</v>
      </c>
      <c r="Y19" s="155"/>
      <c r="Z19" s="634">
        <f>(Z28*Z$17)/(1+$BJ28)^$D28+(Z29*Z$17)/(1+$BJ29)^$D29+(Z30*Z$17)/(1+$BJ30)^$D30+(Z31*Z$17)/(1+$BJ31)^$D31+(Z32*Z$17)/(1+$BJ32)^$D32+(Z33*Z$17)/(1+$BJ33)^$D33+(Z34*Z$17)/(1+$BJ34)^$D34+(Z35*Z$17)/(1+$BJ35)^$D35+(Z36*Z$17)/(1+$BJ36)^$D36+(Z37*Z$17)/(1+$BJ37)^$D37+(Z38*Z$17)/(1+$BJ38)^$D38+(Z39*Z$17)/(1+$BJ39)^$D39+(Z40*Z$17)/(1+$BJ40)^$D40+(Z41*Z$17)/(1+$BJ41)^$D41+(Z42*Z$17)/(1+$BJ42)^$D42+(Z43*Z$17)/(1+$BJ43)^$D43+(Z44*Z$17)/(1+$BJ44)^$D44+(Z45*Z$17)/(1+$BJ45)^$D45+(Z46*Z$17)/(1+$BJ46)^$D46+(Z47*Z$17)/(1+$BJ47)^$D47+(Z48*Z$17)/(1+$BJ48)^$D48+(Z49*Z$17)/(1+$BJ49)^$D49+(Z50*Z$17)/(1+$BJ50)^$D50+(Z51*Z$17)/(1+$BJ51)^$D51+(Z52*Z$17)/(1+$BJ52)^$D52+(Z53*Z$17)/(1+$BJ53)^$D53+(Z54*Z$17)/(1+$BJ54)^$D54+(Z55*Z$17)/(1+$BJ55)^$D55+(Z56*Z$17)/(1+$BJ56)^$D56+(Z57*Z$17)/(1+$BJ57)^$D57</f>
        <v>0</v>
      </c>
      <c r="AA19" s="155"/>
      <c r="AB19" s="634">
        <f>(AB28*AB$17)/(1+$BJ28)^$D28+(AB29*AB$17)/(1+$BJ29)^$D29+(AB30*AB$17)/(1+$BJ30)^$D30+(AB31*AB$17)/(1+$BJ31)^$D31+(AB32*AB$17)/(1+$BJ32)^$D32+(AB33*AB$17)/(1+$BJ33)^$D33+(AB34*AB$17)/(1+$BJ34)^$D34+(AB35*AB$17)/(1+$BJ35)^$D35+(AB36*AB$17)/(1+$BJ36)^$D36+(AB37*AB$17)/(1+$BJ37)^$D37+(AB38*AB$17)/(1+$BJ38)^$D38+(AB39*AB$17)/(1+$BJ39)^$D39+(AB40*AB$17)/(1+$BJ40)^$D40+(AB41*AB$17)/(1+$BJ41)^$D41+(AB42*AB$17)/(1+$BJ42)^$D42+(AB43*AB$17)/(1+$BJ43)^$D43+(AB44*AB$17)/(1+$BJ44)^$D44+(AB45*AB$17)/(1+$BJ45)^$D45+(AB46*AB$17)/(1+$BJ46)^$D46+(AB47*AB$17)/(1+$BJ47)^$D47+(AB48*AB$17)/(1+$BJ48)^$D48+(AB49*AB$17)/(1+$BJ49)^$D49+(AB50*AB$17)/(1+$BJ50)^$D50+(AB51*AB$17)/(1+$BJ51)^$D51+(AB52*AB$17)/(1+$BJ52)^$D52+(AB53*AB$17)/(1+$BJ53)^$D53+(AB54*AB$17)/(1+$BJ54)^$D54+(AB55*AB$17)/(1+$BJ55)^$D55+(AB56*AB$17)/(1+$BJ56)^$D56+(AB57*AB$17)/(1+$BJ57)^$D57</f>
        <v>0</v>
      </c>
      <c r="AC19" s="155"/>
      <c r="AD19" s="634">
        <f>(AD28*AD$17)/(1+$BJ28)^$D28+(AD29*AD$17)/(1+$BJ29)^$D29+(AD30*AD$17)/(1+$BJ30)^$D30+(AD31*AD$17)/(1+$BJ31)^$D31+(AD32*AD$17)/(1+$BJ32)^$D32+(AD33*AD$17)/(1+$BJ33)^$D33+(AD34*AD$17)/(1+$BJ34)^$D34+(AD35*AD$17)/(1+$BJ35)^$D35+(AD36*AD$17)/(1+$BJ36)^$D36+(AD37*AD$17)/(1+$BJ37)^$D37+(AD38*AD$17)/(1+$BJ38)^$D38+(AD39*AD$17)/(1+$BJ39)^$D39+(AD40*AD$17)/(1+$BJ40)^$D40+(AD41*AD$17)/(1+$BJ41)^$D41+(AD42*AD$17)/(1+$BJ42)^$D42+(AD43*AD$17)/(1+$BJ43)^$D43+(AD44*AD$17)/(1+$BJ44)^$D44+(AD45*AD$17)/(1+$BJ45)^$D45+(AD46*AD$17)/(1+$BJ46)^$D46+(AD47*AD$17)/(1+$BJ47)^$D47+(AD48*AD$17)/(1+$BJ48)^$D48+(AD49*AD$17)/(1+$BJ49)^$D49+(AD50*AD$17)/(1+$BJ50)^$D50+(AD51*AD$17)/(1+$BJ51)^$D51+(AD52*AD$17)/(1+$BJ52)^$D52+(AD53*AD$17)/(1+$BJ53)^$D53+(AD54*AD$17)/(1+$BJ54)^$D54+(AD55*AD$17)/(1+$BJ55)^$D55+(AD56*AD$17)/(1+$BJ56)^$D56+(AD57*AD$17)/(1+$BJ57)^$D57</f>
        <v>0</v>
      </c>
      <c r="AE19" s="155"/>
      <c r="AF19" s="634">
        <f>(AF28*AF$17)/(1+$BJ28)^$D28+(AF29*AF$17)/(1+$BJ29)^$D29+(AF30*AF$17)/(1+$BJ30)^$D30+(AF31*AF$17)/(1+$BJ31)^$D31+(AF32*AF$17)/(1+$BJ32)^$D32+(AF33*AF$17)/(1+$BJ33)^$D33+(AF34*AF$17)/(1+$BJ34)^$D34+(AF35*AF$17)/(1+$BJ35)^$D35+(AF36*AF$17)/(1+$BJ36)^$D36+(AF37*AF$17)/(1+$BJ37)^$D37+(AF38*AF$17)/(1+$BJ38)^$D38+(AF39*AF$17)/(1+$BJ39)^$D39+(AF40*AF$17)/(1+$BJ40)^$D40+(AF41*AF$17)/(1+$BJ41)^$D41+(AF42*AF$17)/(1+$BJ42)^$D42+(AF43*AF$17)/(1+$BJ43)^$D43+(AF44*AF$17)/(1+$BJ44)^$D44+(AF45*AF$17)/(1+$BJ45)^$D45+(AF46*AF$17)/(1+$BJ46)^$D46+(AF47*AF$17)/(1+$BJ47)^$D47+(AF48*AF$17)/(1+$BJ48)^$D48+(AF49*AF$17)/(1+$BJ49)^$D49+(AF50*AF$17)/(1+$BJ50)^$D50+(AF51*AF$17)/(1+$BJ51)^$D51+(AF52*AF$17)/(1+$BJ52)^$D52+(AF53*AF$17)/(1+$BJ53)^$D53+(AF54*AF$17)/(1+$BJ54)^$D54+(AF55*AF$17)/(1+$BJ55)^$D55+(AF56*AF$17)/(1+$BJ56)^$D56+(AF57*AF$17)/(1+$BJ57)^$D57</f>
        <v>0</v>
      </c>
      <c r="AG19" s="155"/>
      <c r="AH19" s="634">
        <f>(AH28*AH$17)/(1+$BJ28)^$D28+(AH29*AH$17)/(1+$BJ29)^$D29+(AH30*AH$17)/(1+$BJ30)^$D30+(AH31*AH$17)/(1+$BJ31)^$D31+(AH32*AH$17)/(1+$BJ32)^$D32+(AH33*AH$17)/(1+$BJ33)^$D33+(AH34*AH$17)/(1+$BJ34)^$D34+(AH35*AH$17)/(1+$BJ35)^$D35+(AH36*AH$17)/(1+$BJ36)^$D36+(AH37*AH$17)/(1+$BJ37)^$D37+(AH38*AH$17)/(1+$BJ38)^$D38+(AH39*AH$17)/(1+$BJ39)^$D39+(AH40*AH$17)/(1+$BJ40)^$D40+(AH41*AH$17)/(1+$BJ41)^$D41+(AH42*AH$17)/(1+$BJ42)^$D42+(AH43*AH$17)/(1+$BJ43)^$D43+(AH44*AH$17)/(1+$BJ44)^$D44+(AH45*AH$17)/(1+$BJ45)^$D45+(AH46*AH$17)/(1+$BJ46)^$D46+(AH47*AH$17)/(1+$BJ47)^$D47+(AH48*AH$17)/(1+$BJ48)^$D48+(AH49*AH$17)/(1+$BJ49)^$D49+(AH50*AH$17)/(1+$BJ50)^$D50+(AH51*AH$17)/(1+$BJ51)^$D51+(AH52*AH$17)/(1+$BJ52)^$D52+(AH53*AH$17)/(1+$BJ53)^$D53+(AH54*AH$17)/(1+$BJ54)^$D54+(AH55*AH$17)/(1+$BJ55)^$D55+(AH56*AH$17)/(1+$BJ56)^$D56+(AH57*AH$17)/(1+$BJ57)^$D57</f>
        <v>0</v>
      </c>
      <c r="AI19" s="155"/>
      <c r="AJ19" s="634">
        <f>(AJ28*AJ$17)/(1+$BJ28)^$D28+(AJ29*AJ$17)/(1+$BJ29)^$D29+(AJ30*AJ$17)/(1+$BJ30)^$D30+(AJ31*AJ$17)/(1+$BJ31)^$D31+(AJ32*AJ$17)/(1+$BJ32)^$D32+(AJ33*AJ$17)/(1+$BJ33)^$D33+(AJ34*AJ$17)/(1+$BJ34)^$D34+(AJ35*AJ$17)/(1+$BJ35)^$D35+(AJ36*AJ$17)/(1+$BJ36)^$D36+(AJ37*AJ$17)/(1+$BJ37)^$D37+(AJ38*AJ$17)/(1+$BJ38)^$D38+(AJ39*AJ$17)/(1+$BJ39)^$D39+(AJ40*AJ$17)/(1+$BJ40)^$D40+(AJ41*AJ$17)/(1+$BJ41)^$D41+(AJ42*AJ$17)/(1+$BJ42)^$D42+(AJ43*AJ$17)/(1+$BJ43)^$D43+(AJ44*AJ$17)/(1+$BJ44)^$D44+(AJ45*AJ$17)/(1+$BJ45)^$D45+(AJ46*AJ$17)/(1+$BJ46)^$D46+(AJ47*AJ$17)/(1+$BJ47)^$D47+(AJ48*AJ$17)/(1+$BJ48)^$D48+(AJ49*AJ$17)/(1+$BJ49)^$D49+(AJ50*AJ$17)/(1+$BJ50)^$D50+(AJ51*AJ$17)/(1+$BJ51)^$D51+(AJ52*AJ$17)/(1+$BJ52)^$D52+(AJ53*AJ$17)/(1+$BJ53)^$D53+(AJ54*AJ$17)/(1+$BJ54)^$D54+(AJ55*AJ$17)/(1+$BJ55)^$D55+(AJ56*AJ$17)/(1+$BJ56)^$D56+(AJ57*AJ$17)/(1+$BJ57)^$D57</f>
        <v>0</v>
      </c>
      <c r="AK19" s="155"/>
      <c r="AL19" s="634">
        <f>(AL28*AL$17)/(1+$BJ28)^$D28+(AL29*AL$17)/(1+$BJ29)^$D29+(AL30*AL$17)/(1+$BJ30)^$D30+(AL31*AL$17)/(1+$BJ31)^$D31+(AL32*AL$17)/(1+$BJ32)^$D32+(AL33*AL$17)/(1+$BJ33)^$D33+(AL34*AL$17)/(1+$BJ34)^$D34+(AL35*AL$17)/(1+$BJ35)^$D35+(AL36*AL$17)/(1+$BJ36)^$D36+(AL37*AL$17)/(1+$BJ37)^$D37+(AL38*AL$17)/(1+$BJ38)^$D38+(AL39*AL$17)/(1+$BJ39)^$D39+(AL40*AL$17)/(1+$BJ40)^$D40+(AL41*AL$17)/(1+$BJ41)^$D41+(AL42*AL$17)/(1+$BJ42)^$D42+(AL43*AL$17)/(1+$BJ43)^$D43+(AL44*AL$17)/(1+$BJ44)^$D44+(AL45*AL$17)/(1+$BJ45)^$D45+(AL46*AL$17)/(1+$BJ46)^$D46+(AL47*AL$17)/(1+$BJ47)^$D47+(AL48*AL$17)/(1+$BJ48)^$D48+(AL49*AL$17)/(1+$BJ49)^$D49+(AL50*AL$17)/(1+$BJ50)^$D50+(AL51*AL$17)/(1+$BJ51)^$D51+(AL52*AL$17)/(1+$BJ52)^$D52+(AL53*AL$17)/(1+$BJ53)^$D53+(AL54*AL$17)/(1+$BJ54)^$D54+(AL55*AL$17)/(1+$BJ55)^$D55+(AL56*AL$17)/(1+$BJ56)^$D56+(AL57*AL$17)/(1+$BJ57)^$D57</f>
        <v>0</v>
      </c>
      <c r="AM19" s="155"/>
      <c r="AN19" s="634">
        <f>(AN28*AN$17)/(1+$BJ28)^$D28+(AN29*AN$17)/(1+$BJ29)^$D29+(AN30*AN$17)/(1+$BJ30)^$D30+(AN31*AN$17)/(1+$BJ31)^$D31+(AN32*AN$17)/(1+$BJ32)^$D32+(AN33*AN$17)/(1+$BJ33)^$D33+(AN34*AN$17)/(1+$BJ34)^$D34+(AN35*AN$17)/(1+$BJ35)^$D35+(AN36*AN$17)/(1+$BJ36)^$D36+(AN37*AN$17)/(1+$BJ37)^$D37+(AN38*AN$17)/(1+$BJ38)^$D38+(AN39*AN$17)/(1+$BJ39)^$D39+(AN40*AN$17)/(1+$BJ40)^$D40+(AN41*AN$17)/(1+$BJ41)^$D41+(AN42*AN$17)/(1+$BJ42)^$D42+(AN43*AN$17)/(1+$BJ43)^$D43+(AN44*AN$17)/(1+$BJ44)^$D44+(AN45*AN$17)/(1+$BJ45)^$D45+(AN46*AN$17)/(1+$BJ46)^$D46+(AN47*AN$17)/(1+$BJ47)^$D47+(AN48*AN$17)/(1+$BJ48)^$D48+(AN49*AN$17)/(1+$BJ49)^$D49+(AN50*AN$17)/(1+$BJ50)^$D50+(AN51*AN$17)/(1+$BJ51)^$D51+(AN52*AN$17)/(1+$BJ52)^$D52+(AN53*AN$17)/(1+$BJ53)^$D53+(AN54*AN$17)/(1+$BJ54)^$D54+(AN55*AN$17)/(1+$BJ55)^$D55+(AN56*AN$17)/(1+$BJ56)^$D56+(AN57*AN$17)/(1+$BJ57)^$D57</f>
        <v>0</v>
      </c>
      <c r="AO19" s="155"/>
      <c r="AP19" s="634">
        <f>(AP28*AP$17)/(1+$BJ28)^$D28+(AP29*AP$17)/(1+$BJ29)^$D29+(AP30*AP$17)/(1+$BJ30)^$D30+(AP31*AP$17)/(1+$BJ31)^$D31+(AP32*AP$17)/(1+$BJ32)^$D32+(AP33*AP$17)/(1+$BJ33)^$D33+(AP34*AP$17)/(1+$BJ34)^$D34+(AP35*AP$17)/(1+$BJ35)^$D35+(AP36*AP$17)/(1+$BJ36)^$D36+(AP37*AP$17)/(1+$BJ37)^$D37+(AP38*AP$17)/(1+$BJ38)^$D38+(AP39*AP$17)/(1+$BJ39)^$D39+(AP40*AP$17)/(1+$BJ40)^$D40+(AP41*AP$17)/(1+$BJ41)^$D41+(AP42*AP$17)/(1+$BJ42)^$D42+(AP43*AP$17)/(1+$BJ43)^$D43+(AP44*AP$17)/(1+$BJ44)^$D44+(AP45*AP$17)/(1+$BJ45)^$D45+(AP46*AP$17)/(1+$BJ46)^$D46+(AP47*AP$17)/(1+$BJ47)^$D47+(AP48*AP$17)/(1+$BJ48)^$D48+(AP49*AP$17)/(1+$BJ49)^$D49+(AP50*AP$17)/(1+$BJ50)^$D50+(AP51*AP$17)/(1+$BJ51)^$D51+(AP52*AP$17)/(1+$BJ52)^$D52+(AP53*AP$17)/(1+$BJ53)^$D53+(AP54*AP$17)/(1+$BJ54)^$D54+(AP55*AP$17)/(1+$BJ55)^$D55+(AP56*AP$17)/(1+$BJ56)^$D56+(AP57*AP$17)/(1+$BJ57)^$D57</f>
        <v>0</v>
      </c>
      <c r="AQ19" s="155"/>
      <c r="AR19" s="634">
        <f>(AR28*AR$17)/(1+$BJ28)^$D28+(AR29*AR$17)/(1+$BJ29)^$D29+(AR30*AR$17)/(1+$BJ30)^$D30+(AR31*AR$17)/(1+$BJ31)^$D31+(AR32*AR$17)/(1+$BJ32)^$D32+(AR33*AR$17)/(1+$BJ33)^$D33+(AR34*AR$17)/(1+$BJ34)^$D34+(AR35*AR$17)/(1+$BJ35)^$D35+(AR36*AR$17)/(1+$BJ36)^$D36+(AR37*AR$17)/(1+$BJ37)^$D37+(AR38*AR$17)/(1+$BJ38)^$D38+(AR39*AR$17)/(1+$BJ39)^$D39+(AR40*AR$17)/(1+$BJ40)^$D40+(AR41*AR$17)/(1+$BJ41)^$D41+(AR42*AR$17)/(1+$BJ42)^$D42+(AR43*AR$17)/(1+$BJ43)^$D43+(AR44*AR$17)/(1+$BJ44)^$D44+(AR45*AR$17)/(1+$BJ45)^$D45+(AR46*AR$17)/(1+$BJ46)^$D46+(AR47*AR$17)/(1+$BJ47)^$D47+(AR48*AR$17)/(1+$BJ48)^$D48+(AR49*AR$17)/(1+$BJ49)^$D49+(AR50*AR$17)/(1+$BJ50)^$D50+(AR51*AR$17)/(1+$BJ51)^$D51+(AR52*AR$17)/(1+$BJ52)^$D52+(AR53*AR$17)/(1+$BJ53)^$D53+(AR54*AR$17)/(1+$BJ54)^$D54+(AR55*AR$17)/(1+$BJ55)^$D55+(AR56*AR$17)/(1+$BJ56)^$D56+(AR57*AR$17)/(1+$BJ57)^$D57</f>
        <v>0</v>
      </c>
      <c r="AS19" s="155"/>
      <c r="AT19" s="634">
        <f>(AT28*AT$17)/(1+$BJ28)^$D28+(AT29*AT$17)/(1+$BJ29)^$D29+(AT30*AT$17)/(1+$BJ30)^$D30+(AT31*AT$17)/(1+$BJ31)^$D31+(AT32*AT$17)/(1+$BJ32)^$D32+(AT33*AT$17)/(1+$BJ33)^$D33+(AT34*AT$17)/(1+$BJ34)^$D34+(AT35*AT$17)/(1+$BJ35)^$D35+(AT36*AT$17)/(1+$BJ36)^$D36+(AT37*AT$17)/(1+$BJ37)^$D37+(AT38*AT$17)/(1+$BJ38)^$D38+(AT39*AT$17)/(1+$BJ39)^$D39+(AT40*AT$17)/(1+$BJ40)^$D40+(AT41*AT$17)/(1+$BJ41)^$D41+(AT42*AT$17)/(1+$BJ42)^$D42+(AT43*AT$17)/(1+$BJ43)^$D43+(AT44*AT$17)/(1+$BJ44)^$D44+(AT45*AT$17)/(1+$BJ45)^$D45+(AT46*AT$17)/(1+$BJ46)^$D46+(AT47*AT$17)/(1+$BJ47)^$D47+(AT48*AT$17)/(1+$BJ48)^$D48+(AT49*AT$17)/(1+$BJ49)^$D49+(AT50*AT$17)/(1+$BJ50)^$D50+(AT51*AT$17)/(1+$BJ51)^$D51+(AT52*AT$17)/(1+$BJ52)^$D52+(AT53*AT$17)/(1+$BJ53)^$D53+(AT54*AT$17)/(1+$BJ54)^$D54+(AT55*AT$17)/(1+$BJ55)^$D55+(AT56*AT$17)/(1+$BJ56)^$D56+(AT57*AT$17)/(1+$BJ57)^$D57</f>
        <v>0</v>
      </c>
      <c r="AU19" s="155"/>
      <c r="AV19" s="634">
        <f>(AV28*AV$17)/(1+$BJ28)^$D28+(AV29*AV$17)/(1+$BJ29)^$D29+(AV30*AV$17)/(1+$BJ30)^$D30+(AV31*AV$17)/(1+$BJ31)^$D31+(AV32*AV$17)/(1+$BJ32)^$D32+(AV33*AV$17)/(1+$BJ33)^$D33+(AV34*AV$17)/(1+$BJ34)^$D34+(AV35*AV$17)/(1+$BJ35)^$D35+(AV36*AV$17)/(1+$BJ36)^$D36+(AV37*AV$17)/(1+$BJ37)^$D37+(AV38*AV$17)/(1+$BJ38)^$D38+(AV39*AV$17)/(1+$BJ39)^$D39+(AV40*AV$17)/(1+$BJ40)^$D40+(AV41*AV$17)/(1+$BJ41)^$D41+(AV42*AV$17)/(1+$BJ42)^$D42+(AV43*AV$17)/(1+$BJ43)^$D43+(AV44*AV$17)/(1+$BJ44)^$D44+(AV45*AV$17)/(1+$BJ45)^$D45+(AV46*AV$17)/(1+$BJ46)^$D46+(AV47*AV$17)/(1+$BJ47)^$D47+(AV48*AV$17)/(1+$BJ48)^$D48+(AV49*AV$17)/(1+$BJ49)^$D49+(AV50*AV$17)/(1+$BJ50)^$D50+(AV51*AV$17)/(1+$BJ51)^$D51+(AV52*AV$17)/(1+$BJ52)^$D52+(AV53*AV$17)/(1+$BJ53)^$D53+(AV54*AV$17)/(1+$BJ54)^$D54+(AV55*AV$17)/(1+$BJ55)^$D55+(AV56*AV$17)/(1+$BJ56)^$D56+(AV57*AV$17)/(1+$BJ57)^$D57</f>
        <v>0</v>
      </c>
      <c r="AW19" s="155"/>
      <c r="AX19" s="634">
        <f>(AX28*AX$17)/(1+$BJ28)^$D28+(AX29*AX$17)/(1+$BJ29)^$D29+(AX30*AX$17)/(1+$BJ30)^$D30+(AX31*AX$17)/(1+$BJ31)^$D31+(AX32*AX$17)/(1+$BJ32)^$D32+(AX33*AX$17)/(1+$BJ33)^$D33+(AX34*AX$17)/(1+$BJ34)^$D34+(AX35*AX$17)/(1+$BJ35)^$D35+(AX36*AX$17)/(1+$BJ36)^$D36+(AX37*AX$17)/(1+$BJ37)^$D37+(AX38*AX$17)/(1+$BJ38)^$D38+(AX39*AX$17)/(1+$BJ39)^$D39+(AX40*AX$17)/(1+$BJ40)^$D40+(AX41*AX$17)/(1+$BJ41)^$D41+(AX42*AX$17)/(1+$BJ42)^$D42+(AX43*AX$17)/(1+$BJ43)^$D43+(AX44*AX$17)/(1+$BJ44)^$D44+(AX45*AX$17)/(1+$BJ45)^$D45+(AX46*AX$17)/(1+$BJ46)^$D46+(AX47*AX$17)/(1+$BJ47)^$D47+(AX48*AX$17)/(1+$BJ48)^$D48+(AX49*AX$17)/(1+$BJ49)^$D49+(AX50*AX$17)/(1+$BJ50)^$D50+(AX51*AX$17)/(1+$BJ51)^$D51+(AX52*AX$17)/(1+$BJ52)^$D52+(AX53*AX$17)/(1+$BJ53)^$D53+(AX54*AX$17)/(1+$BJ54)^$D54+(AX55*AX$17)/(1+$BJ55)^$D55+(AX56*AX$17)/(1+$BJ56)^$D56+(AX57*AX$17)/(1+$BJ57)^$D57</f>
        <v>0</v>
      </c>
      <c r="AY19" s="155"/>
      <c r="AZ19" s="634">
        <f>(AZ28*AZ$17)/(1+$BJ28)^$D28+(AZ29*AZ$17)/(1+$BJ29)^$D29+(AZ30*AZ$17)/(1+$BJ30)^$D30+(AZ31*AZ$17)/(1+$BJ31)^$D31+(AZ32*AZ$17)/(1+$BJ32)^$D32+(AZ33*AZ$17)/(1+$BJ33)^$D33+(AZ34*AZ$17)/(1+$BJ34)^$D34+(AZ35*AZ$17)/(1+$BJ35)^$D35+(AZ36*AZ$17)/(1+$BJ36)^$D36+(AZ37*AZ$17)/(1+$BJ37)^$D37+(AZ38*AZ$17)/(1+$BJ38)^$D38+(AZ39*AZ$17)/(1+$BJ39)^$D39+(AZ40*AZ$17)/(1+$BJ40)^$D40+(AZ41*AZ$17)/(1+$BJ41)^$D41+(AZ42*AZ$17)/(1+$BJ42)^$D42+(AZ43*AZ$17)/(1+$BJ43)^$D43+(AZ44*AZ$17)/(1+$BJ44)^$D44+(AZ45*AZ$17)/(1+$BJ45)^$D45+(AZ46*AZ$17)/(1+$BJ46)^$D46+(AZ47*AZ$17)/(1+$BJ47)^$D47+(AZ48*AZ$17)/(1+$BJ48)^$D48+(AZ49*AZ$17)/(1+$BJ49)^$D49+(AZ50*AZ$17)/(1+$BJ50)^$D50+(AZ51*AZ$17)/(1+$BJ51)^$D51+(AZ52*AZ$17)/(1+$BJ52)^$D52+(AZ53*AZ$17)/(1+$BJ53)^$D53+(AZ54*AZ$17)/(1+$BJ54)^$D54+(AZ55*AZ$17)/(1+$BJ55)^$D55+(AZ56*AZ$17)/(1+$BJ56)^$D56+(AZ57*AZ$17)/(1+$BJ57)^$D57</f>
        <v>0</v>
      </c>
      <c r="BA19" s="155"/>
      <c r="BB19" s="634">
        <f>(BB28*BB$17)/(1+$BJ28)^$D28+(BB29*BB$17)/(1+$BJ29)^$D29+(BB30*BB$17)/(1+$BJ30)^$D30+(BB31*BB$17)/(1+$BJ31)^$D31+(BB32*BB$17)/(1+$BJ32)^$D32+(BB33*BB$17)/(1+$BJ33)^$D33+(BB34*BB$17)/(1+$BJ34)^$D34+(BB35*BB$17)/(1+$BJ35)^$D35+(BB36*BB$17)/(1+$BJ36)^$D36+(BB37*BB$17)/(1+$BJ37)^$D37+(BB38*BB$17)/(1+$BJ38)^$D38+(BB39*BB$17)/(1+$BJ39)^$D39+(BB40*BB$17)/(1+$BJ40)^$D40+(BB41*BB$17)/(1+$BJ41)^$D41+(BB42*BB$17)/(1+$BJ42)^$D42+(BB43*BB$17)/(1+$BJ43)^$D43+(BB44*BB$17)/(1+$BJ44)^$D44+(BB45*BB$17)/(1+$BJ45)^$D45+(BB46*BB$17)/(1+$BJ46)^$D46+(BB47*BB$17)/(1+$BJ47)^$D47+(BB48*BB$17)/(1+$BJ48)^$D48+(BB49*BB$17)/(1+$BJ49)^$D49+(BB50*BB$17)/(1+$BJ50)^$D50+(BB51*BB$17)/(1+$BJ51)^$D51+(BB52*BB$17)/(1+$BJ52)^$D52+(BB53*BB$17)/(1+$BJ53)^$D53+(BB54*BB$17)/(1+$BJ54)^$D54+(BB55*BB$17)/(1+$BJ55)^$D55+(BB56*BB$17)/(1+$BJ56)^$D56+(BB57*BB$17)/(1+$BJ57)^$D57</f>
        <v>0</v>
      </c>
      <c r="BC19" s="155"/>
      <c r="BD19" s="634">
        <f>(BD28*BD$17)/(1+$BJ28)^$D28+(BD29*BD$17)/(1+$BJ29)^$D29+(BD30*BD$17)/(1+$BJ30)^$D30+(BD31*BD$17)/(1+$BJ31)^$D31+(BD32*BD$17)/(1+$BJ32)^$D32+(BD33*BD$17)/(1+$BJ33)^$D33+(BD34*BD$17)/(1+$BJ34)^$D34+(BD35*BD$17)/(1+$BJ35)^$D35+(BD36*BD$17)/(1+$BJ36)^$D36+(BD37*BD$17)/(1+$BJ37)^$D37+(BD38*BD$17)/(1+$BJ38)^$D38+(BD39*BD$17)/(1+$BJ39)^$D39+(BD40*BD$17)/(1+$BJ40)^$D40+(BD41*BD$17)/(1+$BJ41)^$D41+(BD42*BD$17)/(1+$BJ42)^$D42+(BD43*BD$17)/(1+$BJ43)^$D43+(BD44*BD$17)/(1+$BJ44)^$D44+(BD45*BD$17)/(1+$BJ45)^$D45+(BD46*BD$17)/(1+$BJ46)^$D46+(BD47*BD$17)/(1+$BJ47)^$D47+(BD48*BD$17)/(1+$BJ48)^$D48+(BD49*BD$17)/(1+$BJ49)^$D49+(BD50*BD$17)/(1+$BJ50)^$D50+(BD51*BD$17)/(1+$BJ51)^$D51+(BD52*BD$17)/(1+$BJ52)^$D52+(BD53*BD$17)/(1+$BJ53)^$D53+(BD54*BD$17)/(1+$BJ54)^$D54+(BD55*BD$17)/(1+$BJ55)^$D55+(BD56*BD$17)/(1+$BJ56)^$D56+(BD57*BD$17)/(1+$BJ57)^$D57</f>
        <v>0</v>
      </c>
      <c r="BE19" s="155"/>
      <c r="BF19" s="634">
        <f>(BF28*BF$17)/(1+$BJ28)^$D28+(BF29*BF$17)/(1+$BJ29)^$D29+(BF30*BF$17)/(1+$BJ30)^$D30+(BF31*BF$17)/(1+$BJ31)^$D31+(BF32*BF$17)/(1+$BJ32)^$D32+(BF33*BF$17)/(1+$BJ33)^$D33+(BF34*BF$17)/(1+$BJ34)^$D34+(BF35*BF$17)/(1+$BJ35)^$D35+(BF36*BF$17)/(1+$BJ36)^$D36+(BF37*BF$17)/(1+$BJ37)^$D37+(BF38*BF$17)/(1+$BJ38)^$D38+(BF39*BF$17)/(1+$BJ39)^$D39+(BF40*BF$17)/(1+$BJ40)^$D40+(BF41*BF$17)/(1+$BJ41)^$D41+(BF42*BF$17)/(1+$BJ42)^$D42+(BF43*BF$17)/(1+$BJ43)^$D43+(BF44*BF$17)/(1+$BJ44)^$D44+(BF45*BF$17)/(1+$BJ45)^$D45+(BF46*BF$17)/(1+$BJ46)^$D46+(BF47*BF$17)/(1+$BJ47)^$D47+(BF48*BF$17)/(1+$BJ48)^$D48+(BF49*BF$17)/(1+$BJ49)^$D49+(BF50*BF$17)/(1+$BJ50)^$D50+(BF51*BF$17)/(1+$BJ51)^$D51+(BF52*BF$17)/(1+$BJ52)^$D52+(BF53*BF$17)/(1+$BJ53)^$D53+(BF54*BF$17)/(1+$BJ54)^$D54+(BF55*BF$17)/(1+$BJ55)^$D55+(BF56*BF$17)/(1+$BJ56)^$D56+(BF57*BF$17)/(1+$BJ57)^$D57</f>
        <v>0</v>
      </c>
      <c r="BG19" s="155"/>
      <c r="BH19" s="634">
        <f>(BH28*BH$17)/(1+$BJ28)^$D28+(BH29*BH$17)/(1+$BJ29)^$D29+(BH30*BH$17)/(1+$BJ30)^$D30+(BH31*BH$17)/(1+$BJ31)^$D31+(BH32*BH$17)/(1+$BJ32)^$D32+(BH33*BH$17)/(1+$BJ33)^$D33+(BH34*BH$17)/(1+$BJ34)^$D34+(BH35*BH$17)/(1+$BJ35)^$D35+(BH36*BH$17)/(1+$BJ36)^$D36+(BH37*BH$17)/(1+$BJ37)^$D37+(BH38*BH$17)/(1+$BJ38)^$D38+(BH39*BH$17)/(1+$BJ39)^$D39+(BH40*BH$17)/(1+$BJ40)^$D40+(BH41*BH$17)/(1+$BJ41)^$D41+(BH42*BH$17)/(1+$BJ42)^$D42+(BH43*BH$17)/(1+$BJ43)^$D43+(BH44*BH$17)/(1+$BJ44)^$D44+(BH45*BH$17)/(1+$BJ45)^$D45+(BH46*BH$17)/(1+$BJ46)^$D46+(BH47*BH$17)/(1+$BJ47)^$D47+(BH48*BH$17)/(1+$BJ48)^$D48+(BH49*BH$17)/(1+$BJ49)^$D49+(BH50*BH$17)/(1+$BJ50)^$D50+(BH51*BH$17)/(1+$BJ51)^$D51+(BH52*BH$17)/(1+$BJ52)^$D52+(BH53*BH$17)/(1+$BJ53)^$D53+(BH54*BH$17)/(1+$BJ54)^$D54+(BH55*BH$17)/(1+$BJ55)^$D55+(BH56*BH$17)/(1+$BJ56)^$D56+(BH57*BH$17)/(1+$BJ57)^$D57</f>
        <v>0</v>
      </c>
      <c r="BI19" s="156"/>
      <c r="BJ19" s="156"/>
      <c r="BK19" s="157"/>
      <c r="BL19" s="53"/>
      <c r="BM19" s="160"/>
      <c r="BN19" s="53"/>
    </row>
    <row r="20" spans="1:66" ht="5.25" customHeight="1" x14ac:dyDescent="0.25">
      <c r="A20" s="53"/>
      <c r="B20" s="731"/>
      <c r="C20" s="15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1"/>
      <c r="BL20" s="53"/>
      <c r="BM20" s="431"/>
      <c r="BN20" s="53"/>
    </row>
    <row r="21" spans="1:66" ht="15.75" x14ac:dyDescent="0.25">
      <c r="A21" s="53"/>
      <c r="B21" s="151" t="s">
        <v>281</v>
      </c>
      <c r="C21" s="150"/>
      <c r="D21" s="80"/>
      <c r="E21" s="80"/>
      <c r="F21" s="634">
        <f>IF(SUM(F$28:F$57)=0,0,F$98/F$19)</f>
        <v>0</v>
      </c>
      <c r="G21" s="80"/>
      <c r="H21" s="634">
        <f>IF(SUM(H$28:H$57)=0,0,H$98/H$19)</f>
        <v>0</v>
      </c>
      <c r="I21" s="80"/>
      <c r="J21" s="634">
        <f>IF(SUM(J$28:J$57)=0,0,J$98/J$19)</f>
        <v>0</v>
      </c>
      <c r="K21" s="80"/>
      <c r="L21" s="634">
        <f>IF(SUM(L$28:L$57)=0,0,L$98/L$19)</f>
        <v>0</v>
      </c>
      <c r="M21" s="80"/>
      <c r="N21" s="634">
        <f>IF(SUM(N$28:N$57)=0,0,N$98/N$19)</f>
        <v>0</v>
      </c>
      <c r="O21" s="80"/>
      <c r="P21" s="634">
        <f>IF(SUM(P$28:P$57)=0,0,P$98/P$19)</f>
        <v>0</v>
      </c>
      <c r="Q21" s="80"/>
      <c r="R21" s="634">
        <f>IF(SUM(R$28:R$57)=0,0,R$98/R$19)</f>
        <v>0</v>
      </c>
      <c r="S21" s="80"/>
      <c r="T21" s="634">
        <f>IF(SUM(T$28:T$57)=0,0,T$98/T$19)</f>
        <v>0</v>
      </c>
      <c r="U21" s="80"/>
      <c r="V21" s="634">
        <f>IF(SUM(V$28:V$57)=0,0,V$98/V$19)</f>
        <v>0</v>
      </c>
      <c r="W21" s="80"/>
      <c r="X21" s="634">
        <f>IF(SUM(X$28:X$57)=0,0,X$98/X$19)</f>
        <v>0</v>
      </c>
      <c r="Y21" s="80"/>
      <c r="Z21" s="634">
        <f>IF(SUM(Z$28:Z$57)=0,0,Z$98/Z$19)</f>
        <v>0</v>
      </c>
      <c r="AA21" s="80"/>
      <c r="AB21" s="634">
        <f>IF(SUM(AB$28:AB$57)=0,0,AB$98/AB$19)</f>
        <v>0</v>
      </c>
      <c r="AC21" s="80"/>
      <c r="AD21" s="634">
        <f>IF(SUM(AD$28:AD$57)=0,0,AD$98/AD$19)</f>
        <v>0</v>
      </c>
      <c r="AE21" s="80"/>
      <c r="AF21" s="634">
        <f>IF(SUM(AF$28:AF$57)=0,0,AF$98/AF$19)</f>
        <v>0</v>
      </c>
      <c r="AG21" s="80"/>
      <c r="AH21" s="634">
        <f>IF(SUM(AH$28:AH$57)=0,0,AH$98/AH$19)</f>
        <v>0</v>
      </c>
      <c r="AI21" s="80"/>
      <c r="AJ21" s="634">
        <f>IF(SUM(AJ$28:AJ$57)=0,0,AJ$98/AJ$19)</f>
        <v>0</v>
      </c>
      <c r="AK21" s="80"/>
      <c r="AL21" s="634">
        <f>IF(SUM(AL$28:AL$57)=0,0,AL$98/AL$19)</f>
        <v>0</v>
      </c>
      <c r="AM21" s="80"/>
      <c r="AN21" s="634">
        <f>IF(SUM(AN$28:AN$57)=0,0,AN$98/AN$19)</f>
        <v>0</v>
      </c>
      <c r="AO21" s="80"/>
      <c r="AP21" s="634">
        <f>IF(SUM(AP$28:AP$57)=0,0,AP$98/AP$19)</f>
        <v>0</v>
      </c>
      <c r="AQ21" s="80"/>
      <c r="AR21" s="634">
        <f>IF(SUM(AR$28:AR$57)=0,0,AR$98/AR$19)</f>
        <v>0</v>
      </c>
      <c r="AS21" s="80"/>
      <c r="AT21" s="634">
        <f>IF(SUM(AT$28:AT$57)=0,0,AT$98/AT$19)</f>
        <v>0</v>
      </c>
      <c r="AU21" s="80"/>
      <c r="AV21" s="634">
        <f>IF(SUM(AV$28:AV$57)=0,0,AV$98/AV$19)</f>
        <v>0</v>
      </c>
      <c r="AW21" s="80"/>
      <c r="AX21" s="634">
        <f>IF(SUM(AX$28:AX$57)=0,0,AX$98/AX$19)</f>
        <v>0</v>
      </c>
      <c r="AY21" s="80"/>
      <c r="AZ21" s="634">
        <f>IF(SUM(AZ$28:AZ$57)=0,0,AZ$98/AZ$19)</f>
        <v>0</v>
      </c>
      <c r="BA21" s="80"/>
      <c r="BB21" s="634">
        <f>IF(SUM(BB$28:BB$57)=0,0,BB$98/BB$19)</f>
        <v>0</v>
      </c>
      <c r="BC21" s="80"/>
      <c r="BD21" s="634">
        <f>IF(SUM(BD$28:BD$57)=0,0,BD$98/BD$19)</f>
        <v>0</v>
      </c>
      <c r="BE21" s="80"/>
      <c r="BF21" s="634">
        <f>IF(SUM(BF$28:BF$57)=0,0,BF$98/BF$19)</f>
        <v>0</v>
      </c>
      <c r="BG21" s="80"/>
      <c r="BH21" s="634">
        <f>IF(SUM(BH$28:BH$57)=0,0,BH$98/BH$19)</f>
        <v>0</v>
      </c>
      <c r="BI21" s="80"/>
      <c r="BJ21" s="80"/>
      <c r="BK21" s="81"/>
      <c r="BL21" s="53"/>
      <c r="BM21" s="431"/>
      <c r="BN21" s="53"/>
    </row>
    <row r="22" spans="1:66" ht="5.25" customHeight="1" x14ac:dyDescent="0.25">
      <c r="A22" s="53"/>
      <c r="B22" s="731"/>
      <c r="C22" s="15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1"/>
      <c r="BL22" s="53"/>
      <c r="BM22" s="431"/>
      <c r="BN22" s="53"/>
    </row>
    <row r="23" spans="1:66" ht="15.75" x14ac:dyDescent="0.25">
      <c r="A23" s="53"/>
      <c r="B23" s="151" t="s">
        <v>221</v>
      </c>
      <c r="C23" s="152"/>
      <c r="D23" s="153"/>
      <c r="E23" s="154"/>
      <c r="F23" s="635">
        <f t="array" ref="F23">IF(ISERROR((F17/$BJ$17)*4%/(1+$BJ$28)*F21*SQRT(MMULT(MMULT(TRANSPOSE('SCR Summary'!$D$10:$D$12),Data!$L$82:$N$84),'SCR Summary'!$D$10:$D$12))),0,(F17/$BJ$17)*4%/(1+$BJ$28)*F21*SQRT(MMULT(MMULT(TRANSPOSE('SCR Summary'!$D$10:$D$12),Data!$L$82:$N$84),'SCR Summary'!$D$10:$D$12)))</f>
        <v>0</v>
      </c>
      <c r="G23" s="161"/>
      <c r="H23" s="635">
        <f t="array" ref="H23">IF(ISERROR((H17/$BJ$17)*4%/(1+$BJ$28)*H21*SQRT(MMULT(MMULT(TRANSPOSE('SCR Summary'!$D$10:$D$12),Data!$L$82:$N$84),'SCR Summary'!$D$10:$D$12))),0,(H17/$BJ$17)*4%/(1+$BJ$28)*H21*SQRT(MMULT(MMULT(TRANSPOSE('SCR Summary'!$D$10:$D$12),Data!$L$82:$N$84),'SCR Summary'!$D$10:$D$12)))</f>
        <v>0</v>
      </c>
      <c r="I23" s="161"/>
      <c r="J23" s="635">
        <f t="array" ref="J23">IF(ISERROR((J17/$BJ$17)*4%/(1+$BJ$28)*J21*SQRT(MMULT(MMULT(TRANSPOSE('SCR Summary'!$D$10:$D$12),Data!$L$82:$N$84),'SCR Summary'!$D$10:$D$12))),0,(J17/$BJ$17)*4%/(1+$BJ$28)*J21*SQRT(MMULT(MMULT(TRANSPOSE('SCR Summary'!$D$10:$D$12),Data!$L$82:$N$84),'SCR Summary'!$D$10:$D$12)))</f>
        <v>0</v>
      </c>
      <c r="K23" s="161"/>
      <c r="L23" s="635">
        <f t="array" ref="L23">IF(ISERROR((L17/$BJ$17)*4%/(1+$BJ$28)*L21*SQRT(MMULT(MMULT(TRANSPOSE('SCR Summary'!$D$10:$D$12),Data!$L$82:$N$84),'SCR Summary'!$D$10:$D$12))),0,(L17/$BJ$17)*4%/(1+$BJ$28)*L21*SQRT(MMULT(MMULT(TRANSPOSE('SCR Summary'!$D$10:$D$12),Data!$L$82:$N$84),'SCR Summary'!$D$10:$D$12)))</f>
        <v>0</v>
      </c>
      <c r="M23" s="161"/>
      <c r="N23" s="635">
        <f t="array" ref="N23">IF(ISERROR((N17/$BJ$17)*4%/(1+$BJ$28)*N21*SQRT(MMULT(MMULT(TRANSPOSE('SCR Summary'!$D$10:$D$12),Data!$L$82:$N$84),'SCR Summary'!$D$10:$D$12))),0,(N17/$BJ$17)*4%/(1+$BJ$28)*N21*SQRT(MMULT(MMULT(TRANSPOSE('SCR Summary'!$D$10:$D$12),Data!$L$82:$N$84),'SCR Summary'!$D$10:$D$12)))</f>
        <v>0</v>
      </c>
      <c r="O23" s="161"/>
      <c r="P23" s="635">
        <f t="array" ref="P23">IF(ISERROR((P17/$BJ$17)*4%/(1+$BJ$28)*P21*SQRT(MMULT(MMULT(TRANSPOSE('SCR Summary'!$D$10:$D$12),Data!$L$82:$N$84),'SCR Summary'!$D$10:$D$12))),0,(P17/$BJ$17)*4%/(1+$BJ$28)*P21*SQRT(MMULT(MMULT(TRANSPOSE('SCR Summary'!$D$10:$D$12),Data!$L$82:$N$84),'SCR Summary'!$D$10:$D$12)))</f>
        <v>0</v>
      </c>
      <c r="Q23" s="161"/>
      <c r="R23" s="635">
        <f t="array" ref="R23">IF(ISERROR((R17/$BJ$17)*4%/(1+$BJ$28)*R21*SQRT(MMULT(MMULT(TRANSPOSE('SCR Summary'!$D$10:$D$12),Data!$L$82:$N$84),'SCR Summary'!$D$10:$D$12))),0,(R17/$BJ$17)*4%/(1+$BJ$28)*R21*SQRT(MMULT(MMULT(TRANSPOSE('SCR Summary'!$D$10:$D$12),Data!$L$82:$N$84),'SCR Summary'!$D$10:$D$12)))</f>
        <v>0</v>
      </c>
      <c r="S23" s="161"/>
      <c r="T23" s="635">
        <f t="array" ref="T23">IF(ISERROR((T17/$BJ$17)*4%/(1+$BJ$28)*T21*SQRT(MMULT(MMULT(TRANSPOSE('SCR Summary'!$D$10:$D$12),Data!$L$82:$N$84),'SCR Summary'!$D$10:$D$12))),0,(T17/$BJ$17)*4%/(1+$BJ$28)*T21*SQRT(MMULT(MMULT(TRANSPOSE('SCR Summary'!$D$10:$D$12),Data!$L$82:$N$84),'SCR Summary'!$D$10:$D$12)))</f>
        <v>0</v>
      </c>
      <c r="U23" s="161"/>
      <c r="V23" s="635">
        <f t="array" ref="V23">IF(ISERROR((V17/$BJ$17)*4%/(1+$BJ$28)*V21*SQRT(MMULT(MMULT(TRANSPOSE('SCR Summary'!$D$10:$D$12),Data!$L$82:$N$84),'SCR Summary'!$D$10:$D$12))),0,(V17/$BJ$17)*4%/(1+$BJ$28)*V21*SQRT(MMULT(MMULT(TRANSPOSE('SCR Summary'!$D$10:$D$12),Data!$L$82:$N$84),'SCR Summary'!$D$10:$D$12)))</f>
        <v>0</v>
      </c>
      <c r="W23" s="161"/>
      <c r="X23" s="635">
        <f t="array" ref="X23">IF(ISERROR((X17/$BJ$17)*4%/(1+$BJ$28)*X21*SQRT(MMULT(MMULT(TRANSPOSE('SCR Summary'!$D$10:$D$12),Data!$L$82:$N$84),'SCR Summary'!$D$10:$D$12))),0,(X17/$BJ$17)*4%/(1+$BJ$28)*X21*SQRT(MMULT(MMULT(TRANSPOSE('SCR Summary'!$D$10:$D$12),Data!$L$82:$N$84),'SCR Summary'!$D$10:$D$12)))</f>
        <v>0</v>
      </c>
      <c r="Y23" s="161"/>
      <c r="Z23" s="635">
        <f t="array" ref="Z23">IF(ISERROR((Z17/$BJ$17)*4%/(1+$BJ$28)*Z21*SQRT(MMULT(MMULT(TRANSPOSE('SCR Summary'!$D$10:$D$12),Data!$L$82:$N$84),'SCR Summary'!$D$10:$D$12))),0,(Z17/$BJ$17)*4%/(1+$BJ$28)*Z21*SQRT(MMULT(MMULT(TRANSPOSE('SCR Summary'!$D$10:$D$12),Data!$L$82:$N$84),'SCR Summary'!$D$10:$D$12)))</f>
        <v>0</v>
      </c>
      <c r="AA23" s="161"/>
      <c r="AB23" s="635">
        <f t="array" ref="AB23">IF(ISERROR((AB17/$BJ$17)*4%/(1+$BJ$28)*AB21*SQRT(MMULT(MMULT(TRANSPOSE('SCR Summary'!$D$10:$D$12),Data!$L$82:$N$84),'SCR Summary'!$D$10:$D$12))),0,(AB17/$BJ$17)*4%/(1+$BJ$28)*AB21*SQRT(MMULT(MMULT(TRANSPOSE('SCR Summary'!$D$10:$D$12),Data!$L$82:$N$84),'SCR Summary'!$D$10:$D$12)))</f>
        <v>0</v>
      </c>
      <c r="AC23" s="161"/>
      <c r="AD23" s="635">
        <f t="array" ref="AD23">IF(ISERROR((AD17/$BJ$17)*4%/(1+$BJ$28)*AD21*SQRT(MMULT(MMULT(TRANSPOSE('SCR Summary'!$D$10:$D$12),Data!$L$82:$N$84),'SCR Summary'!$D$10:$D$12))),0,(AD17/$BJ$17)*4%/(1+$BJ$28)*AD21*SQRT(MMULT(MMULT(TRANSPOSE('SCR Summary'!$D$10:$D$12),Data!$L$82:$N$84),'SCR Summary'!$D$10:$D$12)))</f>
        <v>0</v>
      </c>
      <c r="AE23" s="161"/>
      <c r="AF23" s="635">
        <f t="array" ref="AF23">IF(ISERROR((AF17/$BJ$17)*4%/(1+$BJ$28)*AF21*SQRT(MMULT(MMULT(TRANSPOSE('SCR Summary'!$D$10:$D$12),Data!$L$82:$N$84),'SCR Summary'!$D$10:$D$12))),0,(AF17/$BJ$17)*4%/(1+$BJ$28)*AF21*SQRT(MMULT(MMULT(TRANSPOSE('SCR Summary'!$D$10:$D$12),Data!$L$82:$N$84),'SCR Summary'!$D$10:$D$12)))</f>
        <v>0</v>
      </c>
      <c r="AG23" s="161"/>
      <c r="AH23" s="635">
        <f t="array" ref="AH23">IF(ISERROR((AH17/$BJ$17)*4%/(1+$BJ$28)*AH21*SQRT(MMULT(MMULT(TRANSPOSE('SCR Summary'!$D$10:$D$12),Data!$L$82:$N$84),'SCR Summary'!$D$10:$D$12))),0,(AH17/$BJ$17)*4%/(1+$BJ$28)*AH21*SQRT(MMULT(MMULT(TRANSPOSE('SCR Summary'!$D$10:$D$12),Data!$L$82:$N$84),'SCR Summary'!$D$10:$D$12)))</f>
        <v>0</v>
      </c>
      <c r="AI23" s="161"/>
      <c r="AJ23" s="635">
        <f t="array" ref="AJ23">IF(ISERROR((AJ17/$BJ$17)*4%/(1+$BJ$28)*AJ21*SQRT(MMULT(MMULT(TRANSPOSE('SCR Summary'!$D$10:$D$12),Data!$L$82:$N$84),'SCR Summary'!$D$10:$D$12))),0,(AJ17/$BJ$17)*4%/(1+$BJ$28)*AJ21*SQRT(MMULT(MMULT(TRANSPOSE('SCR Summary'!$D$10:$D$12),Data!$L$82:$N$84),'SCR Summary'!$D$10:$D$12)))</f>
        <v>0</v>
      </c>
      <c r="AK23" s="161"/>
      <c r="AL23" s="635">
        <f t="array" ref="AL23">IF(ISERROR((AL17/$BJ$17)*4%/(1+$BJ$28)*AL21*SQRT(MMULT(MMULT(TRANSPOSE('SCR Summary'!$D$10:$D$12),Data!$L$82:$N$84),'SCR Summary'!$D$10:$D$12))),0,(AL17/$BJ$17)*4%/(1+$BJ$28)*AL21*SQRT(MMULT(MMULT(TRANSPOSE('SCR Summary'!$D$10:$D$12),Data!$L$82:$N$84),'SCR Summary'!$D$10:$D$12)))</f>
        <v>0</v>
      </c>
      <c r="AM23" s="161"/>
      <c r="AN23" s="635">
        <f t="array" ref="AN23">IF(ISERROR((AN17/$BJ$17)*4%/(1+$BJ$28)*AN21*SQRT(MMULT(MMULT(TRANSPOSE('SCR Summary'!$D$10:$D$12),Data!$L$82:$N$84),'SCR Summary'!$D$10:$D$12))),0,(AN17/$BJ$17)*4%/(1+$BJ$28)*AN21*SQRT(MMULT(MMULT(TRANSPOSE('SCR Summary'!$D$10:$D$12),Data!$L$82:$N$84),'SCR Summary'!$D$10:$D$12)))</f>
        <v>0</v>
      </c>
      <c r="AO23" s="161"/>
      <c r="AP23" s="635">
        <f t="array" ref="AP23">IF(ISERROR((AP17/$BJ$17)*4%/(1+$BJ$28)*AP21*SQRT(MMULT(MMULT(TRANSPOSE('SCR Summary'!$D$10:$D$12),Data!$L$82:$N$84),'SCR Summary'!$D$10:$D$12))),0,(AP17/$BJ$17)*4%/(1+$BJ$28)*AP21*SQRT(MMULT(MMULT(TRANSPOSE('SCR Summary'!$D$10:$D$12),Data!$L$82:$N$84),'SCR Summary'!$D$10:$D$12)))</f>
        <v>0</v>
      </c>
      <c r="AQ23" s="161"/>
      <c r="AR23" s="635">
        <f t="array" ref="AR23">IF(ISERROR((AR17/$BJ$17)*4%/(1+$BJ$28)*AR21*SQRT(MMULT(MMULT(TRANSPOSE('SCR Summary'!$D$10:$D$12),Data!$L$82:$N$84),'SCR Summary'!$D$10:$D$12))),0,(AR17/$BJ$17)*4%/(1+$BJ$28)*AR21*SQRT(MMULT(MMULT(TRANSPOSE('SCR Summary'!$D$10:$D$12),Data!$L$82:$N$84),'SCR Summary'!$D$10:$D$12)))</f>
        <v>0</v>
      </c>
      <c r="AS23" s="161"/>
      <c r="AT23" s="635">
        <f t="array" ref="AT23">IF(ISERROR((AT17/$BJ$17)*4%/(1+$BJ$28)*AT21*SQRT(MMULT(MMULT(TRANSPOSE('SCR Summary'!$D$10:$D$12),Data!$L$82:$N$84),'SCR Summary'!$D$10:$D$12))),0,(AT17/$BJ$17)*4%/(1+$BJ$28)*AT21*SQRT(MMULT(MMULT(TRANSPOSE('SCR Summary'!$D$10:$D$12),Data!$L$82:$N$84),'SCR Summary'!$D$10:$D$12)))</f>
        <v>0</v>
      </c>
      <c r="AU23" s="161"/>
      <c r="AV23" s="635">
        <f t="array" ref="AV23">IF(ISERROR((AV17/$BJ$17)*4%/(1+$BJ$28)*AV21*SQRT(MMULT(MMULT(TRANSPOSE('SCR Summary'!$D$10:$D$12),Data!$L$82:$N$84),'SCR Summary'!$D$10:$D$12))),0,(AV17/$BJ$17)*4%/(1+$BJ$28)*AV21*SQRT(MMULT(MMULT(TRANSPOSE('SCR Summary'!$D$10:$D$12),Data!$L$82:$N$84),'SCR Summary'!$D$10:$D$12)))</f>
        <v>0</v>
      </c>
      <c r="AW23" s="161"/>
      <c r="AX23" s="635">
        <f t="array" ref="AX23">IF(ISERROR((AX17/$BJ$17)*4%/(1+$BJ$28)*AX21*SQRT(MMULT(MMULT(TRANSPOSE('SCR Summary'!$D$10:$D$12),Data!$L$82:$N$84),'SCR Summary'!$D$10:$D$12))),0,(AX17/$BJ$17)*4%/(1+$BJ$28)*AX21*SQRT(MMULT(MMULT(TRANSPOSE('SCR Summary'!$D$10:$D$12),Data!$L$82:$N$84),'SCR Summary'!$D$10:$D$12)))</f>
        <v>0</v>
      </c>
      <c r="AY23" s="161"/>
      <c r="AZ23" s="635">
        <f t="array" ref="AZ23">IF(ISERROR((AZ17/$BJ$17)*4%/(1+$BJ$28)*AZ21*SQRT(MMULT(MMULT(TRANSPOSE('SCR Summary'!$D$10:$D$12),Data!$L$82:$N$84),'SCR Summary'!$D$10:$D$12))),0,(AZ17/$BJ$17)*4%/(1+$BJ$28)*AZ21*SQRT(MMULT(MMULT(TRANSPOSE('SCR Summary'!$D$10:$D$12),Data!$L$82:$N$84),'SCR Summary'!$D$10:$D$12)))</f>
        <v>0</v>
      </c>
      <c r="BA23" s="161"/>
      <c r="BB23" s="635">
        <f t="array" ref="BB23">IF(ISERROR((BB17/$BJ$17)*4%/(1+$BJ$28)*BB21*SQRT(MMULT(MMULT(TRANSPOSE('SCR Summary'!$D$10:$D$12),Data!$L$82:$N$84),'SCR Summary'!$D$10:$D$12))),0,(BB17/$BJ$17)*4%/(1+$BJ$28)*BB21*SQRT(MMULT(MMULT(TRANSPOSE('SCR Summary'!$D$10:$D$12),Data!$L$82:$N$84),'SCR Summary'!$D$10:$D$12)))</f>
        <v>0</v>
      </c>
      <c r="BC23" s="161"/>
      <c r="BD23" s="635">
        <f t="array" ref="BD23">IF(ISERROR((BD17/$BJ$17)*4%/(1+$BJ$28)*BD21*SQRT(MMULT(MMULT(TRANSPOSE('SCR Summary'!$D$10:$D$12),Data!$L$82:$N$84),'SCR Summary'!$D$10:$D$12))),0,(BD17/$BJ$17)*4%/(1+$BJ$28)*BD21*SQRT(MMULT(MMULT(TRANSPOSE('SCR Summary'!$D$10:$D$12),Data!$L$82:$N$84),'SCR Summary'!$D$10:$D$12)))</f>
        <v>0</v>
      </c>
      <c r="BE23" s="161"/>
      <c r="BF23" s="635">
        <f t="array" ref="BF23">IF(ISERROR((BF17/$BJ$17)*4%/(1+$BJ$28)*BF21*SQRT(MMULT(MMULT(TRANSPOSE('SCR Summary'!$D$10:$D$12),Data!$L$82:$N$84),'SCR Summary'!$D$10:$D$12))),0,(BF17/$BJ$17)*4%/(1+$BJ$28)*BF21*SQRT(MMULT(MMULT(TRANSPOSE('SCR Summary'!$D$10:$D$12),Data!$L$82:$N$84),'SCR Summary'!$D$10:$D$12)))</f>
        <v>0</v>
      </c>
      <c r="BG23" s="161"/>
      <c r="BH23" s="635">
        <f t="array" ref="BH23">IF(ISERROR((BH17/$BJ$17)*4%/(1+$BJ$28)*BH21*SQRT(MMULT(MMULT(TRANSPOSE('SCR Summary'!$D$10:$D$12),Data!$L$82:$N$84),'SCR Summary'!$D$10:$D$12))),0,(BH17/$BJ$17)*4%/(1+$BJ$28)*BH21*SQRT(MMULT(MMULT(TRANSPOSE('SCR Summary'!$D$10:$D$12),Data!$L$82:$N$84),'SCR Summary'!$D$10:$D$12)))</f>
        <v>0</v>
      </c>
      <c r="BI23" s="156"/>
      <c r="BJ23" s="80"/>
      <c r="BK23" s="157"/>
      <c r="BL23" s="53"/>
      <c r="BM23" s="160"/>
      <c r="BN23" s="53"/>
    </row>
    <row r="24" spans="1:66" ht="15.75" x14ac:dyDescent="0.25">
      <c r="A24" s="53"/>
      <c r="B24" s="731"/>
      <c r="C24" s="150"/>
      <c r="D24" s="80"/>
      <c r="E24" s="80"/>
      <c r="F24" s="162" t="str">
        <f>IF(AND(F17&gt;0,F28=""),"ERROR RM MUST BE NON-ZERO","")</f>
        <v/>
      </c>
      <c r="G24" s="80"/>
      <c r="H24" s="162" t="str">
        <f>IF(AND(H17&gt;0,H28=""),"ERROR RM MUST BE NON-ZERO","")</f>
        <v/>
      </c>
      <c r="I24" s="80"/>
      <c r="J24" s="162" t="str">
        <f>IF(AND(J17&gt;0,J28=""),"ERROR RM MUST BE NON-ZERO","")</f>
        <v/>
      </c>
      <c r="K24" s="80"/>
      <c r="L24" s="162" t="str">
        <f>IF(AND(L17&gt;0,L28=""),"ERROR RM MUST BE NON-ZERO","")</f>
        <v/>
      </c>
      <c r="M24" s="80"/>
      <c r="N24" s="162" t="str">
        <f>IF(AND(N17&gt;0,N28=""),"ERROR RM MUST BE NON-ZERO","")</f>
        <v/>
      </c>
      <c r="O24" s="80"/>
      <c r="P24" s="162" t="str">
        <f>IF(AND(P17&gt;0,P28=""),"ERROR RM MUST BE NON-ZERO","")</f>
        <v/>
      </c>
      <c r="Q24" s="80"/>
      <c r="R24" s="162" t="str">
        <f>IF(AND(R17&gt;0,R28=""),"ERROR RM MUST BE NON-ZERO","")</f>
        <v/>
      </c>
      <c r="S24" s="80"/>
      <c r="T24" s="162" t="str">
        <f>IF(AND(T17&gt;0,T28=""),"ERROR RM MUST BE NON-ZERO","")</f>
        <v/>
      </c>
      <c r="U24" s="80"/>
      <c r="V24" s="162" t="str">
        <f>IF(AND(V17&gt;0,V28=""),"ERROR RM MUST BE NON-ZERO","")</f>
        <v/>
      </c>
      <c r="W24" s="80"/>
      <c r="X24" s="162" t="str">
        <f>IF(AND(X17&gt;0,X28=""),"ERROR RM MUST BE NON-ZERO","")</f>
        <v/>
      </c>
      <c r="Y24" s="80"/>
      <c r="Z24" s="162" t="str">
        <f>IF(AND(Z17&gt;0,Z28=""),"ERROR RM MUST BE NON-ZERO","")</f>
        <v/>
      </c>
      <c r="AA24" s="80"/>
      <c r="AB24" s="162" t="str">
        <f>IF(AND(AB17&gt;0,AB28=""),"ERROR RM MUST BE NON-ZERO","")</f>
        <v/>
      </c>
      <c r="AC24" s="80"/>
      <c r="AD24" s="162" t="str">
        <f>IF(AND(AD17&gt;0,AD28=""),"ERROR RM MUST BE NON-ZERO","")</f>
        <v/>
      </c>
      <c r="AE24" s="80"/>
      <c r="AF24" s="162" t="str">
        <f>IF(AND(AF17&gt;0,AF28=""),"ERROR RM MUST BE NON-ZERO","")</f>
        <v/>
      </c>
      <c r="AG24" s="80"/>
      <c r="AH24" s="162" t="str">
        <f>IF(AND(AH17&gt;0,AH28=""),"ERROR RM MUST BE NON-ZERO","")</f>
        <v/>
      </c>
      <c r="AI24" s="80"/>
      <c r="AJ24" s="162" t="str">
        <f>IF(AND(AJ17&gt;0,AJ28=""),"ERROR RM MUST BE NON-ZERO","")</f>
        <v/>
      </c>
      <c r="AK24" s="80"/>
      <c r="AL24" s="162" t="str">
        <f>IF(AND(AL17&gt;0,AL28=""),"ERROR RM MUST BE NON-ZERO","")</f>
        <v/>
      </c>
      <c r="AM24" s="80"/>
      <c r="AN24" s="162" t="str">
        <f>IF(AND(AN17&gt;0,AN28=""),"ERROR RM MUST BE NON-ZERO","")</f>
        <v/>
      </c>
      <c r="AO24" s="80"/>
      <c r="AP24" s="162" t="str">
        <f>IF(AND(AP17&gt;0,AP28=""),"ERROR RM MUST BE NON-ZERO","")</f>
        <v/>
      </c>
      <c r="AQ24" s="80"/>
      <c r="AR24" s="162" t="str">
        <f>IF(AND(AR17&gt;0,AR28=""),"ERROR RM MUST BE NON-ZERO","")</f>
        <v/>
      </c>
      <c r="AS24" s="80"/>
      <c r="AT24" s="162" t="str">
        <f>IF(AND(AT17&gt;0,AT28=""),"ERROR RM MUST BE NON-ZERO","")</f>
        <v/>
      </c>
      <c r="AU24" s="80"/>
      <c r="AV24" s="162" t="str">
        <f>IF(AND(AV17&gt;0,AV28=""),"ERROR RM MUST BE NON-ZERO","")</f>
        <v/>
      </c>
      <c r="AW24" s="80"/>
      <c r="AX24" s="162" t="str">
        <f>IF(AND(AX17&gt;0,AX28=""),"ERROR RM MUST BE NON-ZERO","")</f>
        <v/>
      </c>
      <c r="AY24" s="80"/>
      <c r="AZ24" s="162" t="str">
        <f>IF(AND(AZ17&gt;0,AZ28=""),"ERROR RM MUST BE NON-ZERO","")</f>
        <v/>
      </c>
      <c r="BA24" s="80"/>
      <c r="BB24" s="162" t="str">
        <f>IF(AND(BB17&gt;0,BB28=""),"ERROR RM MUST BE NON-ZERO","")</f>
        <v/>
      </c>
      <c r="BC24" s="80"/>
      <c r="BD24" s="162" t="str">
        <f>IF(AND(BD17&gt;0,BD28=""),"ERROR RM MUST BE NON-ZERO","")</f>
        <v/>
      </c>
      <c r="BE24" s="80"/>
      <c r="BF24" s="162" t="str">
        <f>IF(AND(BF17&gt;0,BF28=""),"ERROR RM MUST BE NON-ZERO","")</f>
        <v/>
      </c>
      <c r="BG24" s="80"/>
      <c r="BH24" s="162" t="str">
        <f>IF(AND(BH17&gt;0,BH28=""),"ERROR RM MUST BE NON-ZERO","")</f>
        <v/>
      </c>
      <c r="BI24" s="80"/>
      <c r="BJ24" s="80"/>
      <c r="BK24" s="81"/>
      <c r="BL24" s="53"/>
      <c r="BM24" s="431"/>
      <c r="BN24" s="53"/>
    </row>
    <row r="25" spans="1:66" ht="6" customHeight="1" thickBot="1" x14ac:dyDescent="0.3">
      <c r="A25" s="53"/>
      <c r="B25" s="106"/>
      <c r="C25" s="15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1"/>
      <c r="BL25" s="53"/>
      <c r="BM25" s="431"/>
      <c r="BN25" s="53"/>
    </row>
    <row r="26" spans="1:66" ht="16.5" thickBot="1" x14ac:dyDescent="0.3">
      <c r="A26" s="53"/>
      <c r="B26" s="163"/>
      <c r="C26" s="732"/>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5" t="s">
        <v>282</v>
      </c>
      <c r="BK26" s="166"/>
      <c r="BL26" s="53"/>
      <c r="BM26" s="167" t="s">
        <v>283</v>
      </c>
      <c r="BN26" s="53"/>
    </row>
    <row r="27" spans="1:66" ht="6" customHeight="1" x14ac:dyDescent="0.25">
      <c r="A27" s="53"/>
      <c r="B27" s="168"/>
      <c r="C27" s="152"/>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3"/>
      <c r="BK27" s="157"/>
      <c r="BL27" s="53"/>
      <c r="BM27" s="82"/>
      <c r="BN27" s="53"/>
    </row>
    <row r="28" spans="1:66" ht="15.75" x14ac:dyDescent="0.25">
      <c r="A28" s="53"/>
      <c r="B28" s="151" t="s">
        <v>284</v>
      </c>
      <c r="C28" s="152"/>
      <c r="D28" s="153">
        <v>1</v>
      </c>
      <c r="E28" s="154"/>
      <c r="F28" s="636">
        <v>0</v>
      </c>
      <c r="G28" s="161"/>
      <c r="H28" s="636">
        <v>0</v>
      </c>
      <c r="I28" s="161"/>
      <c r="J28" s="636">
        <v>0</v>
      </c>
      <c r="K28" s="161"/>
      <c r="L28" s="636">
        <v>0</v>
      </c>
      <c r="M28" s="161"/>
      <c r="N28" s="636">
        <v>0</v>
      </c>
      <c r="O28" s="161"/>
      <c r="P28" s="636">
        <v>0</v>
      </c>
      <c r="Q28" s="161"/>
      <c r="R28" s="636">
        <v>0</v>
      </c>
      <c r="S28" s="161"/>
      <c r="T28" s="636">
        <v>0</v>
      </c>
      <c r="U28" s="161"/>
      <c r="V28" s="636">
        <v>0</v>
      </c>
      <c r="W28" s="161"/>
      <c r="X28" s="636">
        <v>0</v>
      </c>
      <c r="Y28" s="161"/>
      <c r="Z28" s="636">
        <v>0</v>
      </c>
      <c r="AA28" s="161"/>
      <c r="AB28" s="636">
        <v>0</v>
      </c>
      <c r="AC28" s="161"/>
      <c r="AD28" s="636">
        <v>0</v>
      </c>
      <c r="AE28" s="161"/>
      <c r="AF28" s="636">
        <v>0</v>
      </c>
      <c r="AG28" s="161"/>
      <c r="AH28" s="636">
        <v>0</v>
      </c>
      <c r="AI28" s="161"/>
      <c r="AJ28" s="636">
        <v>0</v>
      </c>
      <c r="AK28" s="161"/>
      <c r="AL28" s="636">
        <v>0</v>
      </c>
      <c r="AM28" s="161"/>
      <c r="AN28" s="636">
        <v>0</v>
      </c>
      <c r="AO28" s="161"/>
      <c r="AP28" s="636">
        <v>0</v>
      </c>
      <c r="AQ28" s="161"/>
      <c r="AR28" s="636">
        <v>0</v>
      </c>
      <c r="AS28" s="161"/>
      <c r="AT28" s="636">
        <v>0</v>
      </c>
      <c r="AU28" s="161"/>
      <c r="AV28" s="636">
        <v>0</v>
      </c>
      <c r="AW28" s="161"/>
      <c r="AX28" s="636">
        <v>0</v>
      </c>
      <c r="AY28" s="161"/>
      <c r="AZ28" s="636">
        <v>0</v>
      </c>
      <c r="BA28" s="161"/>
      <c r="BB28" s="636">
        <v>0</v>
      </c>
      <c r="BC28" s="161"/>
      <c r="BD28" s="636">
        <v>0</v>
      </c>
      <c r="BE28" s="161"/>
      <c r="BF28" s="636">
        <v>0</v>
      </c>
      <c r="BG28" s="161"/>
      <c r="BH28" s="636">
        <v>0</v>
      </c>
      <c r="BI28" s="156"/>
      <c r="BJ28" s="636">
        <v>0</v>
      </c>
      <c r="BK28" s="157"/>
      <c r="BL28" s="53"/>
      <c r="BM28" s="169">
        <f>1/(1+BJ28)^D28</f>
        <v>1</v>
      </c>
      <c r="BN28" s="53"/>
    </row>
    <row r="29" spans="1:66" ht="15.75" x14ac:dyDescent="0.25">
      <c r="A29" s="53"/>
      <c r="B29" s="168"/>
      <c r="C29" s="152"/>
      <c r="D29" s="153">
        <v>2</v>
      </c>
      <c r="E29" s="154"/>
      <c r="F29" s="636">
        <v>0</v>
      </c>
      <c r="G29" s="161"/>
      <c r="H29" s="636">
        <v>0</v>
      </c>
      <c r="I29" s="161"/>
      <c r="J29" s="636">
        <v>0</v>
      </c>
      <c r="K29" s="161"/>
      <c r="L29" s="636">
        <v>0</v>
      </c>
      <c r="M29" s="161"/>
      <c r="N29" s="636">
        <v>0</v>
      </c>
      <c r="O29" s="161"/>
      <c r="P29" s="636">
        <v>0</v>
      </c>
      <c r="Q29" s="161"/>
      <c r="R29" s="636">
        <v>0</v>
      </c>
      <c r="S29" s="161"/>
      <c r="T29" s="636">
        <v>0</v>
      </c>
      <c r="U29" s="161"/>
      <c r="V29" s="636">
        <v>0</v>
      </c>
      <c r="W29" s="161"/>
      <c r="X29" s="636">
        <v>0</v>
      </c>
      <c r="Y29" s="161"/>
      <c r="Z29" s="636">
        <v>0</v>
      </c>
      <c r="AA29" s="161"/>
      <c r="AB29" s="636">
        <v>0</v>
      </c>
      <c r="AC29" s="161"/>
      <c r="AD29" s="636">
        <v>0</v>
      </c>
      <c r="AE29" s="161"/>
      <c r="AF29" s="636">
        <v>0</v>
      </c>
      <c r="AG29" s="161"/>
      <c r="AH29" s="636">
        <v>0</v>
      </c>
      <c r="AI29" s="161"/>
      <c r="AJ29" s="636">
        <v>0</v>
      </c>
      <c r="AK29" s="161"/>
      <c r="AL29" s="636">
        <v>0</v>
      </c>
      <c r="AM29" s="161"/>
      <c r="AN29" s="636">
        <v>0</v>
      </c>
      <c r="AO29" s="161"/>
      <c r="AP29" s="636">
        <v>0</v>
      </c>
      <c r="AQ29" s="161"/>
      <c r="AR29" s="636">
        <v>0</v>
      </c>
      <c r="AS29" s="161"/>
      <c r="AT29" s="636">
        <v>0</v>
      </c>
      <c r="AU29" s="161"/>
      <c r="AV29" s="636">
        <v>0</v>
      </c>
      <c r="AW29" s="161"/>
      <c r="AX29" s="636">
        <v>0</v>
      </c>
      <c r="AY29" s="161"/>
      <c r="AZ29" s="636">
        <v>0</v>
      </c>
      <c r="BA29" s="161"/>
      <c r="BB29" s="636">
        <v>0</v>
      </c>
      <c r="BC29" s="161"/>
      <c r="BD29" s="636">
        <v>0</v>
      </c>
      <c r="BE29" s="161"/>
      <c r="BF29" s="636">
        <v>0</v>
      </c>
      <c r="BG29" s="161"/>
      <c r="BH29" s="636">
        <v>0</v>
      </c>
      <c r="BI29" s="156"/>
      <c r="BJ29" s="636">
        <v>0</v>
      </c>
      <c r="BK29" s="157"/>
      <c r="BL29" s="53"/>
      <c r="BM29" s="169">
        <f t="shared" ref="BM29:BM57" si="0">1/(1+BJ29)^D29</f>
        <v>1</v>
      </c>
      <c r="BN29" s="53"/>
    </row>
    <row r="30" spans="1:66" ht="15.75" x14ac:dyDescent="0.25">
      <c r="A30" s="53"/>
      <c r="B30" s="168"/>
      <c r="C30" s="152"/>
      <c r="D30" s="153">
        <v>3</v>
      </c>
      <c r="E30" s="154"/>
      <c r="F30" s="636">
        <v>0</v>
      </c>
      <c r="G30" s="161"/>
      <c r="H30" s="636">
        <v>0</v>
      </c>
      <c r="I30" s="161"/>
      <c r="J30" s="636">
        <v>0</v>
      </c>
      <c r="K30" s="161"/>
      <c r="L30" s="636">
        <v>0</v>
      </c>
      <c r="M30" s="161"/>
      <c r="N30" s="636">
        <v>0</v>
      </c>
      <c r="O30" s="161"/>
      <c r="P30" s="636">
        <v>0</v>
      </c>
      <c r="Q30" s="161"/>
      <c r="R30" s="636">
        <v>0</v>
      </c>
      <c r="S30" s="161"/>
      <c r="T30" s="636">
        <v>0</v>
      </c>
      <c r="U30" s="161"/>
      <c r="V30" s="636">
        <v>0</v>
      </c>
      <c r="W30" s="161"/>
      <c r="X30" s="636">
        <v>0</v>
      </c>
      <c r="Y30" s="161"/>
      <c r="Z30" s="636">
        <v>0</v>
      </c>
      <c r="AA30" s="161"/>
      <c r="AB30" s="636">
        <v>0</v>
      </c>
      <c r="AC30" s="161"/>
      <c r="AD30" s="636">
        <v>0</v>
      </c>
      <c r="AE30" s="161"/>
      <c r="AF30" s="636">
        <v>0</v>
      </c>
      <c r="AG30" s="161"/>
      <c r="AH30" s="636">
        <v>0</v>
      </c>
      <c r="AI30" s="161"/>
      <c r="AJ30" s="636">
        <v>0</v>
      </c>
      <c r="AK30" s="161"/>
      <c r="AL30" s="636">
        <v>0</v>
      </c>
      <c r="AM30" s="161"/>
      <c r="AN30" s="636">
        <v>0</v>
      </c>
      <c r="AO30" s="161"/>
      <c r="AP30" s="636">
        <v>0</v>
      </c>
      <c r="AQ30" s="161"/>
      <c r="AR30" s="636">
        <v>0</v>
      </c>
      <c r="AS30" s="161"/>
      <c r="AT30" s="636">
        <v>0</v>
      </c>
      <c r="AU30" s="161"/>
      <c r="AV30" s="636">
        <v>0</v>
      </c>
      <c r="AW30" s="161"/>
      <c r="AX30" s="636">
        <v>0</v>
      </c>
      <c r="AY30" s="161"/>
      <c r="AZ30" s="636">
        <v>0</v>
      </c>
      <c r="BA30" s="161"/>
      <c r="BB30" s="636">
        <v>0</v>
      </c>
      <c r="BC30" s="161"/>
      <c r="BD30" s="636">
        <v>0</v>
      </c>
      <c r="BE30" s="161"/>
      <c r="BF30" s="636">
        <v>0</v>
      </c>
      <c r="BG30" s="161"/>
      <c r="BH30" s="636">
        <v>0</v>
      </c>
      <c r="BI30" s="156"/>
      <c r="BJ30" s="636">
        <v>0</v>
      </c>
      <c r="BK30" s="157"/>
      <c r="BL30" s="53"/>
      <c r="BM30" s="169">
        <f t="shared" si="0"/>
        <v>1</v>
      </c>
      <c r="BN30" s="53"/>
    </row>
    <row r="31" spans="1:66" ht="15.75" x14ac:dyDescent="0.25">
      <c r="A31" s="53"/>
      <c r="B31" s="168"/>
      <c r="C31" s="152"/>
      <c r="D31" s="153">
        <v>4</v>
      </c>
      <c r="E31" s="154"/>
      <c r="F31" s="636">
        <v>0</v>
      </c>
      <c r="G31" s="161"/>
      <c r="H31" s="636">
        <v>0</v>
      </c>
      <c r="I31" s="161"/>
      <c r="J31" s="636">
        <v>0</v>
      </c>
      <c r="K31" s="161"/>
      <c r="L31" s="636">
        <v>0</v>
      </c>
      <c r="M31" s="161"/>
      <c r="N31" s="636">
        <v>0</v>
      </c>
      <c r="O31" s="161"/>
      <c r="P31" s="636">
        <v>0</v>
      </c>
      <c r="Q31" s="161"/>
      <c r="R31" s="636">
        <v>0</v>
      </c>
      <c r="S31" s="161"/>
      <c r="T31" s="636">
        <v>0</v>
      </c>
      <c r="U31" s="161"/>
      <c r="V31" s="636">
        <v>0</v>
      </c>
      <c r="W31" s="161"/>
      <c r="X31" s="636">
        <v>0</v>
      </c>
      <c r="Y31" s="161"/>
      <c r="Z31" s="636">
        <v>0</v>
      </c>
      <c r="AA31" s="161"/>
      <c r="AB31" s="636">
        <v>0</v>
      </c>
      <c r="AC31" s="161"/>
      <c r="AD31" s="636">
        <v>0</v>
      </c>
      <c r="AE31" s="161"/>
      <c r="AF31" s="636">
        <v>0</v>
      </c>
      <c r="AG31" s="161"/>
      <c r="AH31" s="636">
        <v>0</v>
      </c>
      <c r="AI31" s="161"/>
      <c r="AJ31" s="636">
        <v>0</v>
      </c>
      <c r="AK31" s="161"/>
      <c r="AL31" s="636">
        <v>0</v>
      </c>
      <c r="AM31" s="161"/>
      <c r="AN31" s="636">
        <v>0</v>
      </c>
      <c r="AO31" s="161"/>
      <c r="AP31" s="636">
        <v>0</v>
      </c>
      <c r="AQ31" s="161"/>
      <c r="AR31" s="636">
        <v>0</v>
      </c>
      <c r="AS31" s="161"/>
      <c r="AT31" s="636">
        <v>0</v>
      </c>
      <c r="AU31" s="161"/>
      <c r="AV31" s="636">
        <v>0</v>
      </c>
      <c r="AW31" s="161"/>
      <c r="AX31" s="636">
        <v>0</v>
      </c>
      <c r="AY31" s="161"/>
      <c r="AZ31" s="636">
        <v>0</v>
      </c>
      <c r="BA31" s="161"/>
      <c r="BB31" s="636">
        <v>0</v>
      </c>
      <c r="BC31" s="161"/>
      <c r="BD31" s="636">
        <v>0</v>
      </c>
      <c r="BE31" s="161"/>
      <c r="BF31" s="636">
        <v>0</v>
      </c>
      <c r="BG31" s="161"/>
      <c r="BH31" s="636">
        <v>0</v>
      </c>
      <c r="BI31" s="156"/>
      <c r="BJ31" s="636">
        <v>0</v>
      </c>
      <c r="BK31" s="157"/>
      <c r="BL31" s="53"/>
      <c r="BM31" s="169">
        <f t="shared" si="0"/>
        <v>1</v>
      </c>
      <c r="BN31" s="53"/>
    </row>
    <row r="32" spans="1:66" ht="15.75" x14ac:dyDescent="0.25">
      <c r="A32" s="53"/>
      <c r="B32" s="168"/>
      <c r="C32" s="152"/>
      <c r="D32" s="153">
        <v>5</v>
      </c>
      <c r="E32" s="154"/>
      <c r="F32" s="636">
        <v>0</v>
      </c>
      <c r="G32" s="161"/>
      <c r="H32" s="636">
        <v>0</v>
      </c>
      <c r="I32" s="161"/>
      <c r="J32" s="636">
        <v>0</v>
      </c>
      <c r="K32" s="161"/>
      <c r="L32" s="636">
        <v>0</v>
      </c>
      <c r="M32" s="161"/>
      <c r="N32" s="636">
        <v>0</v>
      </c>
      <c r="O32" s="161"/>
      <c r="P32" s="636">
        <v>0</v>
      </c>
      <c r="Q32" s="161"/>
      <c r="R32" s="636">
        <v>0</v>
      </c>
      <c r="S32" s="161"/>
      <c r="T32" s="636">
        <v>0</v>
      </c>
      <c r="U32" s="161"/>
      <c r="V32" s="636">
        <v>0</v>
      </c>
      <c r="W32" s="161"/>
      <c r="X32" s="636">
        <v>0</v>
      </c>
      <c r="Y32" s="161"/>
      <c r="Z32" s="636">
        <v>0</v>
      </c>
      <c r="AA32" s="161"/>
      <c r="AB32" s="636">
        <v>0</v>
      </c>
      <c r="AC32" s="161"/>
      <c r="AD32" s="636">
        <v>0</v>
      </c>
      <c r="AE32" s="161"/>
      <c r="AF32" s="636">
        <v>0</v>
      </c>
      <c r="AG32" s="161"/>
      <c r="AH32" s="636">
        <v>0</v>
      </c>
      <c r="AI32" s="161"/>
      <c r="AJ32" s="636">
        <v>0</v>
      </c>
      <c r="AK32" s="161"/>
      <c r="AL32" s="636">
        <v>0</v>
      </c>
      <c r="AM32" s="161"/>
      <c r="AN32" s="636">
        <v>0</v>
      </c>
      <c r="AO32" s="161"/>
      <c r="AP32" s="636">
        <v>0</v>
      </c>
      <c r="AQ32" s="161"/>
      <c r="AR32" s="636">
        <v>0</v>
      </c>
      <c r="AS32" s="161"/>
      <c r="AT32" s="636">
        <v>0</v>
      </c>
      <c r="AU32" s="161"/>
      <c r="AV32" s="636">
        <v>0</v>
      </c>
      <c r="AW32" s="161"/>
      <c r="AX32" s="636">
        <v>0</v>
      </c>
      <c r="AY32" s="161"/>
      <c r="AZ32" s="636">
        <v>0</v>
      </c>
      <c r="BA32" s="161"/>
      <c r="BB32" s="636">
        <v>0</v>
      </c>
      <c r="BC32" s="161"/>
      <c r="BD32" s="636">
        <v>0</v>
      </c>
      <c r="BE32" s="161"/>
      <c r="BF32" s="636">
        <v>0</v>
      </c>
      <c r="BG32" s="161"/>
      <c r="BH32" s="636">
        <v>0</v>
      </c>
      <c r="BI32" s="156"/>
      <c r="BJ32" s="636">
        <v>0</v>
      </c>
      <c r="BK32" s="157"/>
      <c r="BL32" s="53"/>
      <c r="BM32" s="169">
        <f t="shared" si="0"/>
        <v>1</v>
      </c>
      <c r="BN32" s="53"/>
    </row>
    <row r="33" spans="1:66" ht="15.75" x14ac:dyDescent="0.25">
      <c r="A33" s="53"/>
      <c r="B33" s="168"/>
      <c r="C33" s="152"/>
      <c r="D33" s="153">
        <v>6</v>
      </c>
      <c r="E33" s="154"/>
      <c r="F33" s="636">
        <v>0</v>
      </c>
      <c r="G33" s="161"/>
      <c r="H33" s="636">
        <v>0</v>
      </c>
      <c r="I33" s="161"/>
      <c r="J33" s="636">
        <v>0</v>
      </c>
      <c r="K33" s="161"/>
      <c r="L33" s="636">
        <v>0</v>
      </c>
      <c r="M33" s="161"/>
      <c r="N33" s="636">
        <v>0</v>
      </c>
      <c r="O33" s="161"/>
      <c r="P33" s="636">
        <v>0</v>
      </c>
      <c r="Q33" s="161"/>
      <c r="R33" s="636">
        <v>0</v>
      </c>
      <c r="S33" s="161"/>
      <c r="T33" s="636">
        <v>0</v>
      </c>
      <c r="U33" s="161"/>
      <c r="V33" s="636">
        <v>0</v>
      </c>
      <c r="W33" s="161"/>
      <c r="X33" s="636">
        <v>0</v>
      </c>
      <c r="Y33" s="161"/>
      <c r="Z33" s="636">
        <v>0</v>
      </c>
      <c r="AA33" s="161"/>
      <c r="AB33" s="636">
        <v>0</v>
      </c>
      <c r="AC33" s="161"/>
      <c r="AD33" s="636">
        <v>0</v>
      </c>
      <c r="AE33" s="161"/>
      <c r="AF33" s="636">
        <v>0</v>
      </c>
      <c r="AG33" s="161"/>
      <c r="AH33" s="636">
        <v>0</v>
      </c>
      <c r="AI33" s="161"/>
      <c r="AJ33" s="636">
        <v>0</v>
      </c>
      <c r="AK33" s="161"/>
      <c r="AL33" s="636">
        <v>0</v>
      </c>
      <c r="AM33" s="161"/>
      <c r="AN33" s="636">
        <v>0</v>
      </c>
      <c r="AO33" s="161"/>
      <c r="AP33" s="636">
        <v>0</v>
      </c>
      <c r="AQ33" s="161"/>
      <c r="AR33" s="636">
        <v>0</v>
      </c>
      <c r="AS33" s="161"/>
      <c r="AT33" s="636">
        <v>0</v>
      </c>
      <c r="AU33" s="161"/>
      <c r="AV33" s="636">
        <v>0</v>
      </c>
      <c r="AW33" s="161"/>
      <c r="AX33" s="636">
        <v>0</v>
      </c>
      <c r="AY33" s="161"/>
      <c r="AZ33" s="636">
        <v>0</v>
      </c>
      <c r="BA33" s="161"/>
      <c r="BB33" s="636">
        <v>0</v>
      </c>
      <c r="BC33" s="161"/>
      <c r="BD33" s="636">
        <v>0</v>
      </c>
      <c r="BE33" s="161"/>
      <c r="BF33" s="636">
        <v>0</v>
      </c>
      <c r="BG33" s="161"/>
      <c r="BH33" s="636">
        <v>0</v>
      </c>
      <c r="BI33" s="156"/>
      <c r="BJ33" s="636">
        <v>0</v>
      </c>
      <c r="BK33" s="157"/>
      <c r="BL33" s="53"/>
      <c r="BM33" s="169">
        <f t="shared" si="0"/>
        <v>1</v>
      </c>
      <c r="BN33" s="53"/>
    </row>
    <row r="34" spans="1:66" ht="15.75" x14ac:dyDescent="0.25">
      <c r="A34" s="53"/>
      <c r="B34" s="168"/>
      <c r="C34" s="152"/>
      <c r="D34" s="153">
        <v>7</v>
      </c>
      <c r="E34" s="154"/>
      <c r="F34" s="636">
        <v>0</v>
      </c>
      <c r="G34" s="161"/>
      <c r="H34" s="636">
        <v>0</v>
      </c>
      <c r="I34" s="161"/>
      <c r="J34" s="636">
        <v>0</v>
      </c>
      <c r="K34" s="161"/>
      <c r="L34" s="636">
        <v>0</v>
      </c>
      <c r="M34" s="161"/>
      <c r="N34" s="636">
        <v>0</v>
      </c>
      <c r="O34" s="161"/>
      <c r="P34" s="636">
        <v>0</v>
      </c>
      <c r="Q34" s="161"/>
      <c r="R34" s="636">
        <v>0</v>
      </c>
      <c r="S34" s="161"/>
      <c r="T34" s="636">
        <v>0</v>
      </c>
      <c r="U34" s="161"/>
      <c r="V34" s="636">
        <v>0</v>
      </c>
      <c r="W34" s="161"/>
      <c r="X34" s="636">
        <v>0</v>
      </c>
      <c r="Y34" s="161"/>
      <c r="Z34" s="636">
        <v>0</v>
      </c>
      <c r="AA34" s="161"/>
      <c r="AB34" s="636">
        <v>0</v>
      </c>
      <c r="AC34" s="161"/>
      <c r="AD34" s="636">
        <v>0</v>
      </c>
      <c r="AE34" s="161"/>
      <c r="AF34" s="636">
        <v>0</v>
      </c>
      <c r="AG34" s="161"/>
      <c r="AH34" s="636">
        <v>0</v>
      </c>
      <c r="AI34" s="161"/>
      <c r="AJ34" s="636">
        <v>0</v>
      </c>
      <c r="AK34" s="161"/>
      <c r="AL34" s="636">
        <v>0</v>
      </c>
      <c r="AM34" s="161"/>
      <c r="AN34" s="636">
        <v>0</v>
      </c>
      <c r="AO34" s="161"/>
      <c r="AP34" s="636">
        <v>0</v>
      </c>
      <c r="AQ34" s="161"/>
      <c r="AR34" s="636">
        <v>0</v>
      </c>
      <c r="AS34" s="161"/>
      <c r="AT34" s="636">
        <v>0</v>
      </c>
      <c r="AU34" s="161"/>
      <c r="AV34" s="636">
        <v>0</v>
      </c>
      <c r="AW34" s="161"/>
      <c r="AX34" s="636">
        <v>0</v>
      </c>
      <c r="AY34" s="161"/>
      <c r="AZ34" s="636">
        <v>0</v>
      </c>
      <c r="BA34" s="161"/>
      <c r="BB34" s="636">
        <v>0</v>
      </c>
      <c r="BC34" s="161"/>
      <c r="BD34" s="636">
        <v>0</v>
      </c>
      <c r="BE34" s="161"/>
      <c r="BF34" s="636">
        <v>0</v>
      </c>
      <c r="BG34" s="161"/>
      <c r="BH34" s="636">
        <v>0</v>
      </c>
      <c r="BI34" s="156"/>
      <c r="BJ34" s="636">
        <v>0</v>
      </c>
      <c r="BK34" s="157"/>
      <c r="BL34" s="53"/>
      <c r="BM34" s="169">
        <f t="shared" si="0"/>
        <v>1</v>
      </c>
      <c r="BN34" s="53"/>
    </row>
    <row r="35" spans="1:66" ht="15.75" x14ac:dyDescent="0.25">
      <c r="A35" s="53"/>
      <c r="B35" s="168"/>
      <c r="C35" s="152"/>
      <c r="D35" s="153">
        <v>8</v>
      </c>
      <c r="E35" s="154"/>
      <c r="F35" s="636">
        <v>0</v>
      </c>
      <c r="G35" s="161"/>
      <c r="H35" s="636">
        <v>0</v>
      </c>
      <c r="I35" s="161"/>
      <c r="J35" s="636">
        <v>0</v>
      </c>
      <c r="K35" s="161"/>
      <c r="L35" s="636">
        <v>0</v>
      </c>
      <c r="M35" s="161"/>
      <c r="N35" s="636">
        <v>0</v>
      </c>
      <c r="O35" s="161"/>
      <c r="P35" s="636">
        <v>0</v>
      </c>
      <c r="Q35" s="161"/>
      <c r="R35" s="636">
        <v>0</v>
      </c>
      <c r="S35" s="161"/>
      <c r="T35" s="636">
        <v>0</v>
      </c>
      <c r="U35" s="161"/>
      <c r="V35" s="636">
        <v>0</v>
      </c>
      <c r="W35" s="161"/>
      <c r="X35" s="636">
        <v>0</v>
      </c>
      <c r="Y35" s="161"/>
      <c r="Z35" s="636">
        <v>0</v>
      </c>
      <c r="AA35" s="161"/>
      <c r="AB35" s="636">
        <v>0</v>
      </c>
      <c r="AC35" s="161"/>
      <c r="AD35" s="636">
        <v>0</v>
      </c>
      <c r="AE35" s="161"/>
      <c r="AF35" s="636">
        <v>0</v>
      </c>
      <c r="AG35" s="161"/>
      <c r="AH35" s="636">
        <v>0</v>
      </c>
      <c r="AI35" s="161"/>
      <c r="AJ35" s="636">
        <v>0</v>
      </c>
      <c r="AK35" s="161"/>
      <c r="AL35" s="636">
        <v>0</v>
      </c>
      <c r="AM35" s="161"/>
      <c r="AN35" s="636">
        <v>0</v>
      </c>
      <c r="AO35" s="161"/>
      <c r="AP35" s="636">
        <v>0</v>
      </c>
      <c r="AQ35" s="161"/>
      <c r="AR35" s="636">
        <v>0</v>
      </c>
      <c r="AS35" s="161"/>
      <c r="AT35" s="636">
        <v>0</v>
      </c>
      <c r="AU35" s="161"/>
      <c r="AV35" s="636">
        <v>0</v>
      </c>
      <c r="AW35" s="161"/>
      <c r="AX35" s="636">
        <v>0</v>
      </c>
      <c r="AY35" s="161"/>
      <c r="AZ35" s="636">
        <v>0</v>
      </c>
      <c r="BA35" s="161"/>
      <c r="BB35" s="636">
        <v>0</v>
      </c>
      <c r="BC35" s="161"/>
      <c r="BD35" s="636">
        <v>0</v>
      </c>
      <c r="BE35" s="161"/>
      <c r="BF35" s="636">
        <v>0</v>
      </c>
      <c r="BG35" s="161"/>
      <c r="BH35" s="636">
        <v>0</v>
      </c>
      <c r="BI35" s="156"/>
      <c r="BJ35" s="636">
        <v>0</v>
      </c>
      <c r="BK35" s="157"/>
      <c r="BL35" s="53"/>
      <c r="BM35" s="169">
        <f t="shared" si="0"/>
        <v>1</v>
      </c>
      <c r="BN35" s="53"/>
    </row>
    <row r="36" spans="1:66" ht="15.75" x14ac:dyDescent="0.25">
      <c r="A36" s="53"/>
      <c r="B36" s="168"/>
      <c r="C36" s="152"/>
      <c r="D36" s="153">
        <v>9</v>
      </c>
      <c r="E36" s="154"/>
      <c r="F36" s="636">
        <v>0</v>
      </c>
      <c r="G36" s="161"/>
      <c r="H36" s="636">
        <v>0</v>
      </c>
      <c r="I36" s="161"/>
      <c r="J36" s="636">
        <v>0</v>
      </c>
      <c r="K36" s="161"/>
      <c r="L36" s="636">
        <v>0</v>
      </c>
      <c r="M36" s="161"/>
      <c r="N36" s="636">
        <v>0</v>
      </c>
      <c r="O36" s="161"/>
      <c r="P36" s="636">
        <v>0</v>
      </c>
      <c r="Q36" s="161"/>
      <c r="R36" s="636">
        <v>0</v>
      </c>
      <c r="S36" s="161"/>
      <c r="T36" s="636">
        <v>0</v>
      </c>
      <c r="U36" s="161"/>
      <c r="V36" s="636">
        <v>0</v>
      </c>
      <c r="W36" s="161"/>
      <c r="X36" s="636">
        <v>0</v>
      </c>
      <c r="Y36" s="161"/>
      <c r="Z36" s="636">
        <v>0</v>
      </c>
      <c r="AA36" s="161"/>
      <c r="AB36" s="636">
        <v>0</v>
      </c>
      <c r="AC36" s="161"/>
      <c r="AD36" s="636">
        <v>0</v>
      </c>
      <c r="AE36" s="161"/>
      <c r="AF36" s="636">
        <v>0</v>
      </c>
      <c r="AG36" s="161"/>
      <c r="AH36" s="636">
        <v>0</v>
      </c>
      <c r="AI36" s="161"/>
      <c r="AJ36" s="636">
        <v>0</v>
      </c>
      <c r="AK36" s="161"/>
      <c r="AL36" s="636">
        <v>0</v>
      </c>
      <c r="AM36" s="161"/>
      <c r="AN36" s="636">
        <v>0</v>
      </c>
      <c r="AO36" s="161"/>
      <c r="AP36" s="636">
        <v>0</v>
      </c>
      <c r="AQ36" s="161"/>
      <c r="AR36" s="636">
        <v>0</v>
      </c>
      <c r="AS36" s="161"/>
      <c r="AT36" s="636">
        <v>0</v>
      </c>
      <c r="AU36" s="161"/>
      <c r="AV36" s="636">
        <v>0</v>
      </c>
      <c r="AW36" s="161"/>
      <c r="AX36" s="636">
        <v>0</v>
      </c>
      <c r="AY36" s="161"/>
      <c r="AZ36" s="636">
        <v>0</v>
      </c>
      <c r="BA36" s="161"/>
      <c r="BB36" s="636">
        <v>0</v>
      </c>
      <c r="BC36" s="161"/>
      <c r="BD36" s="636">
        <v>0</v>
      </c>
      <c r="BE36" s="161"/>
      <c r="BF36" s="636">
        <v>0</v>
      </c>
      <c r="BG36" s="161"/>
      <c r="BH36" s="636">
        <v>0</v>
      </c>
      <c r="BI36" s="156"/>
      <c r="BJ36" s="636">
        <v>0</v>
      </c>
      <c r="BK36" s="157"/>
      <c r="BL36" s="53"/>
      <c r="BM36" s="169">
        <f t="shared" si="0"/>
        <v>1</v>
      </c>
      <c r="BN36" s="53"/>
    </row>
    <row r="37" spans="1:66" ht="15.75" x14ac:dyDescent="0.25">
      <c r="A37" s="53"/>
      <c r="B37" s="168"/>
      <c r="C37" s="152"/>
      <c r="D37" s="153">
        <v>10</v>
      </c>
      <c r="E37" s="154"/>
      <c r="F37" s="636">
        <v>0</v>
      </c>
      <c r="G37" s="161"/>
      <c r="H37" s="636">
        <v>0</v>
      </c>
      <c r="I37" s="161"/>
      <c r="J37" s="636">
        <v>0</v>
      </c>
      <c r="K37" s="161"/>
      <c r="L37" s="636">
        <v>0</v>
      </c>
      <c r="M37" s="161"/>
      <c r="N37" s="636">
        <v>0</v>
      </c>
      <c r="O37" s="161"/>
      <c r="P37" s="636">
        <v>0</v>
      </c>
      <c r="Q37" s="161"/>
      <c r="R37" s="636">
        <v>0</v>
      </c>
      <c r="S37" s="161"/>
      <c r="T37" s="636">
        <v>0</v>
      </c>
      <c r="U37" s="161"/>
      <c r="V37" s="636">
        <v>0</v>
      </c>
      <c r="W37" s="161"/>
      <c r="X37" s="636">
        <v>0</v>
      </c>
      <c r="Y37" s="161"/>
      <c r="Z37" s="636">
        <v>0</v>
      </c>
      <c r="AA37" s="161"/>
      <c r="AB37" s="636">
        <v>0</v>
      </c>
      <c r="AC37" s="161"/>
      <c r="AD37" s="636">
        <v>0</v>
      </c>
      <c r="AE37" s="161"/>
      <c r="AF37" s="636">
        <v>0</v>
      </c>
      <c r="AG37" s="161"/>
      <c r="AH37" s="636">
        <v>0</v>
      </c>
      <c r="AI37" s="161"/>
      <c r="AJ37" s="636">
        <v>0</v>
      </c>
      <c r="AK37" s="161"/>
      <c r="AL37" s="636">
        <v>0</v>
      </c>
      <c r="AM37" s="161"/>
      <c r="AN37" s="636">
        <v>0</v>
      </c>
      <c r="AO37" s="161"/>
      <c r="AP37" s="636">
        <v>0</v>
      </c>
      <c r="AQ37" s="161"/>
      <c r="AR37" s="636">
        <v>0</v>
      </c>
      <c r="AS37" s="161"/>
      <c r="AT37" s="636">
        <v>0</v>
      </c>
      <c r="AU37" s="161"/>
      <c r="AV37" s="636">
        <v>0</v>
      </c>
      <c r="AW37" s="161"/>
      <c r="AX37" s="636">
        <v>0</v>
      </c>
      <c r="AY37" s="161"/>
      <c r="AZ37" s="636">
        <v>0</v>
      </c>
      <c r="BA37" s="161"/>
      <c r="BB37" s="636">
        <v>0</v>
      </c>
      <c r="BC37" s="161"/>
      <c r="BD37" s="636">
        <v>0</v>
      </c>
      <c r="BE37" s="161"/>
      <c r="BF37" s="636">
        <v>0</v>
      </c>
      <c r="BG37" s="161"/>
      <c r="BH37" s="636">
        <v>0</v>
      </c>
      <c r="BI37" s="156"/>
      <c r="BJ37" s="636">
        <v>0</v>
      </c>
      <c r="BK37" s="157"/>
      <c r="BL37" s="53"/>
      <c r="BM37" s="169">
        <f t="shared" si="0"/>
        <v>1</v>
      </c>
      <c r="BN37" s="53"/>
    </row>
    <row r="38" spans="1:66" ht="15.75" x14ac:dyDescent="0.25">
      <c r="A38" s="53"/>
      <c r="B38" s="168"/>
      <c r="C38" s="152"/>
      <c r="D38" s="153">
        <v>11</v>
      </c>
      <c r="E38" s="154"/>
      <c r="F38" s="636">
        <v>0</v>
      </c>
      <c r="G38" s="161"/>
      <c r="H38" s="636">
        <v>0</v>
      </c>
      <c r="I38" s="161"/>
      <c r="J38" s="636">
        <v>0</v>
      </c>
      <c r="K38" s="161"/>
      <c r="L38" s="636">
        <v>0</v>
      </c>
      <c r="M38" s="161"/>
      <c r="N38" s="636">
        <v>0</v>
      </c>
      <c r="O38" s="161"/>
      <c r="P38" s="636">
        <v>0</v>
      </c>
      <c r="Q38" s="161"/>
      <c r="R38" s="636">
        <v>0</v>
      </c>
      <c r="S38" s="161"/>
      <c r="T38" s="636">
        <v>0</v>
      </c>
      <c r="U38" s="161"/>
      <c r="V38" s="636">
        <v>0</v>
      </c>
      <c r="W38" s="161"/>
      <c r="X38" s="636">
        <v>0</v>
      </c>
      <c r="Y38" s="161"/>
      <c r="Z38" s="636">
        <v>0</v>
      </c>
      <c r="AA38" s="161"/>
      <c r="AB38" s="636">
        <v>0</v>
      </c>
      <c r="AC38" s="161"/>
      <c r="AD38" s="636">
        <v>0</v>
      </c>
      <c r="AE38" s="161"/>
      <c r="AF38" s="636">
        <v>0</v>
      </c>
      <c r="AG38" s="161"/>
      <c r="AH38" s="636">
        <v>0</v>
      </c>
      <c r="AI38" s="161"/>
      <c r="AJ38" s="636">
        <v>0</v>
      </c>
      <c r="AK38" s="161"/>
      <c r="AL38" s="636">
        <v>0</v>
      </c>
      <c r="AM38" s="161"/>
      <c r="AN38" s="636">
        <v>0</v>
      </c>
      <c r="AO38" s="161"/>
      <c r="AP38" s="636">
        <v>0</v>
      </c>
      <c r="AQ38" s="161"/>
      <c r="AR38" s="636">
        <v>0</v>
      </c>
      <c r="AS38" s="161"/>
      <c r="AT38" s="636">
        <v>0</v>
      </c>
      <c r="AU38" s="161"/>
      <c r="AV38" s="636">
        <v>0</v>
      </c>
      <c r="AW38" s="161"/>
      <c r="AX38" s="636">
        <v>0</v>
      </c>
      <c r="AY38" s="161"/>
      <c r="AZ38" s="636">
        <v>0</v>
      </c>
      <c r="BA38" s="161"/>
      <c r="BB38" s="636">
        <v>0</v>
      </c>
      <c r="BC38" s="161"/>
      <c r="BD38" s="636">
        <v>0</v>
      </c>
      <c r="BE38" s="161"/>
      <c r="BF38" s="636">
        <v>0</v>
      </c>
      <c r="BG38" s="161"/>
      <c r="BH38" s="636">
        <v>0</v>
      </c>
      <c r="BI38" s="156"/>
      <c r="BJ38" s="636">
        <v>0</v>
      </c>
      <c r="BK38" s="157"/>
      <c r="BL38" s="53"/>
      <c r="BM38" s="169">
        <f t="shared" si="0"/>
        <v>1</v>
      </c>
      <c r="BN38" s="53"/>
    </row>
    <row r="39" spans="1:66" ht="15.75" x14ac:dyDescent="0.25">
      <c r="A39" s="53"/>
      <c r="B39" s="168"/>
      <c r="C39" s="152"/>
      <c r="D39" s="153">
        <v>12</v>
      </c>
      <c r="E39" s="154"/>
      <c r="F39" s="636">
        <v>0</v>
      </c>
      <c r="G39" s="161"/>
      <c r="H39" s="636">
        <v>0</v>
      </c>
      <c r="I39" s="161"/>
      <c r="J39" s="636">
        <v>0</v>
      </c>
      <c r="K39" s="161"/>
      <c r="L39" s="636">
        <v>0</v>
      </c>
      <c r="M39" s="161"/>
      <c r="N39" s="636">
        <v>0</v>
      </c>
      <c r="O39" s="161"/>
      <c r="P39" s="636">
        <v>0</v>
      </c>
      <c r="Q39" s="161"/>
      <c r="R39" s="636">
        <v>0</v>
      </c>
      <c r="S39" s="161"/>
      <c r="T39" s="636">
        <v>0</v>
      </c>
      <c r="U39" s="161"/>
      <c r="V39" s="636">
        <v>0</v>
      </c>
      <c r="W39" s="161"/>
      <c r="X39" s="636">
        <v>0</v>
      </c>
      <c r="Y39" s="161"/>
      <c r="Z39" s="636">
        <v>0</v>
      </c>
      <c r="AA39" s="161"/>
      <c r="AB39" s="636">
        <v>0</v>
      </c>
      <c r="AC39" s="161"/>
      <c r="AD39" s="636">
        <v>0</v>
      </c>
      <c r="AE39" s="161"/>
      <c r="AF39" s="636">
        <v>0</v>
      </c>
      <c r="AG39" s="161"/>
      <c r="AH39" s="636">
        <v>0</v>
      </c>
      <c r="AI39" s="161"/>
      <c r="AJ39" s="636">
        <v>0</v>
      </c>
      <c r="AK39" s="161"/>
      <c r="AL39" s="636">
        <v>0</v>
      </c>
      <c r="AM39" s="161"/>
      <c r="AN39" s="636">
        <v>0</v>
      </c>
      <c r="AO39" s="161"/>
      <c r="AP39" s="636">
        <v>0</v>
      </c>
      <c r="AQ39" s="161"/>
      <c r="AR39" s="636">
        <v>0</v>
      </c>
      <c r="AS39" s="161"/>
      <c r="AT39" s="636">
        <v>0</v>
      </c>
      <c r="AU39" s="161"/>
      <c r="AV39" s="636">
        <v>0</v>
      </c>
      <c r="AW39" s="161"/>
      <c r="AX39" s="636">
        <v>0</v>
      </c>
      <c r="AY39" s="161"/>
      <c r="AZ39" s="636">
        <v>0</v>
      </c>
      <c r="BA39" s="161"/>
      <c r="BB39" s="636">
        <v>0</v>
      </c>
      <c r="BC39" s="161"/>
      <c r="BD39" s="636">
        <v>0</v>
      </c>
      <c r="BE39" s="161"/>
      <c r="BF39" s="636">
        <v>0</v>
      </c>
      <c r="BG39" s="161"/>
      <c r="BH39" s="636">
        <v>0</v>
      </c>
      <c r="BI39" s="156"/>
      <c r="BJ39" s="636">
        <v>0</v>
      </c>
      <c r="BK39" s="157"/>
      <c r="BL39" s="53"/>
      <c r="BM39" s="169">
        <f t="shared" si="0"/>
        <v>1</v>
      </c>
      <c r="BN39" s="53"/>
    </row>
    <row r="40" spans="1:66" ht="15.75" x14ac:dyDescent="0.25">
      <c r="A40" s="53"/>
      <c r="B40" s="168"/>
      <c r="C40" s="152"/>
      <c r="D40" s="153">
        <v>13</v>
      </c>
      <c r="E40" s="154"/>
      <c r="F40" s="636">
        <v>0</v>
      </c>
      <c r="G40" s="161"/>
      <c r="H40" s="636">
        <v>0</v>
      </c>
      <c r="I40" s="161"/>
      <c r="J40" s="636">
        <v>0</v>
      </c>
      <c r="K40" s="161"/>
      <c r="L40" s="636">
        <v>0</v>
      </c>
      <c r="M40" s="161"/>
      <c r="N40" s="636">
        <v>0</v>
      </c>
      <c r="O40" s="161"/>
      <c r="P40" s="636">
        <v>0</v>
      </c>
      <c r="Q40" s="161"/>
      <c r="R40" s="636">
        <v>0</v>
      </c>
      <c r="S40" s="161"/>
      <c r="T40" s="636">
        <v>0</v>
      </c>
      <c r="U40" s="161"/>
      <c r="V40" s="636">
        <v>0</v>
      </c>
      <c r="W40" s="161"/>
      <c r="X40" s="636">
        <v>0</v>
      </c>
      <c r="Y40" s="161"/>
      <c r="Z40" s="636">
        <v>0</v>
      </c>
      <c r="AA40" s="161"/>
      <c r="AB40" s="636">
        <v>0</v>
      </c>
      <c r="AC40" s="161"/>
      <c r="AD40" s="636">
        <v>0</v>
      </c>
      <c r="AE40" s="161"/>
      <c r="AF40" s="636">
        <v>0</v>
      </c>
      <c r="AG40" s="161"/>
      <c r="AH40" s="636">
        <v>0</v>
      </c>
      <c r="AI40" s="161"/>
      <c r="AJ40" s="636">
        <v>0</v>
      </c>
      <c r="AK40" s="161"/>
      <c r="AL40" s="636">
        <v>0</v>
      </c>
      <c r="AM40" s="161"/>
      <c r="AN40" s="636">
        <v>0</v>
      </c>
      <c r="AO40" s="161"/>
      <c r="AP40" s="636">
        <v>0</v>
      </c>
      <c r="AQ40" s="161"/>
      <c r="AR40" s="636">
        <v>0</v>
      </c>
      <c r="AS40" s="161"/>
      <c r="AT40" s="636">
        <v>0</v>
      </c>
      <c r="AU40" s="161"/>
      <c r="AV40" s="636">
        <v>0</v>
      </c>
      <c r="AW40" s="161"/>
      <c r="AX40" s="636">
        <v>0</v>
      </c>
      <c r="AY40" s="161"/>
      <c r="AZ40" s="636">
        <v>0</v>
      </c>
      <c r="BA40" s="161"/>
      <c r="BB40" s="636">
        <v>0</v>
      </c>
      <c r="BC40" s="161"/>
      <c r="BD40" s="636">
        <v>0</v>
      </c>
      <c r="BE40" s="161"/>
      <c r="BF40" s="636">
        <v>0</v>
      </c>
      <c r="BG40" s="161"/>
      <c r="BH40" s="636">
        <v>0</v>
      </c>
      <c r="BI40" s="156"/>
      <c r="BJ40" s="636">
        <v>0</v>
      </c>
      <c r="BK40" s="157"/>
      <c r="BL40" s="53"/>
      <c r="BM40" s="169">
        <f t="shared" si="0"/>
        <v>1</v>
      </c>
      <c r="BN40" s="53"/>
    </row>
    <row r="41" spans="1:66" ht="15.75" x14ac:dyDescent="0.25">
      <c r="A41" s="53"/>
      <c r="B41" s="168"/>
      <c r="C41" s="152"/>
      <c r="D41" s="153">
        <v>14</v>
      </c>
      <c r="E41" s="154"/>
      <c r="F41" s="636">
        <v>0</v>
      </c>
      <c r="G41" s="161"/>
      <c r="H41" s="636">
        <v>0</v>
      </c>
      <c r="I41" s="161"/>
      <c r="J41" s="636">
        <v>0</v>
      </c>
      <c r="K41" s="161"/>
      <c r="L41" s="636">
        <v>0</v>
      </c>
      <c r="M41" s="161"/>
      <c r="N41" s="636">
        <v>0</v>
      </c>
      <c r="O41" s="161"/>
      <c r="P41" s="636">
        <v>0</v>
      </c>
      <c r="Q41" s="161"/>
      <c r="R41" s="636">
        <v>0</v>
      </c>
      <c r="S41" s="161"/>
      <c r="T41" s="636">
        <v>0</v>
      </c>
      <c r="U41" s="161"/>
      <c r="V41" s="636">
        <v>0</v>
      </c>
      <c r="W41" s="161"/>
      <c r="X41" s="636">
        <v>0</v>
      </c>
      <c r="Y41" s="161"/>
      <c r="Z41" s="636">
        <v>0</v>
      </c>
      <c r="AA41" s="161"/>
      <c r="AB41" s="636">
        <v>0</v>
      </c>
      <c r="AC41" s="161"/>
      <c r="AD41" s="636">
        <v>0</v>
      </c>
      <c r="AE41" s="161"/>
      <c r="AF41" s="636">
        <v>0</v>
      </c>
      <c r="AG41" s="161"/>
      <c r="AH41" s="636">
        <v>0</v>
      </c>
      <c r="AI41" s="161"/>
      <c r="AJ41" s="636">
        <v>0</v>
      </c>
      <c r="AK41" s="161"/>
      <c r="AL41" s="636">
        <v>0</v>
      </c>
      <c r="AM41" s="161"/>
      <c r="AN41" s="636">
        <v>0</v>
      </c>
      <c r="AO41" s="161"/>
      <c r="AP41" s="636">
        <v>0</v>
      </c>
      <c r="AQ41" s="161"/>
      <c r="AR41" s="636">
        <v>0</v>
      </c>
      <c r="AS41" s="161"/>
      <c r="AT41" s="636">
        <v>0</v>
      </c>
      <c r="AU41" s="161"/>
      <c r="AV41" s="636">
        <v>0</v>
      </c>
      <c r="AW41" s="161"/>
      <c r="AX41" s="636">
        <v>0</v>
      </c>
      <c r="AY41" s="161"/>
      <c r="AZ41" s="636">
        <v>0</v>
      </c>
      <c r="BA41" s="161"/>
      <c r="BB41" s="636">
        <v>0</v>
      </c>
      <c r="BC41" s="161"/>
      <c r="BD41" s="636">
        <v>0</v>
      </c>
      <c r="BE41" s="161"/>
      <c r="BF41" s="636">
        <v>0</v>
      </c>
      <c r="BG41" s="161"/>
      <c r="BH41" s="636">
        <v>0</v>
      </c>
      <c r="BI41" s="156"/>
      <c r="BJ41" s="636">
        <v>0</v>
      </c>
      <c r="BK41" s="157"/>
      <c r="BL41" s="53"/>
      <c r="BM41" s="169">
        <f t="shared" si="0"/>
        <v>1</v>
      </c>
      <c r="BN41" s="53"/>
    </row>
    <row r="42" spans="1:66" ht="15.75" x14ac:dyDescent="0.25">
      <c r="A42" s="53"/>
      <c r="B42" s="168"/>
      <c r="C42" s="152"/>
      <c r="D42" s="153">
        <v>15</v>
      </c>
      <c r="E42" s="154"/>
      <c r="F42" s="636">
        <v>0</v>
      </c>
      <c r="G42" s="161"/>
      <c r="H42" s="636">
        <v>0</v>
      </c>
      <c r="I42" s="161"/>
      <c r="J42" s="636">
        <v>0</v>
      </c>
      <c r="K42" s="161"/>
      <c r="L42" s="636">
        <v>0</v>
      </c>
      <c r="M42" s="161"/>
      <c r="N42" s="636">
        <v>0</v>
      </c>
      <c r="O42" s="161"/>
      <c r="P42" s="636">
        <v>0</v>
      </c>
      <c r="Q42" s="161"/>
      <c r="R42" s="636">
        <v>0</v>
      </c>
      <c r="S42" s="161"/>
      <c r="T42" s="636">
        <v>0</v>
      </c>
      <c r="U42" s="161"/>
      <c r="V42" s="636">
        <v>0</v>
      </c>
      <c r="W42" s="161"/>
      <c r="X42" s="636">
        <v>0</v>
      </c>
      <c r="Y42" s="161"/>
      <c r="Z42" s="636">
        <v>0</v>
      </c>
      <c r="AA42" s="161"/>
      <c r="AB42" s="636">
        <v>0</v>
      </c>
      <c r="AC42" s="161"/>
      <c r="AD42" s="636">
        <v>0</v>
      </c>
      <c r="AE42" s="161"/>
      <c r="AF42" s="636">
        <v>0</v>
      </c>
      <c r="AG42" s="161"/>
      <c r="AH42" s="636">
        <v>0</v>
      </c>
      <c r="AI42" s="161"/>
      <c r="AJ42" s="636">
        <v>0</v>
      </c>
      <c r="AK42" s="161"/>
      <c r="AL42" s="636">
        <v>0</v>
      </c>
      <c r="AM42" s="161"/>
      <c r="AN42" s="636">
        <v>0</v>
      </c>
      <c r="AO42" s="161"/>
      <c r="AP42" s="636">
        <v>0</v>
      </c>
      <c r="AQ42" s="161"/>
      <c r="AR42" s="636">
        <v>0</v>
      </c>
      <c r="AS42" s="161"/>
      <c r="AT42" s="636">
        <v>0</v>
      </c>
      <c r="AU42" s="161"/>
      <c r="AV42" s="636">
        <v>0</v>
      </c>
      <c r="AW42" s="161"/>
      <c r="AX42" s="636">
        <v>0</v>
      </c>
      <c r="AY42" s="161"/>
      <c r="AZ42" s="636">
        <v>0</v>
      </c>
      <c r="BA42" s="161"/>
      <c r="BB42" s="636">
        <v>0</v>
      </c>
      <c r="BC42" s="161"/>
      <c r="BD42" s="636">
        <v>0</v>
      </c>
      <c r="BE42" s="161"/>
      <c r="BF42" s="636">
        <v>0</v>
      </c>
      <c r="BG42" s="161"/>
      <c r="BH42" s="636">
        <v>0</v>
      </c>
      <c r="BI42" s="156"/>
      <c r="BJ42" s="636">
        <v>0</v>
      </c>
      <c r="BK42" s="157"/>
      <c r="BL42" s="53"/>
      <c r="BM42" s="169">
        <f t="shared" si="0"/>
        <v>1</v>
      </c>
      <c r="BN42" s="53"/>
    </row>
    <row r="43" spans="1:66" ht="15.75" x14ac:dyDescent="0.25">
      <c r="A43" s="53"/>
      <c r="B43" s="168"/>
      <c r="C43" s="152"/>
      <c r="D43" s="153">
        <v>16</v>
      </c>
      <c r="E43" s="154"/>
      <c r="F43" s="636">
        <v>0</v>
      </c>
      <c r="G43" s="161"/>
      <c r="H43" s="636">
        <v>0</v>
      </c>
      <c r="I43" s="161"/>
      <c r="J43" s="636">
        <v>0</v>
      </c>
      <c r="K43" s="161"/>
      <c r="L43" s="636">
        <v>0</v>
      </c>
      <c r="M43" s="161"/>
      <c r="N43" s="636">
        <v>0</v>
      </c>
      <c r="O43" s="161"/>
      <c r="P43" s="636">
        <v>0</v>
      </c>
      <c r="Q43" s="161"/>
      <c r="R43" s="636">
        <v>0</v>
      </c>
      <c r="S43" s="161"/>
      <c r="T43" s="636">
        <v>0</v>
      </c>
      <c r="U43" s="161"/>
      <c r="V43" s="636">
        <v>0</v>
      </c>
      <c r="W43" s="161"/>
      <c r="X43" s="636">
        <v>0</v>
      </c>
      <c r="Y43" s="161"/>
      <c r="Z43" s="636">
        <v>0</v>
      </c>
      <c r="AA43" s="161"/>
      <c r="AB43" s="636">
        <v>0</v>
      </c>
      <c r="AC43" s="161"/>
      <c r="AD43" s="636">
        <v>0</v>
      </c>
      <c r="AE43" s="161"/>
      <c r="AF43" s="636">
        <v>0</v>
      </c>
      <c r="AG43" s="161"/>
      <c r="AH43" s="636">
        <v>0</v>
      </c>
      <c r="AI43" s="161"/>
      <c r="AJ43" s="636">
        <v>0</v>
      </c>
      <c r="AK43" s="161"/>
      <c r="AL43" s="636">
        <v>0</v>
      </c>
      <c r="AM43" s="161"/>
      <c r="AN43" s="636">
        <v>0</v>
      </c>
      <c r="AO43" s="161"/>
      <c r="AP43" s="636">
        <v>0</v>
      </c>
      <c r="AQ43" s="161"/>
      <c r="AR43" s="636">
        <v>0</v>
      </c>
      <c r="AS43" s="161"/>
      <c r="AT43" s="636">
        <v>0</v>
      </c>
      <c r="AU43" s="161"/>
      <c r="AV43" s="636">
        <v>0</v>
      </c>
      <c r="AW43" s="161"/>
      <c r="AX43" s="636">
        <v>0</v>
      </c>
      <c r="AY43" s="161"/>
      <c r="AZ43" s="636">
        <v>0</v>
      </c>
      <c r="BA43" s="161"/>
      <c r="BB43" s="636">
        <v>0</v>
      </c>
      <c r="BC43" s="161"/>
      <c r="BD43" s="636">
        <v>0</v>
      </c>
      <c r="BE43" s="161"/>
      <c r="BF43" s="636">
        <v>0</v>
      </c>
      <c r="BG43" s="161"/>
      <c r="BH43" s="636">
        <v>0</v>
      </c>
      <c r="BI43" s="156"/>
      <c r="BJ43" s="636">
        <v>0</v>
      </c>
      <c r="BK43" s="157"/>
      <c r="BL43" s="53"/>
      <c r="BM43" s="169">
        <f t="shared" si="0"/>
        <v>1</v>
      </c>
      <c r="BN43" s="53"/>
    </row>
    <row r="44" spans="1:66" ht="15.75" x14ac:dyDescent="0.25">
      <c r="A44" s="53"/>
      <c r="B44" s="168"/>
      <c r="C44" s="152"/>
      <c r="D44" s="153">
        <v>17</v>
      </c>
      <c r="E44" s="154"/>
      <c r="F44" s="636">
        <v>0</v>
      </c>
      <c r="G44" s="161"/>
      <c r="H44" s="636">
        <v>0</v>
      </c>
      <c r="I44" s="161"/>
      <c r="J44" s="636">
        <v>0</v>
      </c>
      <c r="K44" s="161"/>
      <c r="L44" s="636">
        <v>0</v>
      </c>
      <c r="M44" s="161"/>
      <c r="N44" s="636">
        <v>0</v>
      </c>
      <c r="O44" s="161"/>
      <c r="P44" s="636">
        <v>0</v>
      </c>
      <c r="Q44" s="161"/>
      <c r="R44" s="636">
        <v>0</v>
      </c>
      <c r="S44" s="161"/>
      <c r="T44" s="636">
        <v>0</v>
      </c>
      <c r="U44" s="161"/>
      <c r="V44" s="636">
        <v>0</v>
      </c>
      <c r="W44" s="161"/>
      <c r="X44" s="636">
        <v>0</v>
      </c>
      <c r="Y44" s="161"/>
      <c r="Z44" s="636">
        <v>0</v>
      </c>
      <c r="AA44" s="161"/>
      <c r="AB44" s="636">
        <v>0</v>
      </c>
      <c r="AC44" s="161"/>
      <c r="AD44" s="636">
        <v>0</v>
      </c>
      <c r="AE44" s="161"/>
      <c r="AF44" s="636">
        <v>0</v>
      </c>
      <c r="AG44" s="161"/>
      <c r="AH44" s="636">
        <v>0</v>
      </c>
      <c r="AI44" s="161"/>
      <c r="AJ44" s="636">
        <v>0</v>
      </c>
      <c r="AK44" s="161"/>
      <c r="AL44" s="636">
        <v>0</v>
      </c>
      <c r="AM44" s="161"/>
      <c r="AN44" s="636">
        <v>0</v>
      </c>
      <c r="AO44" s="161"/>
      <c r="AP44" s="636">
        <v>0</v>
      </c>
      <c r="AQ44" s="161"/>
      <c r="AR44" s="636">
        <v>0</v>
      </c>
      <c r="AS44" s="161"/>
      <c r="AT44" s="636">
        <v>0</v>
      </c>
      <c r="AU44" s="161"/>
      <c r="AV44" s="636">
        <v>0</v>
      </c>
      <c r="AW44" s="161"/>
      <c r="AX44" s="636">
        <v>0</v>
      </c>
      <c r="AY44" s="161"/>
      <c r="AZ44" s="636">
        <v>0</v>
      </c>
      <c r="BA44" s="161"/>
      <c r="BB44" s="636">
        <v>0</v>
      </c>
      <c r="BC44" s="161"/>
      <c r="BD44" s="636">
        <v>0</v>
      </c>
      <c r="BE44" s="161"/>
      <c r="BF44" s="636">
        <v>0</v>
      </c>
      <c r="BG44" s="161"/>
      <c r="BH44" s="636">
        <v>0</v>
      </c>
      <c r="BI44" s="156"/>
      <c r="BJ44" s="636">
        <v>0</v>
      </c>
      <c r="BK44" s="157"/>
      <c r="BL44" s="53"/>
      <c r="BM44" s="169">
        <f t="shared" si="0"/>
        <v>1</v>
      </c>
      <c r="BN44" s="53"/>
    </row>
    <row r="45" spans="1:66" ht="15.75" x14ac:dyDescent="0.25">
      <c r="A45" s="53"/>
      <c r="B45" s="168"/>
      <c r="C45" s="152"/>
      <c r="D45" s="153">
        <v>18</v>
      </c>
      <c r="E45" s="154"/>
      <c r="F45" s="636">
        <v>0</v>
      </c>
      <c r="G45" s="161"/>
      <c r="H45" s="636">
        <v>0</v>
      </c>
      <c r="I45" s="161"/>
      <c r="J45" s="636">
        <v>0</v>
      </c>
      <c r="K45" s="161"/>
      <c r="L45" s="636">
        <v>0</v>
      </c>
      <c r="M45" s="161"/>
      <c r="N45" s="636">
        <v>0</v>
      </c>
      <c r="O45" s="161"/>
      <c r="P45" s="636">
        <v>0</v>
      </c>
      <c r="Q45" s="161"/>
      <c r="R45" s="636">
        <v>0</v>
      </c>
      <c r="S45" s="161"/>
      <c r="T45" s="636">
        <v>0</v>
      </c>
      <c r="U45" s="161"/>
      <c r="V45" s="636">
        <v>0</v>
      </c>
      <c r="W45" s="161"/>
      <c r="X45" s="636">
        <v>0</v>
      </c>
      <c r="Y45" s="161"/>
      <c r="Z45" s="636">
        <v>0</v>
      </c>
      <c r="AA45" s="161"/>
      <c r="AB45" s="636">
        <v>0</v>
      </c>
      <c r="AC45" s="161"/>
      <c r="AD45" s="636">
        <v>0</v>
      </c>
      <c r="AE45" s="161"/>
      <c r="AF45" s="636">
        <v>0</v>
      </c>
      <c r="AG45" s="161"/>
      <c r="AH45" s="636">
        <v>0</v>
      </c>
      <c r="AI45" s="161"/>
      <c r="AJ45" s="636">
        <v>0</v>
      </c>
      <c r="AK45" s="161"/>
      <c r="AL45" s="636">
        <v>0</v>
      </c>
      <c r="AM45" s="161"/>
      <c r="AN45" s="636">
        <v>0</v>
      </c>
      <c r="AO45" s="161"/>
      <c r="AP45" s="636">
        <v>0</v>
      </c>
      <c r="AQ45" s="161"/>
      <c r="AR45" s="636">
        <v>0</v>
      </c>
      <c r="AS45" s="161"/>
      <c r="AT45" s="636">
        <v>0</v>
      </c>
      <c r="AU45" s="161"/>
      <c r="AV45" s="636">
        <v>0</v>
      </c>
      <c r="AW45" s="161"/>
      <c r="AX45" s="636">
        <v>0</v>
      </c>
      <c r="AY45" s="161"/>
      <c r="AZ45" s="636">
        <v>0</v>
      </c>
      <c r="BA45" s="161"/>
      <c r="BB45" s="636">
        <v>0</v>
      </c>
      <c r="BC45" s="161"/>
      <c r="BD45" s="636">
        <v>0</v>
      </c>
      <c r="BE45" s="161"/>
      <c r="BF45" s="636">
        <v>0</v>
      </c>
      <c r="BG45" s="161"/>
      <c r="BH45" s="636">
        <v>0</v>
      </c>
      <c r="BI45" s="156"/>
      <c r="BJ45" s="636">
        <v>0</v>
      </c>
      <c r="BK45" s="157"/>
      <c r="BL45" s="53"/>
      <c r="BM45" s="169">
        <f t="shared" si="0"/>
        <v>1</v>
      </c>
      <c r="BN45" s="53"/>
    </row>
    <row r="46" spans="1:66" ht="15.75" x14ac:dyDescent="0.25">
      <c r="A46" s="53"/>
      <c r="B46" s="168"/>
      <c r="C46" s="152"/>
      <c r="D46" s="153">
        <v>19</v>
      </c>
      <c r="E46" s="154"/>
      <c r="F46" s="636">
        <v>0</v>
      </c>
      <c r="G46" s="161"/>
      <c r="H46" s="636">
        <v>0</v>
      </c>
      <c r="I46" s="161"/>
      <c r="J46" s="636">
        <v>0</v>
      </c>
      <c r="K46" s="161"/>
      <c r="L46" s="636">
        <v>0</v>
      </c>
      <c r="M46" s="161"/>
      <c r="N46" s="636">
        <v>0</v>
      </c>
      <c r="O46" s="161"/>
      <c r="P46" s="636">
        <v>0</v>
      </c>
      <c r="Q46" s="161"/>
      <c r="R46" s="636">
        <v>0</v>
      </c>
      <c r="S46" s="161"/>
      <c r="T46" s="636">
        <v>0</v>
      </c>
      <c r="U46" s="161"/>
      <c r="V46" s="636">
        <v>0</v>
      </c>
      <c r="W46" s="161"/>
      <c r="X46" s="636">
        <v>0</v>
      </c>
      <c r="Y46" s="161"/>
      <c r="Z46" s="636">
        <v>0</v>
      </c>
      <c r="AA46" s="161"/>
      <c r="AB46" s="636">
        <v>0</v>
      </c>
      <c r="AC46" s="161"/>
      <c r="AD46" s="636">
        <v>0</v>
      </c>
      <c r="AE46" s="161"/>
      <c r="AF46" s="636">
        <v>0</v>
      </c>
      <c r="AG46" s="161"/>
      <c r="AH46" s="636">
        <v>0</v>
      </c>
      <c r="AI46" s="161"/>
      <c r="AJ46" s="636">
        <v>0</v>
      </c>
      <c r="AK46" s="161"/>
      <c r="AL46" s="636">
        <v>0</v>
      </c>
      <c r="AM46" s="161"/>
      <c r="AN46" s="636">
        <v>0</v>
      </c>
      <c r="AO46" s="161"/>
      <c r="AP46" s="636">
        <v>0</v>
      </c>
      <c r="AQ46" s="161"/>
      <c r="AR46" s="636">
        <v>0</v>
      </c>
      <c r="AS46" s="161"/>
      <c r="AT46" s="636">
        <v>0</v>
      </c>
      <c r="AU46" s="161"/>
      <c r="AV46" s="636">
        <v>0</v>
      </c>
      <c r="AW46" s="161"/>
      <c r="AX46" s="636">
        <v>0</v>
      </c>
      <c r="AY46" s="161"/>
      <c r="AZ46" s="636">
        <v>0</v>
      </c>
      <c r="BA46" s="161"/>
      <c r="BB46" s="636">
        <v>0</v>
      </c>
      <c r="BC46" s="161"/>
      <c r="BD46" s="636">
        <v>0</v>
      </c>
      <c r="BE46" s="161"/>
      <c r="BF46" s="636">
        <v>0</v>
      </c>
      <c r="BG46" s="161"/>
      <c r="BH46" s="636">
        <v>0</v>
      </c>
      <c r="BI46" s="156"/>
      <c r="BJ46" s="636">
        <v>0</v>
      </c>
      <c r="BK46" s="157"/>
      <c r="BL46" s="53"/>
      <c r="BM46" s="169">
        <f t="shared" si="0"/>
        <v>1</v>
      </c>
      <c r="BN46" s="53"/>
    </row>
    <row r="47" spans="1:66" ht="15.75" x14ac:dyDescent="0.25">
      <c r="A47" s="53"/>
      <c r="B47" s="168"/>
      <c r="C47" s="152"/>
      <c r="D47" s="153">
        <v>20</v>
      </c>
      <c r="E47" s="154"/>
      <c r="F47" s="636">
        <v>0</v>
      </c>
      <c r="G47" s="161"/>
      <c r="H47" s="636">
        <v>0</v>
      </c>
      <c r="I47" s="161"/>
      <c r="J47" s="636">
        <v>0</v>
      </c>
      <c r="K47" s="161"/>
      <c r="L47" s="636">
        <v>0</v>
      </c>
      <c r="M47" s="161"/>
      <c r="N47" s="636">
        <v>0</v>
      </c>
      <c r="O47" s="161"/>
      <c r="P47" s="636">
        <v>0</v>
      </c>
      <c r="Q47" s="161"/>
      <c r="R47" s="636">
        <v>0</v>
      </c>
      <c r="S47" s="161"/>
      <c r="T47" s="636">
        <v>0</v>
      </c>
      <c r="U47" s="161"/>
      <c r="V47" s="636">
        <v>0</v>
      </c>
      <c r="W47" s="161"/>
      <c r="X47" s="636">
        <v>0</v>
      </c>
      <c r="Y47" s="161"/>
      <c r="Z47" s="636">
        <v>0</v>
      </c>
      <c r="AA47" s="161"/>
      <c r="AB47" s="636">
        <v>0</v>
      </c>
      <c r="AC47" s="161"/>
      <c r="AD47" s="636">
        <v>0</v>
      </c>
      <c r="AE47" s="161"/>
      <c r="AF47" s="636">
        <v>0</v>
      </c>
      <c r="AG47" s="161"/>
      <c r="AH47" s="636">
        <v>0</v>
      </c>
      <c r="AI47" s="161"/>
      <c r="AJ47" s="636">
        <v>0</v>
      </c>
      <c r="AK47" s="161"/>
      <c r="AL47" s="636">
        <v>0</v>
      </c>
      <c r="AM47" s="161"/>
      <c r="AN47" s="636">
        <v>0</v>
      </c>
      <c r="AO47" s="161"/>
      <c r="AP47" s="636">
        <v>0</v>
      </c>
      <c r="AQ47" s="161"/>
      <c r="AR47" s="636">
        <v>0</v>
      </c>
      <c r="AS47" s="161"/>
      <c r="AT47" s="636">
        <v>0</v>
      </c>
      <c r="AU47" s="161"/>
      <c r="AV47" s="636">
        <v>0</v>
      </c>
      <c r="AW47" s="161"/>
      <c r="AX47" s="636">
        <v>0</v>
      </c>
      <c r="AY47" s="161"/>
      <c r="AZ47" s="636">
        <v>0</v>
      </c>
      <c r="BA47" s="161"/>
      <c r="BB47" s="636">
        <v>0</v>
      </c>
      <c r="BC47" s="161"/>
      <c r="BD47" s="636">
        <v>0</v>
      </c>
      <c r="BE47" s="161"/>
      <c r="BF47" s="636">
        <v>0</v>
      </c>
      <c r="BG47" s="161"/>
      <c r="BH47" s="636">
        <v>0</v>
      </c>
      <c r="BI47" s="156"/>
      <c r="BJ47" s="636">
        <v>0</v>
      </c>
      <c r="BK47" s="157"/>
      <c r="BL47" s="53"/>
      <c r="BM47" s="169">
        <f t="shared" si="0"/>
        <v>1</v>
      </c>
      <c r="BN47" s="53"/>
    </row>
    <row r="48" spans="1:66" ht="15.75" x14ac:dyDescent="0.25">
      <c r="A48" s="53"/>
      <c r="B48" s="168"/>
      <c r="C48" s="152"/>
      <c r="D48" s="153">
        <v>21</v>
      </c>
      <c r="E48" s="154"/>
      <c r="F48" s="636">
        <v>0</v>
      </c>
      <c r="G48" s="161"/>
      <c r="H48" s="636">
        <v>0</v>
      </c>
      <c r="I48" s="161"/>
      <c r="J48" s="636">
        <v>0</v>
      </c>
      <c r="K48" s="161"/>
      <c r="L48" s="636">
        <v>0</v>
      </c>
      <c r="M48" s="161"/>
      <c r="N48" s="636">
        <v>0</v>
      </c>
      <c r="O48" s="161"/>
      <c r="P48" s="636">
        <v>0</v>
      </c>
      <c r="Q48" s="161"/>
      <c r="R48" s="636">
        <v>0</v>
      </c>
      <c r="S48" s="161"/>
      <c r="T48" s="636">
        <v>0</v>
      </c>
      <c r="U48" s="161"/>
      <c r="V48" s="636">
        <v>0</v>
      </c>
      <c r="W48" s="161"/>
      <c r="X48" s="636">
        <v>0</v>
      </c>
      <c r="Y48" s="161"/>
      <c r="Z48" s="636">
        <v>0</v>
      </c>
      <c r="AA48" s="161"/>
      <c r="AB48" s="636">
        <v>0</v>
      </c>
      <c r="AC48" s="161"/>
      <c r="AD48" s="636">
        <v>0</v>
      </c>
      <c r="AE48" s="161"/>
      <c r="AF48" s="636">
        <v>0</v>
      </c>
      <c r="AG48" s="161"/>
      <c r="AH48" s="636">
        <v>0</v>
      </c>
      <c r="AI48" s="161"/>
      <c r="AJ48" s="636">
        <v>0</v>
      </c>
      <c r="AK48" s="161"/>
      <c r="AL48" s="636">
        <v>0</v>
      </c>
      <c r="AM48" s="161"/>
      <c r="AN48" s="636">
        <v>0</v>
      </c>
      <c r="AO48" s="161"/>
      <c r="AP48" s="636">
        <v>0</v>
      </c>
      <c r="AQ48" s="161"/>
      <c r="AR48" s="636">
        <v>0</v>
      </c>
      <c r="AS48" s="161"/>
      <c r="AT48" s="636">
        <v>0</v>
      </c>
      <c r="AU48" s="161"/>
      <c r="AV48" s="636">
        <v>0</v>
      </c>
      <c r="AW48" s="161"/>
      <c r="AX48" s="636">
        <v>0</v>
      </c>
      <c r="AY48" s="161"/>
      <c r="AZ48" s="636">
        <v>0</v>
      </c>
      <c r="BA48" s="161"/>
      <c r="BB48" s="636">
        <v>0</v>
      </c>
      <c r="BC48" s="161"/>
      <c r="BD48" s="636">
        <v>0</v>
      </c>
      <c r="BE48" s="161"/>
      <c r="BF48" s="636">
        <v>0</v>
      </c>
      <c r="BG48" s="161"/>
      <c r="BH48" s="636">
        <v>0</v>
      </c>
      <c r="BI48" s="156"/>
      <c r="BJ48" s="636">
        <v>0</v>
      </c>
      <c r="BK48" s="157"/>
      <c r="BL48" s="53"/>
      <c r="BM48" s="169">
        <f t="shared" si="0"/>
        <v>1</v>
      </c>
      <c r="BN48" s="53"/>
    </row>
    <row r="49" spans="1:66" ht="15.75" x14ac:dyDescent="0.25">
      <c r="A49" s="53"/>
      <c r="B49" s="168"/>
      <c r="C49" s="152"/>
      <c r="D49" s="153">
        <v>22</v>
      </c>
      <c r="E49" s="154"/>
      <c r="F49" s="636">
        <v>0</v>
      </c>
      <c r="G49" s="161"/>
      <c r="H49" s="636">
        <v>0</v>
      </c>
      <c r="I49" s="161"/>
      <c r="J49" s="636">
        <v>0</v>
      </c>
      <c r="K49" s="161"/>
      <c r="L49" s="636">
        <v>0</v>
      </c>
      <c r="M49" s="161"/>
      <c r="N49" s="636">
        <v>0</v>
      </c>
      <c r="O49" s="161"/>
      <c r="P49" s="636">
        <v>0</v>
      </c>
      <c r="Q49" s="161"/>
      <c r="R49" s="636">
        <v>0</v>
      </c>
      <c r="S49" s="161"/>
      <c r="T49" s="636">
        <v>0</v>
      </c>
      <c r="U49" s="161"/>
      <c r="V49" s="636">
        <v>0</v>
      </c>
      <c r="W49" s="161"/>
      <c r="X49" s="636">
        <v>0</v>
      </c>
      <c r="Y49" s="161"/>
      <c r="Z49" s="636">
        <v>0</v>
      </c>
      <c r="AA49" s="161"/>
      <c r="AB49" s="636">
        <v>0</v>
      </c>
      <c r="AC49" s="161"/>
      <c r="AD49" s="636">
        <v>0</v>
      </c>
      <c r="AE49" s="161"/>
      <c r="AF49" s="636">
        <v>0</v>
      </c>
      <c r="AG49" s="161"/>
      <c r="AH49" s="636">
        <v>0</v>
      </c>
      <c r="AI49" s="161"/>
      <c r="AJ49" s="636">
        <v>0</v>
      </c>
      <c r="AK49" s="161"/>
      <c r="AL49" s="636">
        <v>0</v>
      </c>
      <c r="AM49" s="161"/>
      <c r="AN49" s="636">
        <v>0</v>
      </c>
      <c r="AO49" s="161"/>
      <c r="AP49" s="636">
        <v>0</v>
      </c>
      <c r="AQ49" s="161"/>
      <c r="AR49" s="636">
        <v>0</v>
      </c>
      <c r="AS49" s="161"/>
      <c r="AT49" s="636">
        <v>0</v>
      </c>
      <c r="AU49" s="161"/>
      <c r="AV49" s="636">
        <v>0</v>
      </c>
      <c r="AW49" s="161"/>
      <c r="AX49" s="636">
        <v>0</v>
      </c>
      <c r="AY49" s="161"/>
      <c r="AZ49" s="636">
        <v>0</v>
      </c>
      <c r="BA49" s="161"/>
      <c r="BB49" s="636">
        <v>0</v>
      </c>
      <c r="BC49" s="161"/>
      <c r="BD49" s="636">
        <v>0</v>
      </c>
      <c r="BE49" s="161"/>
      <c r="BF49" s="636">
        <v>0</v>
      </c>
      <c r="BG49" s="161"/>
      <c r="BH49" s="636">
        <v>0</v>
      </c>
      <c r="BI49" s="156"/>
      <c r="BJ49" s="636">
        <v>0</v>
      </c>
      <c r="BK49" s="157"/>
      <c r="BL49" s="53"/>
      <c r="BM49" s="169">
        <f t="shared" si="0"/>
        <v>1</v>
      </c>
      <c r="BN49" s="53"/>
    </row>
    <row r="50" spans="1:66" ht="15.75" x14ac:dyDescent="0.25">
      <c r="A50" s="53"/>
      <c r="B50" s="168"/>
      <c r="C50" s="152"/>
      <c r="D50" s="153">
        <v>23</v>
      </c>
      <c r="E50" s="154"/>
      <c r="F50" s="636">
        <v>0</v>
      </c>
      <c r="G50" s="161"/>
      <c r="H50" s="636">
        <v>0</v>
      </c>
      <c r="I50" s="161"/>
      <c r="J50" s="636">
        <v>0</v>
      </c>
      <c r="K50" s="161"/>
      <c r="L50" s="636">
        <v>0</v>
      </c>
      <c r="M50" s="161"/>
      <c r="N50" s="636">
        <v>0</v>
      </c>
      <c r="O50" s="161"/>
      <c r="P50" s="636">
        <v>0</v>
      </c>
      <c r="Q50" s="161"/>
      <c r="R50" s="636">
        <v>0</v>
      </c>
      <c r="S50" s="161"/>
      <c r="T50" s="636">
        <v>0</v>
      </c>
      <c r="U50" s="161"/>
      <c r="V50" s="636">
        <v>0</v>
      </c>
      <c r="W50" s="161"/>
      <c r="X50" s="636">
        <v>0</v>
      </c>
      <c r="Y50" s="161"/>
      <c r="Z50" s="636">
        <v>0</v>
      </c>
      <c r="AA50" s="161"/>
      <c r="AB50" s="636">
        <v>0</v>
      </c>
      <c r="AC50" s="161"/>
      <c r="AD50" s="636">
        <v>0</v>
      </c>
      <c r="AE50" s="161"/>
      <c r="AF50" s="636">
        <v>0</v>
      </c>
      <c r="AG50" s="161"/>
      <c r="AH50" s="636">
        <v>0</v>
      </c>
      <c r="AI50" s="161"/>
      <c r="AJ50" s="636">
        <v>0</v>
      </c>
      <c r="AK50" s="161"/>
      <c r="AL50" s="636">
        <v>0</v>
      </c>
      <c r="AM50" s="161"/>
      <c r="AN50" s="636">
        <v>0</v>
      </c>
      <c r="AO50" s="161"/>
      <c r="AP50" s="636">
        <v>0</v>
      </c>
      <c r="AQ50" s="161"/>
      <c r="AR50" s="636">
        <v>0</v>
      </c>
      <c r="AS50" s="161"/>
      <c r="AT50" s="636">
        <v>0</v>
      </c>
      <c r="AU50" s="161"/>
      <c r="AV50" s="636">
        <v>0</v>
      </c>
      <c r="AW50" s="161"/>
      <c r="AX50" s="636">
        <v>0</v>
      </c>
      <c r="AY50" s="161"/>
      <c r="AZ50" s="636">
        <v>0</v>
      </c>
      <c r="BA50" s="161"/>
      <c r="BB50" s="636">
        <v>0</v>
      </c>
      <c r="BC50" s="161"/>
      <c r="BD50" s="636">
        <v>0</v>
      </c>
      <c r="BE50" s="161"/>
      <c r="BF50" s="636">
        <v>0</v>
      </c>
      <c r="BG50" s="161"/>
      <c r="BH50" s="636">
        <v>0</v>
      </c>
      <c r="BI50" s="156"/>
      <c r="BJ50" s="636">
        <v>0</v>
      </c>
      <c r="BK50" s="157"/>
      <c r="BL50" s="53"/>
      <c r="BM50" s="169">
        <f t="shared" si="0"/>
        <v>1</v>
      </c>
      <c r="BN50" s="53"/>
    </row>
    <row r="51" spans="1:66" ht="15.75" x14ac:dyDescent="0.25">
      <c r="A51" s="53"/>
      <c r="B51" s="168"/>
      <c r="C51" s="152"/>
      <c r="D51" s="153">
        <v>24</v>
      </c>
      <c r="E51" s="154"/>
      <c r="F51" s="636">
        <v>0</v>
      </c>
      <c r="G51" s="161"/>
      <c r="H51" s="636">
        <v>0</v>
      </c>
      <c r="I51" s="161"/>
      <c r="J51" s="636">
        <v>0</v>
      </c>
      <c r="K51" s="161"/>
      <c r="L51" s="636">
        <v>0</v>
      </c>
      <c r="M51" s="161"/>
      <c r="N51" s="636">
        <v>0</v>
      </c>
      <c r="O51" s="161"/>
      <c r="P51" s="636">
        <v>0</v>
      </c>
      <c r="Q51" s="161"/>
      <c r="R51" s="636">
        <v>0</v>
      </c>
      <c r="S51" s="161"/>
      <c r="T51" s="636">
        <v>0</v>
      </c>
      <c r="U51" s="161"/>
      <c r="V51" s="636">
        <v>0</v>
      </c>
      <c r="W51" s="161"/>
      <c r="X51" s="636">
        <v>0</v>
      </c>
      <c r="Y51" s="161"/>
      <c r="Z51" s="636">
        <v>0</v>
      </c>
      <c r="AA51" s="161"/>
      <c r="AB51" s="636">
        <v>0</v>
      </c>
      <c r="AC51" s="161"/>
      <c r="AD51" s="636">
        <v>0</v>
      </c>
      <c r="AE51" s="161"/>
      <c r="AF51" s="636">
        <v>0</v>
      </c>
      <c r="AG51" s="161"/>
      <c r="AH51" s="636">
        <v>0</v>
      </c>
      <c r="AI51" s="161"/>
      <c r="AJ51" s="636">
        <v>0</v>
      </c>
      <c r="AK51" s="161"/>
      <c r="AL51" s="636">
        <v>0</v>
      </c>
      <c r="AM51" s="161"/>
      <c r="AN51" s="636">
        <v>0</v>
      </c>
      <c r="AO51" s="161"/>
      <c r="AP51" s="636">
        <v>0</v>
      </c>
      <c r="AQ51" s="161"/>
      <c r="AR51" s="636">
        <v>0</v>
      </c>
      <c r="AS51" s="161"/>
      <c r="AT51" s="636">
        <v>0</v>
      </c>
      <c r="AU51" s="161"/>
      <c r="AV51" s="636">
        <v>0</v>
      </c>
      <c r="AW51" s="161"/>
      <c r="AX51" s="636">
        <v>0</v>
      </c>
      <c r="AY51" s="161"/>
      <c r="AZ51" s="636">
        <v>0</v>
      </c>
      <c r="BA51" s="161"/>
      <c r="BB51" s="636">
        <v>0</v>
      </c>
      <c r="BC51" s="161"/>
      <c r="BD51" s="636">
        <v>0</v>
      </c>
      <c r="BE51" s="161"/>
      <c r="BF51" s="636">
        <v>0</v>
      </c>
      <c r="BG51" s="161"/>
      <c r="BH51" s="636">
        <v>0</v>
      </c>
      <c r="BI51" s="156"/>
      <c r="BJ51" s="636">
        <v>0</v>
      </c>
      <c r="BK51" s="157"/>
      <c r="BL51" s="53"/>
      <c r="BM51" s="169">
        <f t="shared" si="0"/>
        <v>1</v>
      </c>
      <c r="BN51" s="53"/>
    </row>
    <row r="52" spans="1:66" ht="15.75" x14ac:dyDescent="0.25">
      <c r="A52" s="53"/>
      <c r="B52" s="168"/>
      <c r="C52" s="152"/>
      <c r="D52" s="153">
        <v>25</v>
      </c>
      <c r="E52" s="154"/>
      <c r="F52" s="636">
        <v>0</v>
      </c>
      <c r="G52" s="161"/>
      <c r="H52" s="636">
        <v>0</v>
      </c>
      <c r="I52" s="161"/>
      <c r="J52" s="636">
        <v>0</v>
      </c>
      <c r="K52" s="161"/>
      <c r="L52" s="636">
        <v>0</v>
      </c>
      <c r="M52" s="161"/>
      <c r="N52" s="636">
        <v>0</v>
      </c>
      <c r="O52" s="161"/>
      <c r="P52" s="636">
        <v>0</v>
      </c>
      <c r="Q52" s="161"/>
      <c r="R52" s="636">
        <v>0</v>
      </c>
      <c r="S52" s="161"/>
      <c r="T52" s="636">
        <v>0</v>
      </c>
      <c r="U52" s="161"/>
      <c r="V52" s="636">
        <v>0</v>
      </c>
      <c r="W52" s="161"/>
      <c r="X52" s="636">
        <v>0</v>
      </c>
      <c r="Y52" s="161"/>
      <c r="Z52" s="636">
        <v>0</v>
      </c>
      <c r="AA52" s="161"/>
      <c r="AB52" s="636">
        <v>0</v>
      </c>
      <c r="AC52" s="161"/>
      <c r="AD52" s="636">
        <v>0</v>
      </c>
      <c r="AE52" s="161"/>
      <c r="AF52" s="636">
        <v>0</v>
      </c>
      <c r="AG52" s="161"/>
      <c r="AH52" s="636">
        <v>0</v>
      </c>
      <c r="AI52" s="161"/>
      <c r="AJ52" s="636">
        <v>0</v>
      </c>
      <c r="AK52" s="161"/>
      <c r="AL52" s="636">
        <v>0</v>
      </c>
      <c r="AM52" s="161"/>
      <c r="AN52" s="636">
        <v>0</v>
      </c>
      <c r="AO52" s="161"/>
      <c r="AP52" s="636">
        <v>0</v>
      </c>
      <c r="AQ52" s="161"/>
      <c r="AR52" s="636">
        <v>0</v>
      </c>
      <c r="AS52" s="161"/>
      <c r="AT52" s="636">
        <v>0</v>
      </c>
      <c r="AU52" s="161"/>
      <c r="AV52" s="636">
        <v>0</v>
      </c>
      <c r="AW52" s="161"/>
      <c r="AX52" s="636">
        <v>0</v>
      </c>
      <c r="AY52" s="161"/>
      <c r="AZ52" s="636">
        <v>0</v>
      </c>
      <c r="BA52" s="161"/>
      <c r="BB52" s="636">
        <v>0</v>
      </c>
      <c r="BC52" s="161"/>
      <c r="BD52" s="636">
        <v>0</v>
      </c>
      <c r="BE52" s="161"/>
      <c r="BF52" s="636">
        <v>0</v>
      </c>
      <c r="BG52" s="161"/>
      <c r="BH52" s="636">
        <v>0</v>
      </c>
      <c r="BI52" s="156"/>
      <c r="BJ52" s="636">
        <v>0</v>
      </c>
      <c r="BK52" s="157"/>
      <c r="BL52" s="53"/>
      <c r="BM52" s="169">
        <f>1/(1+BJ52)^D52</f>
        <v>1</v>
      </c>
      <c r="BN52" s="53"/>
    </row>
    <row r="53" spans="1:66" ht="15.75" x14ac:dyDescent="0.25">
      <c r="A53" s="53"/>
      <c r="B53" s="168"/>
      <c r="C53" s="152"/>
      <c r="D53" s="153">
        <v>26</v>
      </c>
      <c r="E53" s="154"/>
      <c r="F53" s="636">
        <v>0</v>
      </c>
      <c r="G53" s="161"/>
      <c r="H53" s="636">
        <v>0</v>
      </c>
      <c r="I53" s="161"/>
      <c r="J53" s="636">
        <v>0</v>
      </c>
      <c r="K53" s="161"/>
      <c r="L53" s="636">
        <v>0</v>
      </c>
      <c r="M53" s="161"/>
      <c r="N53" s="636">
        <v>0</v>
      </c>
      <c r="O53" s="161"/>
      <c r="P53" s="636">
        <v>0</v>
      </c>
      <c r="Q53" s="161"/>
      <c r="R53" s="636">
        <v>0</v>
      </c>
      <c r="S53" s="161"/>
      <c r="T53" s="636">
        <v>0</v>
      </c>
      <c r="U53" s="161"/>
      <c r="V53" s="636">
        <v>0</v>
      </c>
      <c r="W53" s="161"/>
      <c r="X53" s="636">
        <v>0</v>
      </c>
      <c r="Y53" s="161"/>
      <c r="Z53" s="636">
        <v>0</v>
      </c>
      <c r="AA53" s="161"/>
      <c r="AB53" s="636">
        <v>0</v>
      </c>
      <c r="AC53" s="161"/>
      <c r="AD53" s="636">
        <v>0</v>
      </c>
      <c r="AE53" s="161"/>
      <c r="AF53" s="636">
        <v>0</v>
      </c>
      <c r="AG53" s="161"/>
      <c r="AH53" s="636">
        <v>0</v>
      </c>
      <c r="AI53" s="161"/>
      <c r="AJ53" s="636">
        <v>0</v>
      </c>
      <c r="AK53" s="161"/>
      <c r="AL53" s="636">
        <v>0</v>
      </c>
      <c r="AM53" s="161"/>
      <c r="AN53" s="636">
        <v>0</v>
      </c>
      <c r="AO53" s="161"/>
      <c r="AP53" s="636">
        <v>0</v>
      </c>
      <c r="AQ53" s="161"/>
      <c r="AR53" s="636">
        <v>0</v>
      </c>
      <c r="AS53" s="161"/>
      <c r="AT53" s="636">
        <v>0</v>
      </c>
      <c r="AU53" s="161"/>
      <c r="AV53" s="636">
        <v>0</v>
      </c>
      <c r="AW53" s="161"/>
      <c r="AX53" s="636">
        <v>0</v>
      </c>
      <c r="AY53" s="161"/>
      <c r="AZ53" s="636">
        <v>0</v>
      </c>
      <c r="BA53" s="161"/>
      <c r="BB53" s="636">
        <v>0</v>
      </c>
      <c r="BC53" s="161"/>
      <c r="BD53" s="636">
        <v>0</v>
      </c>
      <c r="BE53" s="161"/>
      <c r="BF53" s="636">
        <v>0</v>
      </c>
      <c r="BG53" s="161"/>
      <c r="BH53" s="636">
        <v>0</v>
      </c>
      <c r="BI53" s="156"/>
      <c r="BJ53" s="636">
        <v>0</v>
      </c>
      <c r="BK53" s="157"/>
      <c r="BL53" s="53"/>
      <c r="BM53" s="169">
        <f t="shared" si="0"/>
        <v>1</v>
      </c>
      <c r="BN53" s="53"/>
    </row>
    <row r="54" spans="1:66" ht="15.75" x14ac:dyDescent="0.25">
      <c r="A54" s="53"/>
      <c r="B54" s="168"/>
      <c r="C54" s="152"/>
      <c r="D54" s="153">
        <v>27</v>
      </c>
      <c r="E54" s="154"/>
      <c r="F54" s="636">
        <v>0</v>
      </c>
      <c r="G54" s="161"/>
      <c r="H54" s="636">
        <v>0</v>
      </c>
      <c r="I54" s="161"/>
      <c r="J54" s="636">
        <v>0</v>
      </c>
      <c r="K54" s="161"/>
      <c r="L54" s="636">
        <v>0</v>
      </c>
      <c r="M54" s="161"/>
      <c r="N54" s="636">
        <v>0</v>
      </c>
      <c r="O54" s="161"/>
      <c r="P54" s="636">
        <v>0</v>
      </c>
      <c r="Q54" s="161"/>
      <c r="R54" s="636">
        <v>0</v>
      </c>
      <c r="S54" s="161"/>
      <c r="T54" s="636">
        <v>0</v>
      </c>
      <c r="U54" s="161"/>
      <c r="V54" s="636">
        <v>0</v>
      </c>
      <c r="W54" s="161"/>
      <c r="X54" s="636">
        <v>0</v>
      </c>
      <c r="Y54" s="161"/>
      <c r="Z54" s="636">
        <v>0</v>
      </c>
      <c r="AA54" s="161"/>
      <c r="AB54" s="636">
        <v>0</v>
      </c>
      <c r="AC54" s="161"/>
      <c r="AD54" s="636">
        <v>0</v>
      </c>
      <c r="AE54" s="161"/>
      <c r="AF54" s="636">
        <v>0</v>
      </c>
      <c r="AG54" s="161"/>
      <c r="AH54" s="636">
        <v>0</v>
      </c>
      <c r="AI54" s="161"/>
      <c r="AJ54" s="636">
        <v>0</v>
      </c>
      <c r="AK54" s="161"/>
      <c r="AL54" s="636">
        <v>0</v>
      </c>
      <c r="AM54" s="161"/>
      <c r="AN54" s="636">
        <v>0</v>
      </c>
      <c r="AO54" s="161"/>
      <c r="AP54" s="636">
        <v>0</v>
      </c>
      <c r="AQ54" s="161"/>
      <c r="AR54" s="636">
        <v>0</v>
      </c>
      <c r="AS54" s="161"/>
      <c r="AT54" s="636">
        <v>0</v>
      </c>
      <c r="AU54" s="161"/>
      <c r="AV54" s="636">
        <v>0</v>
      </c>
      <c r="AW54" s="161"/>
      <c r="AX54" s="636">
        <v>0</v>
      </c>
      <c r="AY54" s="161"/>
      <c r="AZ54" s="636">
        <v>0</v>
      </c>
      <c r="BA54" s="161"/>
      <c r="BB54" s="636">
        <v>0</v>
      </c>
      <c r="BC54" s="161"/>
      <c r="BD54" s="636">
        <v>0</v>
      </c>
      <c r="BE54" s="161"/>
      <c r="BF54" s="636">
        <v>0</v>
      </c>
      <c r="BG54" s="161"/>
      <c r="BH54" s="636">
        <v>0</v>
      </c>
      <c r="BI54" s="156"/>
      <c r="BJ54" s="636">
        <v>0</v>
      </c>
      <c r="BK54" s="157"/>
      <c r="BL54" s="53"/>
      <c r="BM54" s="169">
        <f t="shared" si="0"/>
        <v>1</v>
      </c>
      <c r="BN54" s="53"/>
    </row>
    <row r="55" spans="1:66" ht="15.75" x14ac:dyDescent="0.25">
      <c r="A55" s="53"/>
      <c r="B55" s="168"/>
      <c r="C55" s="152"/>
      <c r="D55" s="153">
        <v>28</v>
      </c>
      <c r="E55" s="154"/>
      <c r="F55" s="636">
        <v>0</v>
      </c>
      <c r="G55" s="161"/>
      <c r="H55" s="636">
        <v>0</v>
      </c>
      <c r="I55" s="161"/>
      <c r="J55" s="636">
        <v>0</v>
      </c>
      <c r="K55" s="161"/>
      <c r="L55" s="636">
        <v>0</v>
      </c>
      <c r="M55" s="161"/>
      <c r="N55" s="636">
        <v>0</v>
      </c>
      <c r="O55" s="161"/>
      <c r="P55" s="636">
        <v>0</v>
      </c>
      <c r="Q55" s="161"/>
      <c r="R55" s="636">
        <v>0</v>
      </c>
      <c r="S55" s="161"/>
      <c r="T55" s="636">
        <v>0</v>
      </c>
      <c r="U55" s="161"/>
      <c r="V55" s="636">
        <v>0</v>
      </c>
      <c r="W55" s="161"/>
      <c r="X55" s="636">
        <v>0</v>
      </c>
      <c r="Y55" s="161"/>
      <c r="Z55" s="636">
        <v>0</v>
      </c>
      <c r="AA55" s="161"/>
      <c r="AB55" s="636">
        <v>0</v>
      </c>
      <c r="AC55" s="161"/>
      <c r="AD55" s="636">
        <v>0</v>
      </c>
      <c r="AE55" s="161"/>
      <c r="AF55" s="636">
        <v>0</v>
      </c>
      <c r="AG55" s="161"/>
      <c r="AH55" s="636">
        <v>0</v>
      </c>
      <c r="AI55" s="161"/>
      <c r="AJ55" s="636">
        <v>0</v>
      </c>
      <c r="AK55" s="161"/>
      <c r="AL55" s="636">
        <v>0</v>
      </c>
      <c r="AM55" s="161"/>
      <c r="AN55" s="636">
        <v>0</v>
      </c>
      <c r="AO55" s="161"/>
      <c r="AP55" s="636">
        <v>0</v>
      </c>
      <c r="AQ55" s="161"/>
      <c r="AR55" s="636">
        <v>0</v>
      </c>
      <c r="AS55" s="161"/>
      <c r="AT55" s="636">
        <v>0</v>
      </c>
      <c r="AU55" s="161"/>
      <c r="AV55" s="636">
        <v>0</v>
      </c>
      <c r="AW55" s="161"/>
      <c r="AX55" s="636">
        <v>0</v>
      </c>
      <c r="AY55" s="161"/>
      <c r="AZ55" s="636">
        <v>0</v>
      </c>
      <c r="BA55" s="161"/>
      <c r="BB55" s="636">
        <v>0</v>
      </c>
      <c r="BC55" s="161"/>
      <c r="BD55" s="636">
        <v>0</v>
      </c>
      <c r="BE55" s="161"/>
      <c r="BF55" s="636">
        <v>0</v>
      </c>
      <c r="BG55" s="161"/>
      <c r="BH55" s="636">
        <v>0</v>
      </c>
      <c r="BI55" s="156"/>
      <c r="BJ55" s="636">
        <v>0</v>
      </c>
      <c r="BK55" s="157"/>
      <c r="BL55" s="53"/>
      <c r="BM55" s="169">
        <f t="shared" si="0"/>
        <v>1</v>
      </c>
      <c r="BN55" s="53"/>
    </row>
    <row r="56" spans="1:66" ht="15.75" x14ac:dyDescent="0.25">
      <c r="A56" s="53"/>
      <c r="B56" s="168"/>
      <c r="C56" s="152"/>
      <c r="D56" s="153">
        <v>29</v>
      </c>
      <c r="E56" s="154"/>
      <c r="F56" s="636">
        <v>0</v>
      </c>
      <c r="G56" s="161"/>
      <c r="H56" s="636">
        <v>0</v>
      </c>
      <c r="I56" s="161"/>
      <c r="J56" s="636">
        <v>0</v>
      </c>
      <c r="K56" s="161"/>
      <c r="L56" s="636">
        <v>0</v>
      </c>
      <c r="M56" s="161"/>
      <c r="N56" s="636">
        <v>0</v>
      </c>
      <c r="O56" s="161"/>
      <c r="P56" s="636">
        <v>0</v>
      </c>
      <c r="Q56" s="161"/>
      <c r="R56" s="636">
        <v>0</v>
      </c>
      <c r="S56" s="161"/>
      <c r="T56" s="636">
        <v>0</v>
      </c>
      <c r="U56" s="161"/>
      <c r="V56" s="636">
        <v>0</v>
      </c>
      <c r="W56" s="161"/>
      <c r="X56" s="636">
        <v>0</v>
      </c>
      <c r="Y56" s="161"/>
      <c r="Z56" s="636">
        <v>0</v>
      </c>
      <c r="AA56" s="161"/>
      <c r="AB56" s="636">
        <v>0</v>
      </c>
      <c r="AC56" s="161"/>
      <c r="AD56" s="636">
        <v>0</v>
      </c>
      <c r="AE56" s="161"/>
      <c r="AF56" s="636">
        <v>0</v>
      </c>
      <c r="AG56" s="161"/>
      <c r="AH56" s="636">
        <v>0</v>
      </c>
      <c r="AI56" s="161"/>
      <c r="AJ56" s="636">
        <v>0</v>
      </c>
      <c r="AK56" s="161"/>
      <c r="AL56" s="636">
        <v>0</v>
      </c>
      <c r="AM56" s="161"/>
      <c r="AN56" s="636">
        <v>0</v>
      </c>
      <c r="AO56" s="161"/>
      <c r="AP56" s="636">
        <v>0</v>
      </c>
      <c r="AQ56" s="161"/>
      <c r="AR56" s="636">
        <v>0</v>
      </c>
      <c r="AS56" s="161"/>
      <c r="AT56" s="636">
        <v>0</v>
      </c>
      <c r="AU56" s="161"/>
      <c r="AV56" s="636">
        <v>0</v>
      </c>
      <c r="AW56" s="161"/>
      <c r="AX56" s="636">
        <v>0</v>
      </c>
      <c r="AY56" s="161"/>
      <c r="AZ56" s="636">
        <v>0</v>
      </c>
      <c r="BA56" s="161"/>
      <c r="BB56" s="636">
        <v>0</v>
      </c>
      <c r="BC56" s="161"/>
      <c r="BD56" s="636">
        <v>0</v>
      </c>
      <c r="BE56" s="161"/>
      <c r="BF56" s="636">
        <v>0</v>
      </c>
      <c r="BG56" s="161"/>
      <c r="BH56" s="636">
        <v>0</v>
      </c>
      <c r="BI56" s="156"/>
      <c r="BJ56" s="636">
        <v>0</v>
      </c>
      <c r="BK56" s="157"/>
      <c r="BL56" s="53"/>
      <c r="BM56" s="169">
        <f t="shared" si="0"/>
        <v>1</v>
      </c>
      <c r="BN56" s="53"/>
    </row>
    <row r="57" spans="1:66" ht="15.75" x14ac:dyDescent="0.25">
      <c r="A57" s="53"/>
      <c r="B57" s="168"/>
      <c r="C57" s="152"/>
      <c r="D57" s="153">
        <v>30</v>
      </c>
      <c r="E57" s="154"/>
      <c r="F57" s="636">
        <v>0</v>
      </c>
      <c r="G57" s="161"/>
      <c r="H57" s="636">
        <v>0</v>
      </c>
      <c r="I57" s="161"/>
      <c r="J57" s="636">
        <v>0</v>
      </c>
      <c r="K57" s="161"/>
      <c r="L57" s="636">
        <v>0</v>
      </c>
      <c r="M57" s="161"/>
      <c r="N57" s="636">
        <v>0</v>
      </c>
      <c r="O57" s="161"/>
      <c r="P57" s="636">
        <v>0</v>
      </c>
      <c r="Q57" s="161"/>
      <c r="R57" s="636">
        <v>0</v>
      </c>
      <c r="S57" s="161"/>
      <c r="T57" s="636">
        <v>0</v>
      </c>
      <c r="U57" s="161"/>
      <c r="V57" s="636">
        <v>0</v>
      </c>
      <c r="W57" s="161"/>
      <c r="X57" s="636">
        <v>0</v>
      </c>
      <c r="Y57" s="161"/>
      <c r="Z57" s="636">
        <v>0</v>
      </c>
      <c r="AA57" s="161"/>
      <c r="AB57" s="636">
        <v>0</v>
      </c>
      <c r="AC57" s="161"/>
      <c r="AD57" s="636">
        <v>0</v>
      </c>
      <c r="AE57" s="161"/>
      <c r="AF57" s="636">
        <v>0</v>
      </c>
      <c r="AG57" s="161"/>
      <c r="AH57" s="636">
        <v>0</v>
      </c>
      <c r="AI57" s="161"/>
      <c r="AJ57" s="636">
        <v>0</v>
      </c>
      <c r="AK57" s="161"/>
      <c r="AL57" s="636">
        <v>0</v>
      </c>
      <c r="AM57" s="161"/>
      <c r="AN57" s="636">
        <v>0</v>
      </c>
      <c r="AO57" s="161"/>
      <c r="AP57" s="636">
        <v>0</v>
      </c>
      <c r="AQ57" s="161"/>
      <c r="AR57" s="636">
        <v>0</v>
      </c>
      <c r="AS57" s="161"/>
      <c r="AT57" s="636">
        <v>0</v>
      </c>
      <c r="AU57" s="161"/>
      <c r="AV57" s="636">
        <v>0</v>
      </c>
      <c r="AW57" s="161"/>
      <c r="AX57" s="636">
        <v>0</v>
      </c>
      <c r="AY57" s="161"/>
      <c r="AZ57" s="636">
        <v>0</v>
      </c>
      <c r="BA57" s="161"/>
      <c r="BB57" s="636">
        <v>0</v>
      </c>
      <c r="BC57" s="161"/>
      <c r="BD57" s="636">
        <v>0</v>
      </c>
      <c r="BE57" s="161"/>
      <c r="BF57" s="636">
        <v>0</v>
      </c>
      <c r="BG57" s="161"/>
      <c r="BH57" s="636">
        <v>0</v>
      </c>
      <c r="BI57" s="156"/>
      <c r="BJ57" s="636">
        <v>0</v>
      </c>
      <c r="BK57" s="157"/>
      <c r="BL57" s="53"/>
      <c r="BM57" s="169">
        <f t="shared" si="0"/>
        <v>1</v>
      </c>
      <c r="BN57" s="53"/>
    </row>
    <row r="58" spans="1:66" ht="6" customHeight="1" thickBot="1" x14ac:dyDescent="0.3">
      <c r="A58" s="53"/>
      <c r="B58" s="110"/>
      <c r="C58" s="159"/>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4"/>
      <c r="BL58" s="53"/>
      <c r="BM58" s="95"/>
      <c r="BN58" s="53"/>
    </row>
    <row r="59" spans="1:66" ht="15.75" customHeight="1" x14ac:dyDescent="0.25">
      <c r="A59" s="53"/>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230"/>
      <c r="BJ59" s="230"/>
      <c r="BK59" s="53"/>
      <c r="BL59" s="53"/>
      <c r="BM59" s="431"/>
      <c r="BN59" s="53"/>
    </row>
    <row r="60" spans="1:66" ht="15.75" x14ac:dyDescent="0.25">
      <c r="A60" s="53"/>
      <c r="B60" s="121"/>
      <c r="C60" s="170"/>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3"/>
      <c r="BK60" s="124"/>
      <c r="BL60" s="53"/>
      <c r="BM60" s="431"/>
      <c r="BN60" s="53"/>
    </row>
    <row r="61" spans="1:66" ht="6" customHeight="1" x14ac:dyDescent="0.25">
      <c r="A61" s="53"/>
      <c r="B61" s="168"/>
      <c r="C61" s="152"/>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3"/>
      <c r="BK61" s="157"/>
      <c r="BL61" s="53"/>
      <c r="BM61" s="53"/>
      <c r="BN61" s="53"/>
    </row>
    <row r="62" spans="1:66" ht="15.75" x14ac:dyDescent="0.25">
      <c r="A62" s="53"/>
      <c r="B62" s="151" t="s">
        <v>221</v>
      </c>
      <c r="C62" s="152"/>
      <c r="D62" s="153"/>
      <c r="E62" s="154"/>
      <c r="F62" s="733">
        <f>IF(F9&gt;0,F9,F23)</f>
        <v>0</v>
      </c>
      <c r="G62" s="161"/>
      <c r="H62" s="733">
        <f>IF(H9&gt;0,H9,H23)</f>
        <v>0</v>
      </c>
      <c r="I62" s="161"/>
      <c r="J62" s="733">
        <f>IF(J9&gt;0,J9,J23)</f>
        <v>0</v>
      </c>
      <c r="K62" s="161"/>
      <c r="L62" s="733">
        <f>IF(L9&gt;0,L9,L23)</f>
        <v>0</v>
      </c>
      <c r="M62" s="161"/>
      <c r="N62" s="733">
        <f>IF(N9&gt;0,N9,N23)</f>
        <v>0</v>
      </c>
      <c r="O62" s="161"/>
      <c r="P62" s="733">
        <f>IF(P9&gt;0,P9,P23)</f>
        <v>0</v>
      </c>
      <c r="Q62" s="161"/>
      <c r="R62" s="733">
        <f>IF(R9&gt;0,R9,R23)</f>
        <v>0</v>
      </c>
      <c r="S62" s="161"/>
      <c r="T62" s="733">
        <f>IF(T9&gt;0,T9,T23)</f>
        <v>0</v>
      </c>
      <c r="U62" s="161"/>
      <c r="V62" s="733">
        <f>IF(V9&gt;0,V9,V23)</f>
        <v>0</v>
      </c>
      <c r="W62" s="161"/>
      <c r="X62" s="733">
        <f>IF(X9&gt;0,X9,X23)</f>
        <v>0</v>
      </c>
      <c r="Y62" s="161"/>
      <c r="Z62" s="733">
        <f>IF(Z9&gt;0,Z9,Z23)</f>
        <v>0</v>
      </c>
      <c r="AA62" s="161"/>
      <c r="AB62" s="733">
        <f>IF(AB9&gt;0,AB9,AB23)</f>
        <v>0</v>
      </c>
      <c r="AC62" s="161"/>
      <c r="AD62" s="733">
        <f>IF(AD9&gt;0,AD9,AD23)</f>
        <v>0</v>
      </c>
      <c r="AE62" s="161"/>
      <c r="AF62" s="733">
        <f>IF(AF9&gt;0,AF9,AF23)</f>
        <v>0</v>
      </c>
      <c r="AG62" s="161"/>
      <c r="AH62" s="733">
        <f>IF(AH9&gt;0,AH9,AH23)</f>
        <v>0</v>
      </c>
      <c r="AI62" s="161"/>
      <c r="AJ62" s="733">
        <f>IF(AJ9&gt;0,AJ9,AJ23)</f>
        <v>0</v>
      </c>
      <c r="AK62" s="161"/>
      <c r="AL62" s="733">
        <f>IF(AL9&gt;0,AL9,AL23)</f>
        <v>0</v>
      </c>
      <c r="AM62" s="161"/>
      <c r="AN62" s="733">
        <f>IF(AN9&gt;0,AN9,AN23)</f>
        <v>0</v>
      </c>
      <c r="AO62" s="161"/>
      <c r="AP62" s="733">
        <f>IF(AP9&gt;0,AP9,AP23)</f>
        <v>0</v>
      </c>
      <c r="AQ62" s="161"/>
      <c r="AR62" s="733">
        <f>IF(AR9&gt;0,AR9,AR23)</f>
        <v>0</v>
      </c>
      <c r="AS62" s="161"/>
      <c r="AT62" s="733">
        <f>IF(AT9&gt;0,AT9,AT23)</f>
        <v>0</v>
      </c>
      <c r="AU62" s="161"/>
      <c r="AV62" s="733">
        <f>IF(AV9&gt;0,AV9,AV23)</f>
        <v>0</v>
      </c>
      <c r="AW62" s="161"/>
      <c r="AX62" s="733">
        <f>IF(AX9&gt;0,AX9,AX23)</f>
        <v>0</v>
      </c>
      <c r="AY62" s="161"/>
      <c r="AZ62" s="733">
        <f>IF(AZ9&gt;0,AZ9,AZ23)</f>
        <v>0</v>
      </c>
      <c r="BA62" s="161"/>
      <c r="BB62" s="733">
        <f>IF(BB9&gt;0,BB9,BB23)</f>
        <v>0</v>
      </c>
      <c r="BC62" s="161"/>
      <c r="BD62" s="733">
        <f>IF(BD9&gt;0,BD9,BD23)</f>
        <v>0</v>
      </c>
      <c r="BE62" s="161"/>
      <c r="BF62" s="733">
        <f>IF(BF9&gt;0,BF9,BF23)</f>
        <v>0</v>
      </c>
      <c r="BG62" s="161"/>
      <c r="BH62" s="733">
        <f>IF(BH9&gt;0,BH9,BH23)</f>
        <v>0</v>
      </c>
      <c r="BI62" s="156"/>
      <c r="BJ62" s="80"/>
      <c r="BK62" s="157"/>
      <c r="BL62" s="53"/>
      <c r="BM62" s="158"/>
      <c r="BN62" s="334" t="str">
        <f>IF(BJ17=0,"Complete",IF(SUM(F62:BH62)=0,"Incomplete","Complete"))</f>
        <v>Complete</v>
      </c>
    </row>
    <row r="63" spans="1:66" ht="6" customHeight="1" thickBot="1" x14ac:dyDescent="0.3">
      <c r="A63" s="53"/>
      <c r="B63" s="110"/>
      <c r="C63" s="159"/>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4"/>
      <c r="BL63" s="53"/>
      <c r="BM63" s="53"/>
      <c r="BN63" s="53"/>
    </row>
    <row r="64" spans="1:66" ht="15.75" x14ac:dyDescent="0.25">
      <c r="A64" s="53"/>
      <c r="B64" s="53"/>
      <c r="C64" s="53"/>
      <c r="D64" s="53"/>
      <c r="E64" s="53"/>
      <c r="F64" s="746"/>
      <c r="G64" s="53"/>
      <c r="H64" s="746"/>
      <c r="I64" s="53"/>
      <c r="J64" s="746"/>
      <c r="K64" s="53"/>
      <c r="L64" s="746"/>
      <c r="M64" s="53"/>
      <c r="N64" s="746"/>
      <c r="O64" s="53"/>
      <c r="P64" s="746"/>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row>
    <row r="65" spans="1:66" ht="15.75" x14ac:dyDescent="0.25">
      <c r="A65" s="53"/>
      <c r="B65" s="121"/>
      <c r="C65" s="170"/>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3"/>
      <c r="BK65" s="124"/>
      <c r="BL65" s="53"/>
      <c r="BM65" s="53"/>
      <c r="BN65" s="53"/>
    </row>
    <row r="66" spans="1:66" ht="15.75" x14ac:dyDescent="0.25">
      <c r="A66" s="53"/>
      <c r="B66" s="168"/>
      <c r="C66" s="152"/>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3"/>
      <c r="BK66" s="157"/>
      <c r="BL66" s="53"/>
      <c r="BM66" s="53"/>
      <c r="BN66" s="53"/>
    </row>
    <row r="67" spans="1:66" ht="15.75" x14ac:dyDescent="0.25">
      <c r="A67" s="53"/>
      <c r="B67" s="151" t="s">
        <v>285</v>
      </c>
      <c r="C67" s="152"/>
      <c r="D67" s="153">
        <v>1</v>
      </c>
      <c r="E67" s="154"/>
      <c r="F67" s="725">
        <f>$D67*F28*F$17*$BM28</f>
        <v>0</v>
      </c>
      <c r="G67" s="161"/>
      <c r="H67" s="725">
        <f t="shared" ref="H67:H96" si="1">$D67*H28*H$17*$BM28</f>
        <v>0</v>
      </c>
      <c r="I67" s="161"/>
      <c r="J67" s="725">
        <f>$D67*J28*$J$17*$BM28</f>
        <v>0</v>
      </c>
      <c r="K67" s="161"/>
      <c r="L67" s="725">
        <f>$D67*L28*$L$17*$BM28</f>
        <v>0</v>
      </c>
      <c r="M67" s="161"/>
      <c r="N67" s="725">
        <f>$D67*N28*$N$17*$BM28</f>
        <v>0</v>
      </c>
      <c r="O67" s="161"/>
      <c r="P67" s="725">
        <f>$D67*P28*$P$17*$BM28</f>
        <v>0</v>
      </c>
      <c r="Q67" s="161"/>
      <c r="R67" s="725">
        <f>$D67*R28*$R$17*$BM28</f>
        <v>0</v>
      </c>
      <c r="S67" s="161"/>
      <c r="T67" s="725">
        <f>$D67*T28*$T$17*$BM28</f>
        <v>0</v>
      </c>
      <c r="U67" s="161"/>
      <c r="V67" s="725">
        <f>$D67*V28*$V$17*$BM28</f>
        <v>0</v>
      </c>
      <c r="W67" s="161"/>
      <c r="X67" s="725">
        <f>$D67*X28*$X$17*$BM28</f>
        <v>0</v>
      </c>
      <c r="Y67" s="161"/>
      <c r="Z67" s="725">
        <f>$D67*Z28*$Z$17*$BM28</f>
        <v>0</v>
      </c>
      <c r="AA67" s="161"/>
      <c r="AB67" s="725">
        <f>$D67*AB28*$AB$17*$BM28</f>
        <v>0</v>
      </c>
      <c r="AC67" s="161"/>
      <c r="AD67" s="725">
        <f>$D67*AD28*$AD$17*$BM28</f>
        <v>0</v>
      </c>
      <c r="AE67" s="161"/>
      <c r="AF67" s="725">
        <f>$D67*AF28*$AF$17*$BM28</f>
        <v>0</v>
      </c>
      <c r="AG67" s="161"/>
      <c r="AH67" s="725">
        <f>$D67*AH28*$AH$17*$BM28</f>
        <v>0</v>
      </c>
      <c r="AI67" s="161"/>
      <c r="AJ67" s="725">
        <f>$D67*AJ28*$AJ$17*$BM28</f>
        <v>0</v>
      </c>
      <c r="AK67" s="161"/>
      <c r="AL67" s="725">
        <f>$D67*AL28*$AL$17*$BM28</f>
        <v>0</v>
      </c>
      <c r="AM67" s="161"/>
      <c r="AN67" s="725">
        <f>$D67*AN28*$AN$17*$BM28</f>
        <v>0</v>
      </c>
      <c r="AO67" s="161"/>
      <c r="AP67" s="725">
        <f>$D67*AP28*$AP$17*$BM28</f>
        <v>0</v>
      </c>
      <c r="AQ67" s="161"/>
      <c r="AR67" s="725">
        <f>$D67*AR28*$AR$17*$BM28</f>
        <v>0</v>
      </c>
      <c r="AS67" s="161"/>
      <c r="AT67" s="725">
        <f>$D67*AT28*$AT$17*$BM28</f>
        <v>0</v>
      </c>
      <c r="AU67" s="161"/>
      <c r="AV67" s="725">
        <f>$D67*AV28*$AV$17*$BM28</f>
        <v>0</v>
      </c>
      <c r="AW67" s="161"/>
      <c r="AX67" s="725">
        <f>$D67*AX28*$AX$17*$BM28</f>
        <v>0</v>
      </c>
      <c r="AY67" s="161"/>
      <c r="AZ67" s="725">
        <f>$D67*AZ28*$AZ$17*$BM28</f>
        <v>0</v>
      </c>
      <c r="BA67" s="161"/>
      <c r="BB67" s="725">
        <f>$D67*BB28*$BB$17*$BM28</f>
        <v>0</v>
      </c>
      <c r="BC67" s="161"/>
      <c r="BD67" s="725">
        <f>$D67*BD28*$BD$17*$BM28</f>
        <v>0</v>
      </c>
      <c r="BE67" s="161"/>
      <c r="BF67" s="725">
        <f>$D67*BF28*$BF$17*$BM28</f>
        <v>0</v>
      </c>
      <c r="BG67" s="161"/>
      <c r="BH67" s="725">
        <f>$D67*BH28*$BH$17*$BM28</f>
        <v>0</v>
      </c>
      <c r="BI67" s="156"/>
      <c r="BJ67" s="156"/>
      <c r="BK67" s="157"/>
      <c r="BL67" s="53"/>
      <c r="BM67" s="53"/>
      <c r="BN67" s="53"/>
    </row>
    <row r="68" spans="1:66" ht="15.75" x14ac:dyDescent="0.25">
      <c r="A68" s="53"/>
      <c r="B68" s="168"/>
      <c r="C68" s="152"/>
      <c r="D68" s="153">
        <v>2</v>
      </c>
      <c r="E68" s="154"/>
      <c r="F68" s="725">
        <f t="shared" ref="F68:F96" si="2">$D68*F29*F$17*$BM29</f>
        <v>0</v>
      </c>
      <c r="G68" s="161"/>
      <c r="H68" s="725">
        <f t="shared" si="1"/>
        <v>0</v>
      </c>
      <c r="I68" s="161"/>
      <c r="J68" s="725">
        <f t="shared" ref="J68:J96" si="3">$D68*J29*$J$17*$BM29</f>
        <v>0</v>
      </c>
      <c r="K68" s="161"/>
      <c r="L68" s="725">
        <f t="shared" ref="L68:L96" si="4">$D68*L29*$L$17*$BM29</f>
        <v>0</v>
      </c>
      <c r="M68" s="161"/>
      <c r="N68" s="725">
        <f t="shared" ref="N68:N96" si="5">$D68*N29*$N$17*$BM29</f>
        <v>0</v>
      </c>
      <c r="O68" s="161"/>
      <c r="P68" s="725">
        <f t="shared" ref="P68:P96" si="6">$D68*P29*$P$17*$BM29</f>
        <v>0</v>
      </c>
      <c r="Q68" s="161"/>
      <c r="R68" s="725">
        <f t="shared" ref="R68:R96" si="7">$D68*R29*$R$17*$BM29</f>
        <v>0</v>
      </c>
      <c r="S68" s="161"/>
      <c r="T68" s="725">
        <f t="shared" ref="T68:T96" si="8">$D68*T29*$T$17*$BM29</f>
        <v>0</v>
      </c>
      <c r="U68" s="161"/>
      <c r="V68" s="725">
        <f t="shared" ref="V68:V96" si="9">$D68*V29*$V$17*$BM29</f>
        <v>0</v>
      </c>
      <c r="W68" s="161"/>
      <c r="X68" s="725">
        <f t="shared" ref="X68:X96" si="10">$D68*X29*$X$17*$BM29</f>
        <v>0</v>
      </c>
      <c r="Y68" s="161"/>
      <c r="Z68" s="725">
        <f t="shared" ref="Z68:Z96" si="11">$D68*Z29*$Z$17*$BM29</f>
        <v>0</v>
      </c>
      <c r="AA68" s="161"/>
      <c r="AB68" s="725">
        <f t="shared" ref="AB68:AB96" si="12">$D68*AB29*$AB$17*$BM29</f>
        <v>0</v>
      </c>
      <c r="AC68" s="161"/>
      <c r="AD68" s="725">
        <f t="shared" ref="AD68:AD96" si="13">$D68*AD29*$AD$17*$BM29</f>
        <v>0</v>
      </c>
      <c r="AE68" s="161"/>
      <c r="AF68" s="725">
        <f t="shared" ref="AF68:AF96" si="14">$D68*AF29*$AF$17*$BM29</f>
        <v>0</v>
      </c>
      <c r="AG68" s="161"/>
      <c r="AH68" s="725">
        <f t="shared" ref="AH68:AH96" si="15">$D68*AH29*$AH$17*$BM29</f>
        <v>0</v>
      </c>
      <c r="AI68" s="161"/>
      <c r="AJ68" s="725">
        <f t="shared" ref="AJ68:AJ96" si="16">$D68*AJ29*$AJ$17*$BM29</f>
        <v>0</v>
      </c>
      <c r="AK68" s="161"/>
      <c r="AL68" s="725">
        <f t="shared" ref="AL68:AL96" si="17">$D68*AL29*$AL$17*$BM29</f>
        <v>0</v>
      </c>
      <c r="AM68" s="161"/>
      <c r="AN68" s="725">
        <f t="shared" ref="AN68:AN96" si="18">$D68*AN29*$AN$17*$BM29</f>
        <v>0</v>
      </c>
      <c r="AO68" s="161"/>
      <c r="AP68" s="725">
        <f t="shared" ref="AP68:AP96" si="19">$D68*AP29*$AP$17*$BM29</f>
        <v>0</v>
      </c>
      <c r="AQ68" s="161"/>
      <c r="AR68" s="725">
        <f t="shared" ref="AR68:AR96" si="20">$D68*AR29*$AR$17*$BM29</f>
        <v>0</v>
      </c>
      <c r="AS68" s="161"/>
      <c r="AT68" s="725">
        <f t="shared" ref="AT68:AT96" si="21">$D68*AT29*$AT$17*$BM29</f>
        <v>0</v>
      </c>
      <c r="AU68" s="161"/>
      <c r="AV68" s="725">
        <f t="shared" ref="AV68:AV96" si="22">$D68*AV29*$AV$17*$BM29</f>
        <v>0</v>
      </c>
      <c r="AW68" s="161"/>
      <c r="AX68" s="725">
        <f t="shared" ref="AX68:AX96" si="23">$D68*AX29*$AX$17*$BM29</f>
        <v>0</v>
      </c>
      <c r="AY68" s="161"/>
      <c r="AZ68" s="725">
        <f t="shared" ref="AZ68:AZ96" si="24">$D68*AZ29*$AZ$17*$BM29</f>
        <v>0</v>
      </c>
      <c r="BA68" s="161"/>
      <c r="BB68" s="725">
        <f t="shared" ref="BB68:BB96" si="25">$D68*BB29*$BB$17*$BM29</f>
        <v>0</v>
      </c>
      <c r="BC68" s="161"/>
      <c r="BD68" s="725">
        <f t="shared" ref="BD68:BD96" si="26">$D68*BD29*$BD$17*$BM29</f>
        <v>0</v>
      </c>
      <c r="BE68" s="161"/>
      <c r="BF68" s="725">
        <f t="shared" ref="BF68:BF96" si="27">$D68*BF29*$BF$17*$BM29</f>
        <v>0</v>
      </c>
      <c r="BG68" s="161"/>
      <c r="BH68" s="725">
        <f t="shared" ref="BH68:BH96" si="28">$D68*BH29*$BH$17*$BM29</f>
        <v>0</v>
      </c>
      <c r="BI68" s="156"/>
      <c r="BJ68" s="156"/>
      <c r="BK68" s="157"/>
      <c r="BL68" s="53"/>
      <c r="BM68" s="53"/>
      <c r="BN68" s="53"/>
    </row>
    <row r="69" spans="1:66" ht="15.75" x14ac:dyDescent="0.25">
      <c r="A69" s="53"/>
      <c r="B69" s="168"/>
      <c r="C69" s="152"/>
      <c r="D69" s="153">
        <v>3</v>
      </c>
      <c r="E69" s="154"/>
      <c r="F69" s="725">
        <f t="shared" si="2"/>
        <v>0</v>
      </c>
      <c r="G69" s="161"/>
      <c r="H69" s="725">
        <f t="shared" si="1"/>
        <v>0</v>
      </c>
      <c r="I69" s="161"/>
      <c r="J69" s="725">
        <f t="shared" si="3"/>
        <v>0</v>
      </c>
      <c r="K69" s="161"/>
      <c r="L69" s="725">
        <f t="shared" si="4"/>
        <v>0</v>
      </c>
      <c r="M69" s="161"/>
      <c r="N69" s="725">
        <f t="shared" si="5"/>
        <v>0</v>
      </c>
      <c r="O69" s="161"/>
      <c r="P69" s="725">
        <f t="shared" si="6"/>
        <v>0</v>
      </c>
      <c r="Q69" s="161"/>
      <c r="R69" s="725">
        <f t="shared" si="7"/>
        <v>0</v>
      </c>
      <c r="S69" s="161"/>
      <c r="T69" s="725">
        <f t="shared" si="8"/>
        <v>0</v>
      </c>
      <c r="U69" s="161"/>
      <c r="V69" s="725">
        <f t="shared" si="9"/>
        <v>0</v>
      </c>
      <c r="W69" s="161"/>
      <c r="X69" s="725">
        <f t="shared" si="10"/>
        <v>0</v>
      </c>
      <c r="Y69" s="161"/>
      <c r="Z69" s="725">
        <f t="shared" si="11"/>
        <v>0</v>
      </c>
      <c r="AA69" s="161"/>
      <c r="AB69" s="725">
        <f t="shared" si="12"/>
        <v>0</v>
      </c>
      <c r="AC69" s="161"/>
      <c r="AD69" s="725">
        <f t="shared" si="13"/>
        <v>0</v>
      </c>
      <c r="AE69" s="161"/>
      <c r="AF69" s="725">
        <f t="shared" si="14"/>
        <v>0</v>
      </c>
      <c r="AG69" s="161"/>
      <c r="AH69" s="725">
        <f t="shared" si="15"/>
        <v>0</v>
      </c>
      <c r="AI69" s="161"/>
      <c r="AJ69" s="725">
        <f t="shared" si="16"/>
        <v>0</v>
      </c>
      <c r="AK69" s="161"/>
      <c r="AL69" s="725">
        <f t="shared" si="17"/>
        <v>0</v>
      </c>
      <c r="AM69" s="161"/>
      <c r="AN69" s="725">
        <f t="shared" si="18"/>
        <v>0</v>
      </c>
      <c r="AO69" s="161"/>
      <c r="AP69" s="725">
        <f t="shared" si="19"/>
        <v>0</v>
      </c>
      <c r="AQ69" s="161"/>
      <c r="AR69" s="725">
        <f t="shared" si="20"/>
        <v>0</v>
      </c>
      <c r="AS69" s="161"/>
      <c r="AT69" s="725">
        <f t="shared" si="21"/>
        <v>0</v>
      </c>
      <c r="AU69" s="161"/>
      <c r="AV69" s="725">
        <f t="shared" si="22"/>
        <v>0</v>
      </c>
      <c r="AW69" s="161"/>
      <c r="AX69" s="725">
        <f t="shared" si="23"/>
        <v>0</v>
      </c>
      <c r="AY69" s="161"/>
      <c r="AZ69" s="725">
        <f t="shared" si="24"/>
        <v>0</v>
      </c>
      <c r="BA69" s="161"/>
      <c r="BB69" s="725">
        <f t="shared" si="25"/>
        <v>0</v>
      </c>
      <c r="BC69" s="161"/>
      <c r="BD69" s="725">
        <f t="shared" si="26"/>
        <v>0</v>
      </c>
      <c r="BE69" s="161"/>
      <c r="BF69" s="725">
        <f t="shared" si="27"/>
        <v>0</v>
      </c>
      <c r="BG69" s="161"/>
      <c r="BH69" s="725">
        <f t="shared" si="28"/>
        <v>0</v>
      </c>
      <c r="BI69" s="156"/>
      <c r="BJ69" s="156"/>
      <c r="BK69" s="157"/>
      <c r="BL69" s="53"/>
      <c r="BM69" s="53"/>
      <c r="BN69" s="53"/>
    </row>
    <row r="70" spans="1:66" ht="15.75" x14ac:dyDescent="0.25">
      <c r="A70" s="53"/>
      <c r="B70" s="168"/>
      <c r="C70" s="152"/>
      <c r="D70" s="153">
        <v>4</v>
      </c>
      <c r="E70" s="154"/>
      <c r="F70" s="725">
        <f t="shared" si="2"/>
        <v>0</v>
      </c>
      <c r="G70" s="161"/>
      <c r="H70" s="725">
        <f t="shared" si="1"/>
        <v>0</v>
      </c>
      <c r="I70" s="161"/>
      <c r="J70" s="725">
        <f t="shared" si="3"/>
        <v>0</v>
      </c>
      <c r="K70" s="161"/>
      <c r="L70" s="725">
        <f t="shared" si="4"/>
        <v>0</v>
      </c>
      <c r="M70" s="161"/>
      <c r="N70" s="725">
        <f t="shared" si="5"/>
        <v>0</v>
      </c>
      <c r="O70" s="161"/>
      <c r="P70" s="725">
        <f t="shared" si="6"/>
        <v>0</v>
      </c>
      <c r="Q70" s="161"/>
      <c r="R70" s="725">
        <f t="shared" si="7"/>
        <v>0</v>
      </c>
      <c r="S70" s="161"/>
      <c r="T70" s="725">
        <f t="shared" si="8"/>
        <v>0</v>
      </c>
      <c r="U70" s="161"/>
      <c r="V70" s="725">
        <f t="shared" si="9"/>
        <v>0</v>
      </c>
      <c r="W70" s="161"/>
      <c r="X70" s="725">
        <f t="shared" si="10"/>
        <v>0</v>
      </c>
      <c r="Y70" s="161"/>
      <c r="Z70" s="725">
        <f t="shared" si="11"/>
        <v>0</v>
      </c>
      <c r="AA70" s="161"/>
      <c r="AB70" s="725">
        <f t="shared" si="12"/>
        <v>0</v>
      </c>
      <c r="AC70" s="161"/>
      <c r="AD70" s="725">
        <f t="shared" si="13"/>
        <v>0</v>
      </c>
      <c r="AE70" s="161"/>
      <c r="AF70" s="725">
        <f t="shared" si="14"/>
        <v>0</v>
      </c>
      <c r="AG70" s="161"/>
      <c r="AH70" s="725">
        <f t="shared" si="15"/>
        <v>0</v>
      </c>
      <c r="AI70" s="161"/>
      <c r="AJ70" s="725">
        <f t="shared" si="16"/>
        <v>0</v>
      </c>
      <c r="AK70" s="161"/>
      <c r="AL70" s="725">
        <f t="shared" si="17"/>
        <v>0</v>
      </c>
      <c r="AM70" s="161"/>
      <c r="AN70" s="725">
        <f t="shared" si="18"/>
        <v>0</v>
      </c>
      <c r="AO70" s="161"/>
      <c r="AP70" s="725">
        <f t="shared" si="19"/>
        <v>0</v>
      </c>
      <c r="AQ70" s="161"/>
      <c r="AR70" s="725">
        <f t="shared" si="20"/>
        <v>0</v>
      </c>
      <c r="AS70" s="161"/>
      <c r="AT70" s="725">
        <f t="shared" si="21"/>
        <v>0</v>
      </c>
      <c r="AU70" s="161"/>
      <c r="AV70" s="725">
        <f t="shared" si="22"/>
        <v>0</v>
      </c>
      <c r="AW70" s="161"/>
      <c r="AX70" s="725">
        <f t="shared" si="23"/>
        <v>0</v>
      </c>
      <c r="AY70" s="161"/>
      <c r="AZ70" s="725">
        <f t="shared" si="24"/>
        <v>0</v>
      </c>
      <c r="BA70" s="161"/>
      <c r="BB70" s="725">
        <f t="shared" si="25"/>
        <v>0</v>
      </c>
      <c r="BC70" s="161"/>
      <c r="BD70" s="725">
        <f t="shared" si="26"/>
        <v>0</v>
      </c>
      <c r="BE70" s="161"/>
      <c r="BF70" s="725">
        <f t="shared" si="27"/>
        <v>0</v>
      </c>
      <c r="BG70" s="161"/>
      <c r="BH70" s="725">
        <f t="shared" si="28"/>
        <v>0</v>
      </c>
      <c r="BI70" s="156"/>
      <c r="BJ70" s="156"/>
      <c r="BK70" s="157"/>
      <c r="BL70" s="53"/>
      <c r="BM70" s="53"/>
      <c r="BN70" s="53"/>
    </row>
    <row r="71" spans="1:66" ht="15.75" x14ac:dyDescent="0.25">
      <c r="A71" s="53"/>
      <c r="B71" s="168"/>
      <c r="C71" s="152"/>
      <c r="D71" s="153">
        <v>5</v>
      </c>
      <c r="E71" s="154"/>
      <c r="F71" s="725">
        <f t="shared" si="2"/>
        <v>0</v>
      </c>
      <c r="G71" s="161"/>
      <c r="H71" s="725">
        <f t="shared" si="1"/>
        <v>0</v>
      </c>
      <c r="I71" s="161"/>
      <c r="J71" s="725">
        <f t="shared" si="3"/>
        <v>0</v>
      </c>
      <c r="K71" s="161"/>
      <c r="L71" s="725">
        <f t="shared" si="4"/>
        <v>0</v>
      </c>
      <c r="M71" s="161"/>
      <c r="N71" s="725">
        <f t="shared" si="5"/>
        <v>0</v>
      </c>
      <c r="O71" s="161"/>
      <c r="P71" s="725">
        <f t="shared" si="6"/>
        <v>0</v>
      </c>
      <c r="Q71" s="161"/>
      <c r="R71" s="725">
        <f t="shared" si="7"/>
        <v>0</v>
      </c>
      <c r="S71" s="161"/>
      <c r="T71" s="725">
        <f t="shared" si="8"/>
        <v>0</v>
      </c>
      <c r="U71" s="161"/>
      <c r="V71" s="725">
        <f t="shared" si="9"/>
        <v>0</v>
      </c>
      <c r="W71" s="161"/>
      <c r="X71" s="725">
        <f t="shared" si="10"/>
        <v>0</v>
      </c>
      <c r="Y71" s="161"/>
      <c r="Z71" s="725">
        <f t="shared" si="11"/>
        <v>0</v>
      </c>
      <c r="AA71" s="161"/>
      <c r="AB71" s="725">
        <f t="shared" si="12"/>
        <v>0</v>
      </c>
      <c r="AC71" s="161"/>
      <c r="AD71" s="725">
        <f t="shared" si="13"/>
        <v>0</v>
      </c>
      <c r="AE71" s="161"/>
      <c r="AF71" s="725">
        <f t="shared" si="14"/>
        <v>0</v>
      </c>
      <c r="AG71" s="161"/>
      <c r="AH71" s="725">
        <f t="shared" si="15"/>
        <v>0</v>
      </c>
      <c r="AI71" s="161"/>
      <c r="AJ71" s="725">
        <f t="shared" si="16"/>
        <v>0</v>
      </c>
      <c r="AK71" s="161"/>
      <c r="AL71" s="725">
        <f t="shared" si="17"/>
        <v>0</v>
      </c>
      <c r="AM71" s="161"/>
      <c r="AN71" s="725">
        <f t="shared" si="18"/>
        <v>0</v>
      </c>
      <c r="AO71" s="161"/>
      <c r="AP71" s="725">
        <f t="shared" si="19"/>
        <v>0</v>
      </c>
      <c r="AQ71" s="161"/>
      <c r="AR71" s="725">
        <f t="shared" si="20"/>
        <v>0</v>
      </c>
      <c r="AS71" s="161"/>
      <c r="AT71" s="725">
        <f t="shared" si="21"/>
        <v>0</v>
      </c>
      <c r="AU71" s="161"/>
      <c r="AV71" s="725">
        <f t="shared" si="22"/>
        <v>0</v>
      </c>
      <c r="AW71" s="161"/>
      <c r="AX71" s="725">
        <f t="shared" si="23"/>
        <v>0</v>
      </c>
      <c r="AY71" s="161"/>
      <c r="AZ71" s="725">
        <f t="shared" si="24"/>
        <v>0</v>
      </c>
      <c r="BA71" s="161"/>
      <c r="BB71" s="725">
        <f t="shared" si="25"/>
        <v>0</v>
      </c>
      <c r="BC71" s="161"/>
      <c r="BD71" s="725">
        <f t="shared" si="26"/>
        <v>0</v>
      </c>
      <c r="BE71" s="161"/>
      <c r="BF71" s="725">
        <f t="shared" si="27"/>
        <v>0</v>
      </c>
      <c r="BG71" s="161"/>
      <c r="BH71" s="725">
        <f t="shared" si="28"/>
        <v>0</v>
      </c>
      <c r="BI71" s="156"/>
      <c r="BJ71" s="156"/>
      <c r="BK71" s="157"/>
      <c r="BL71" s="53"/>
      <c r="BM71" s="53"/>
      <c r="BN71" s="53"/>
    </row>
    <row r="72" spans="1:66" ht="15.75" x14ac:dyDescent="0.25">
      <c r="A72" s="53"/>
      <c r="B72" s="168"/>
      <c r="C72" s="152"/>
      <c r="D72" s="153">
        <v>6</v>
      </c>
      <c r="E72" s="154"/>
      <c r="F72" s="725">
        <f t="shared" si="2"/>
        <v>0</v>
      </c>
      <c r="G72" s="161"/>
      <c r="H72" s="725">
        <f t="shared" si="1"/>
        <v>0</v>
      </c>
      <c r="I72" s="161"/>
      <c r="J72" s="725">
        <f t="shared" si="3"/>
        <v>0</v>
      </c>
      <c r="K72" s="161"/>
      <c r="L72" s="725">
        <f t="shared" si="4"/>
        <v>0</v>
      </c>
      <c r="M72" s="161"/>
      <c r="N72" s="725">
        <f t="shared" si="5"/>
        <v>0</v>
      </c>
      <c r="O72" s="161"/>
      <c r="P72" s="725">
        <f t="shared" si="6"/>
        <v>0</v>
      </c>
      <c r="Q72" s="161"/>
      <c r="R72" s="725">
        <f t="shared" si="7"/>
        <v>0</v>
      </c>
      <c r="S72" s="161"/>
      <c r="T72" s="725">
        <f t="shared" si="8"/>
        <v>0</v>
      </c>
      <c r="U72" s="161"/>
      <c r="V72" s="725">
        <f t="shared" si="9"/>
        <v>0</v>
      </c>
      <c r="W72" s="161"/>
      <c r="X72" s="725">
        <f t="shared" si="10"/>
        <v>0</v>
      </c>
      <c r="Y72" s="161"/>
      <c r="Z72" s="725">
        <f t="shared" si="11"/>
        <v>0</v>
      </c>
      <c r="AA72" s="161"/>
      <c r="AB72" s="725">
        <f t="shared" si="12"/>
        <v>0</v>
      </c>
      <c r="AC72" s="161"/>
      <c r="AD72" s="725">
        <f t="shared" si="13"/>
        <v>0</v>
      </c>
      <c r="AE72" s="161"/>
      <c r="AF72" s="725">
        <f t="shared" si="14"/>
        <v>0</v>
      </c>
      <c r="AG72" s="161"/>
      <c r="AH72" s="725">
        <f t="shared" si="15"/>
        <v>0</v>
      </c>
      <c r="AI72" s="161"/>
      <c r="AJ72" s="725">
        <f t="shared" si="16"/>
        <v>0</v>
      </c>
      <c r="AK72" s="161"/>
      <c r="AL72" s="725">
        <f t="shared" si="17"/>
        <v>0</v>
      </c>
      <c r="AM72" s="161"/>
      <c r="AN72" s="725">
        <f t="shared" si="18"/>
        <v>0</v>
      </c>
      <c r="AO72" s="161"/>
      <c r="AP72" s="725">
        <f t="shared" si="19"/>
        <v>0</v>
      </c>
      <c r="AQ72" s="161"/>
      <c r="AR72" s="725">
        <f t="shared" si="20"/>
        <v>0</v>
      </c>
      <c r="AS72" s="161"/>
      <c r="AT72" s="725">
        <f t="shared" si="21"/>
        <v>0</v>
      </c>
      <c r="AU72" s="161"/>
      <c r="AV72" s="725">
        <f t="shared" si="22"/>
        <v>0</v>
      </c>
      <c r="AW72" s="161"/>
      <c r="AX72" s="725">
        <f t="shared" si="23"/>
        <v>0</v>
      </c>
      <c r="AY72" s="161"/>
      <c r="AZ72" s="725">
        <f t="shared" si="24"/>
        <v>0</v>
      </c>
      <c r="BA72" s="161"/>
      <c r="BB72" s="725">
        <f t="shared" si="25"/>
        <v>0</v>
      </c>
      <c r="BC72" s="161"/>
      <c r="BD72" s="725">
        <f t="shared" si="26"/>
        <v>0</v>
      </c>
      <c r="BE72" s="161"/>
      <c r="BF72" s="725">
        <f t="shared" si="27"/>
        <v>0</v>
      </c>
      <c r="BG72" s="161"/>
      <c r="BH72" s="725">
        <f t="shared" si="28"/>
        <v>0</v>
      </c>
      <c r="BI72" s="156"/>
      <c r="BJ72" s="156"/>
      <c r="BK72" s="157"/>
      <c r="BL72" s="53"/>
      <c r="BM72" s="53"/>
      <c r="BN72" s="53"/>
    </row>
    <row r="73" spans="1:66" ht="15.75" x14ac:dyDescent="0.25">
      <c r="A73" s="53"/>
      <c r="B73" s="168"/>
      <c r="C73" s="152"/>
      <c r="D73" s="153">
        <v>7</v>
      </c>
      <c r="E73" s="154"/>
      <c r="F73" s="725">
        <f t="shared" si="2"/>
        <v>0</v>
      </c>
      <c r="G73" s="161"/>
      <c r="H73" s="725">
        <f t="shared" si="1"/>
        <v>0</v>
      </c>
      <c r="I73" s="161"/>
      <c r="J73" s="725">
        <f t="shared" si="3"/>
        <v>0</v>
      </c>
      <c r="K73" s="161"/>
      <c r="L73" s="725">
        <f t="shared" si="4"/>
        <v>0</v>
      </c>
      <c r="M73" s="161"/>
      <c r="N73" s="725">
        <f t="shared" si="5"/>
        <v>0</v>
      </c>
      <c r="O73" s="161"/>
      <c r="P73" s="725">
        <f t="shared" si="6"/>
        <v>0</v>
      </c>
      <c r="Q73" s="161"/>
      <c r="R73" s="725">
        <f t="shared" si="7"/>
        <v>0</v>
      </c>
      <c r="S73" s="161"/>
      <c r="T73" s="725">
        <f t="shared" si="8"/>
        <v>0</v>
      </c>
      <c r="U73" s="161"/>
      <c r="V73" s="725">
        <f t="shared" si="9"/>
        <v>0</v>
      </c>
      <c r="W73" s="161"/>
      <c r="X73" s="725">
        <f t="shared" si="10"/>
        <v>0</v>
      </c>
      <c r="Y73" s="161"/>
      <c r="Z73" s="725">
        <f t="shared" si="11"/>
        <v>0</v>
      </c>
      <c r="AA73" s="161"/>
      <c r="AB73" s="725">
        <f t="shared" si="12"/>
        <v>0</v>
      </c>
      <c r="AC73" s="161"/>
      <c r="AD73" s="725">
        <f t="shared" si="13"/>
        <v>0</v>
      </c>
      <c r="AE73" s="161"/>
      <c r="AF73" s="725">
        <f t="shared" si="14"/>
        <v>0</v>
      </c>
      <c r="AG73" s="161"/>
      <c r="AH73" s="725">
        <f t="shared" si="15"/>
        <v>0</v>
      </c>
      <c r="AI73" s="161"/>
      <c r="AJ73" s="725">
        <f t="shared" si="16"/>
        <v>0</v>
      </c>
      <c r="AK73" s="161"/>
      <c r="AL73" s="725">
        <f t="shared" si="17"/>
        <v>0</v>
      </c>
      <c r="AM73" s="161"/>
      <c r="AN73" s="725">
        <f t="shared" si="18"/>
        <v>0</v>
      </c>
      <c r="AO73" s="161"/>
      <c r="AP73" s="725">
        <f t="shared" si="19"/>
        <v>0</v>
      </c>
      <c r="AQ73" s="161"/>
      <c r="AR73" s="725">
        <f t="shared" si="20"/>
        <v>0</v>
      </c>
      <c r="AS73" s="161"/>
      <c r="AT73" s="725">
        <f t="shared" si="21"/>
        <v>0</v>
      </c>
      <c r="AU73" s="161"/>
      <c r="AV73" s="725">
        <f t="shared" si="22"/>
        <v>0</v>
      </c>
      <c r="AW73" s="161"/>
      <c r="AX73" s="725">
        <f t="shared" si="23"/>
        <v>0</v>
      </c>
      <c r="AY73" s="161"/>
      <c r="AZ73" s="725">
        <f t="shared" si="24"/>
        <v>0</v>
      </c>
      <c r="BA73" s="161"/>
      <c r="BB73" s="725">
        <f t="shared" si="25"/>
        <v>0</v>
      </c>
      <c r="BC73" s="161"/>
      <c r="BD73" s="725">
        <f t="shared" si="26"/>
        <v>0</v>
      </c>
      <c r="BE73" s="161"/>
      <c r="BF73" s="725">
        <f t="shared" si="27"/>
        <v>0</v>
      </c>
      <c r="BG73" s="161"/>
      <c r="BH73" s="725">
        <f t="shared" si="28"/>
        <v>0</v>
      </c>
      <c r="BI73" s="156"/>
      <c r="BJ73" s="156"/>
      <c r="BK73" s="157"/>
      <c r="BL73" s="53"/>
      <c r="BM73" s="53"/>
      <c r="BN73" s="53"/>
    </row>
    <row r="74" spans="1:66" ht="15.75" x14ac:dyDescent="0.25">
      <c r="A74" s="53"/>
      <c r="B74" s="168"/>
      <c r="C74" s="152"/>
      <c r="D74" s="153">
        <v>8</v>
      </c>
      <c r="E74" s="154"/>
      <c r="F74" s="725">
        <f t="shared" si="2"/>
        <v>0</v>
      </c>
      <c r="G74" s="161"/>
      <c r="H74" s="725">
        <f t="shared" si="1"/>
        <v>0</v>
      </c>
      <c r="I74" s="161"/>
      <c r="J74" s="725">
        <f t="shared" si="3"/>
        <v>0</v>
      </c>
      <c r="K74" s="161"/>
      <c r="L74" s="725">
        <f t="shared" si="4"/>
        <v>0</v>
      </c>
      <c r="M74" s="161"/>
      <c r="N74" s="725">
        <f t="shared" si="5"/>
        <v>0</v>
      </c>
      <c r="O74" s="161"/>
      <c r="P74" s="725">
        <f t="shared" si="6"/>
        <v>0</v>
      </c>
      <c r="Q74" s="161"/>
      <c r="R74" s="725">
        <f t="shared" si="7"/>
        <v>0</v>
      </c>
      <c r="S74" s="161"/>
      <c r="T74" s="725">
        <f t="shared" si="8"/>
        <v>0</v>
      </c>
      <c r="U74" s="161"/>
      <c r="V74" s="725">
        <f t="shared" si="9"/>
        <v>0</v>
      </c>
      <c r="W74" s="161"/>
      <c r="X74" s="725">
        <f t="shared" si="10"/>
        <v>0</v>
      </c>
      <c r="Y74" s="161"/>
      <c r="Z74" s="725">
        <f t="shared" si="11"/>
        <v>0</v>
      </c>
      <c r="AA74" s="161"/>
      <c r="AB74" s="725">
        <f t="shared" si="12"/>
        <v>0</v>
      </c>
      <c r="AC74" s="161"/>
      <c r="AD74" s="725">
        <f t="shared" si="13"/>
        <v>0</v>
      </c>
      <c r="AE74" s="161"/>
      <c r="AF74" s="725">
        <f t="shared" si="14"/>
        <v>0</v>
      </c>
      <c r="AG74" s="161"/>
      <c r="AH74" s="725">
        <f t="shared" si="15"/>
        <v>0</v>
      </c>
      <c r="AI74" s="161"/>
      <c r="AJ74" s="725">
        <f t="shared" si="16"/>
        <v>0</v>
      </c>
      <c r="AK74" s="161"/>
      <c r="AL74" s="725">
        <f t="shared" si="17"/>
        <v>0</v>
      </c>
      <c r="AM74" s="161"/>
      <c r="AN74" s="725">
        <f t="shared" si="18"/>
        <v>0</v>
      </c>
      <c r="AO74" s="161"/>
      <c r="AP74" s="725">
        <f t="shared" si="19"/>
        <v>0</v>
      </c>
      <c r="AQ74" s="161"/>
      <c r="AR74" s="725">
        <f t="shared" si="20"/>
        <v>0</v>
      </c>
      <c r="AS74" s="161"/>
      <c r="AT74" s="725">
        <f t="shared" si="21"/>
        <v>0</v>
      </c>
      <c r="AU74" s="161"/>
      <c r="AV74" s="725">
        <f t="shared" si="22"/>
        <v>0</v>
      </c>
      <c r="AW74" s="161"/>
      <c r="AX74" s="725">
        <f t="shared" si="23"/>
        <v>0</v>
      </c>
      <c r="AY74" s="161"/>
      <c r="AZ74" s="725">
        <f t="shared" si="24"/>
        <v>0</v>
      </c>
      <c r="BA74" s="161"/>
      <c r="BB74" s="725">
        <f t="shared" si="25"/>
        <v>0</v>
      </c>
      <c r="BC74" s="161"/>
      <c r="BD74" s="725">
        <f t="shared" si="26"/>
        <v>0</v>
      </c>
      <c r="BE74" s="161"/>
      <c r="BF74" s="725">
        <f t="shared" si="27"/>
        <v>0</v>
      </c>
      <c r="BG74" s="161"/>
      <c r="BH74" s="725">
        <f t="shared" si="28"/>
        <v>0</v>
      </c>
      <c r="BI74" s="156"/>
      <c r="BJ74" s="156"/>
      <c r="BK74" s="157"/>
      <c r="BL74" s="53"/>
      <c r="BM74" s="53"/>
      <c r="BN74" s="53"/>
    </row>
    <row r="75" spans="1:66" ht="15.75" x14ac:dyDescent="0.25">
      <c r="A75" s="53"/>
      <c r="B75" s="168"/>
      <c r="C75" s="152"/>
      <c r="D75" s="153">
        <v>9</v>
      </c>
      <c r="E75" s="154"/>
      <c r="F75" s="725">
        <f t="shared" si="2"/>
        <v>0</v>
      </c>
      <c r="G75" s="161"/>
      <c r="H75" s="725">
        <f t="shared" si="1"/>
        <v>0</v>
      </c>
      <c r="I75" s="161"/>
      <c r="J75" s="725">
        <f t="shared" si="3"/>
        <v>0</v>
      </c>
      <c r="K75" s="161"/>
      <c r="L75" s="725">
        <f t="shared" si="4"/>
        <v>0</v>
      </c>
      <c r="M75" s="161"/>
      <c r="N75" s="725">
        <f t="shared" si="5"/>
        <v>0</v>
      </c>
      <c r="O75" s="161"/>
      <c r="P75" s="725">
        <f t="shared" si="6"/>
        <v>0</v>
      </c>
      <c r="Q75" s="161"/>
      <c r="R75" s="725">
        <f t="shared" si="7"/>
        <v>0</v>
      </c>
      <c r="S75" s="161"/>
      <c r="T75" s="725">
        <f t="shared" si="8"/>
        <v>0</v>
      </c>
      <c r="U75" s="161"/>
      <c r="V75" s="725">
        <f t="shared" si="9"/>
        <v>0</v>
      </c>
      <c r="W75" s="161"/>
      <c r="X75" s="725">
        <f t="shared" si="10"/>
        <v>0</v>
      </c>
      <c r="Y75" s="161"/>
      <c r="Z75" s="725">
        <f t="shared" si="11"/>
        <v>0</v>
      </c>
      <c r="AA75" s="161"/>
      <c r="AB75" s="725">
        <f t="shared" si="12"/>
        <v>0</v>
      </c>
      <c r="AC75" s="161"/>
      <c r="AD75" s="725">
        <f t="shared" si="13"/>
        <v>0</v>
      </c>
      <c r="AE75" s="161"/>
      <c r="AF75" s="725">
        <f t="shared" si="14"/>
        <v>0</v>
      </c>
      <c r="AG75" s="161"/>
      <c r="AH75" s="725">
        <f t="shared" si="15"/>
        <v>0</v>
      </c>
      <c r="AI75" s="161"/>
      <c r="AJ75" s="725">
        <f t="shared" si="16"/>
        <v>0</v>
      </c>
      <c r="AK75" s="161"/>
      <c r="AL75" s="725">
        <f t="shared" si="17"/>
        <v>0</v>
      </c>
      <c r="AM75" s="161"/>
      <c r="AN75" s="725">
        <f t="shared" si="18"/>
        <v>0</v>
      </c>
      <c r="AO75" s="161"/>
      <c r="AP75" s="725">
        <f t="shared" si="19"/>
        <v>0</v>
      </c>
      <c r="AQ75" s="161"/>
      <c r="AR75" s="725">
        <f t="shared" si="20"/>
        <v>0</v>
      </c>
      <c r="AS75" s="161"/>
      <c r="AT75" s="725">
        <f t="shared" si="21"/>
        <v>0</v>
      </c>
      <c r="AU75" s="161"/>
      <c r="AV75" s="725">
        <f t="shared" si="22"/>
        <v>0</v>
      </c>
      <c r="AW75" s="161"/>
      <c r="AX75" s="725">
        <f t="shared" si="23"/>
        <v>0</v>
      </c>
      <c r="AY75" s="161"/>
      <c r="AZ75" s="725">
        <f t="shared" si="24"/>
        <v>0</v>
      </c>
      <c r="BA75" s="161"/>
      <c r="BB75" s="725">
        <f t="shared" si="25"/>
        <v>0</v>
      </c>
      <c r="BC75" s="161"/>
      <c r="BD75" s="725">
        <f t="shared" si="26"/>
        <v>0</v>
      </c>
      <c r="BE75" s="161"/>
      <c r="BF75" s="725">
        <f t="shared" si="27"/>
        <v>0</v>
      </c>
      <c r="BG75" s="161"/>
      <c r="BH75" s="725">
        <f t="shared" si="28"/>
        <v>0</v>
      </c>
      <c r="BI75" s="156"/>
      <c r="BJ75" s="156"/>
      <c r="BK75" s="157"/>
      <c r="BL75" s="53"/>
      <c r="BM75" s="53"/>
      <c r="BN75" s="53"/>
    </row>
    <row r="76" spans="1:66" ht="15.75" x14ac:dyDescent="0.25">
      <c r="A76" s="53"/>
      <c r="B76" s="168"/>
      <c r="C76" s="152"/>
      <c r="D76" s="153">
        <v>10</v>
      </c>
      <c r="E76" s="154"/>
      <c r="F76" s="725">
        <f t="shared" si="2"/>
        <v>0</v>
      </c>
      <c r="G76" s="161"/>
      <c r="H76" s="725">
        <f t="shared" si="1"/>
        <v>0</v>
      </c>
      <c r="I76" s="161"/>
      <c r="J76" s="725">
        <f t="shared" si="3"/>
        <v>0</v>
      </c>
      <c r="K76" s="161"/>
      <c r="L76" s="725">
        <f t="shared" si="4"/>
        <v>0</v>
      </c>
      <c r="M76" s="161"/>
      <c r="N76" s="725">
        <f t="shared" si="5"/>
        <v>0</v>
      </c>
      <c r="O76" s="161"/>
      <c r="P76" s="725">
        <f t="shared" si="6"/>
        <v>0</v>
      </c>
      <c r="Q76" s="161"/>
      <c r="R76" s="725">
        <f t="shared" si="7"/>
        <v>0</v>
      </c>
      <c r="S76" s="161"/>
      <c r="T76" s="725">
        <f t="shared" si="8"/>
        <v>0</v>
      </c>
      <c r="U76" s="161"/>
      <c r="V76" s="725">
        <f t="shared" si="9"/>
        <v>0</v>
      </c>
      <c r="W76" s="161"/>
      <c r="X76" s="725">
        <f t="shared" si="10"/>
        <v>0</v>
      </c>
      <c r="Y76" s="161"/>
      <c r="Z76" s="725">
        <f t="shared" si="11"/>
        <v>0</v>
      </c>
      <c r="AA76" s="161"/>
      <c r="AB76" s="725">
        <f t="shared" si="12"/>
        <v>0</v>
      </c>
      <c r="AC76" s="161"/>
      <c r="AD76" s="725">
        <f t="shared" si="13"/>
        <v>0</v>
      </c>
      <c r="AE76" s="161"/>
      <c r="AF76" s="725">
        <f t="shared" si="14"/>
        <v>0</v>
      </c>
      <c r="AG76" s="161"/>
      <c r="AH76" s="725">
        <f t="shared" si="15"/>
        <v>0</v>
      </c>
      <c r="AI76" s="161"/>
      <c r="AJ76" s="725">
        <f t="shared" si="16"/>
        <v>0</v>
      </c>
      <c r="AK76" s="161"/>
      <c r="AL76" s="725">
        <f t="shared" si="17"/>
        <v>0</v>
      </c>
      <c r="AM76" s="161"/>
      <c r="AN76" s="725">
        <f t="shared" si="18"/>
        <v>0</v>
      </c>
      <c r="AO76" s="161"/>
      <c r="AP76" s="725">
        <f t="shared" si="19"/>
        <v>0</v>
      </c>
      <c r="AQ76" s="161"/>
      <c r="AR76" s="725">
        <f t="shared" si="20"/>
        <v>0</v>
      </c>
      <c r="AS76" s="161"/>
      <c r="AT76" s="725">
        <f t="shared" si="21"/>
        <v>0</v>
      </c>
      <c r="AU76" s="161"/>
      <c r="AV76" s="725">
        <f t="shared" si="22"/>
        <v>0</v>
      </c>
      <c r="AW76" s="161"/>
      <c r="AX76" s="725">
        <f t="shared" si="23"/>
        <v>0</v>
      </c>
      <c r="AY76" s="161"/>
      <c r="AZ76" s="725">
        <f t="shared" si="24"/>
        <v>0</v>
      </c>
      <c r="BA76" s="161"/>
      <c r="BB76" s="725">
        <f t="shared" si="25"/>
        <v>0</v>
      </c>
      <c r="BC76" s="161"/>
      <c r="BD76" s="725">
        <f t="shared" si="26"/>
        <v>0</v>
      </c>
      <c r="BE76" s="161"/>
      <c r="BF76" s="725">
        <f t="shared" si="27"/>
        <v>0</v>
      </c>
      <c r="BG76" s="161"/>
      <c r="BH76" s="725">
        <f t="shared" si="28"/>
        <v>0</v>
      </c>
      <c r="BI76" s="156"/>
      <c r="BJ76" s="156"/>
      <c r="BK76" s="157"/>
      <c r="BL76" s="53"/>
      <c r="BM76" s="53"/>
      <c r="BN76" s="53"/>
    </row>
    <row r="77" spans="1:66" ht="15.75" x14ac:dyDescent="0.25">
      <c r="A77" s="53"/>
      <c r="B77" s="168"/>
      <c r="C77" s="152"/>
      <c r="D77" s="153">
        <v>11</v>
      </c>
      <c r="E77" s="154"/>
      <c r="F77" s="725">
        <f t="shared" si="2"/>
        <v>0</v>
      </c>
      <c r="G77" s="161"/>
      <c r="H77" s="725">
        <f t="shared" si="1"/>
        <v>0</v>
      </c>
      <c r="I77" s="161"/>
      <c r="J77" s="725">
        <f t="shared" si="3"/>
        <v>0</v>
      </c>
      <c r="K77" s="161"/>
      <c r="L77" s="725">
        <f t="shared" si="4"/>
        <v>0</v>
      </c>
      <c r="M77" s="161"/>
      <c r="N77" s="725">
        <f t="shared" si="5"/>
        <v>0</v>
      </c>
      <c r="O77" s="161"/>
      <c r="P77" s="725">
        <f t="shared" si="6"/>
        <v>0</v>
      </c>
      <c r="Q77" s="161"/>
      <c r="R77" s="725">
        <f t="shared" si="7"/>
        <v>0</v>
      </c>
      <c r="S77" s="161"/>
      <c r="T77" s="725">
        <f t="shared" si="8"/>
        <v>0</v>
      </c>
      <c r="U77" s="161"/>
      <c r="V77" s="725">
        <f t="shared" si="9"/>
        <v>0</v>
      </c>
      <c r="W77" s="161"/>
      <c r="X77" s="725">
        <f t="shared" si="10"/>
        <v>0</v>
      </c>
      <c r="Y77" s="161"/>
      <c r="Z77" s="725">
        <f t="shared" si="11"/>
        <v>0</v>
      </c>
      <c r="AA77" s="161"/>
      <c r="AB77" s="725">
        <f t="shared" si="12"/>
        <v>0</v>
      </c>
      <c r="AC77" s="161"/>
      <c r="AD77" s="725">
        <f t="shared" si="13"/>
        <v>0</v>
      </c>
      <c r="AE77" s="161"/>
      <c r="AF77" s="725">
        <f t="shared" si="14"/>
        <v>0</v>
      </c>
      <c r="AG77" s="161"/>
      <c r="AH77" s="725">
        <f t="shared" si="15"/>
        <v>0</v>
      </c>
      <c r="AI77" s="161"/>
      <c r="AJ77" s="725">
        <f t="shared" si="16"/>
        <v>0</v>
      </c>
      <c r="AK77" s="161"/>
      <c r="AL77" s="725">
        <f t="shared" si="17"/>
        <v>0</v>
      </c>
      <c r="AM77" s="161"/>
      <c r="AN77" s="725">
        <f t="shared" si="18"/>
        <v>0</v>
      </c>
      <c r="AO77" s="161"/>
      <c r="AP77" s="725">
        <f t="shared" si="19"/>
        <v>0</v>
      </c>
      <c r="AQ77" s="161"/>
      <c r="AR77" s="725">
        <f t="shared" si="20"/>
        <v>0</v>
      </c>
      <c r="AS77" s="161"/>
      <c r="AT77" s="725">
        <f t="shared" si="21"/>
        <v>0</v>
      </c>
      <c r="AU77" s="161"/>
      <c r="AV77" s="725">
        <f t="shared" si="22"/>
        <v>0</v>
      </c>
      <c r="AW77" s="161"/>
      <c r="AX77" s="725">
        <f t="shared" si="23"/>
        <v>0</v>
      </c>
      <c r="AY77" s="161"/>
      <c r="AZ77" s="725">
        <f t="shared" si="24"/>
        <v>0</v>
      </c>
      <c r="BA77" s="161"/>
      <c r="BB77" s="725">
        <f t="shared" si="25"/>
        <v>0</v>
      </c>
      <c r="BC77" s="161"/>
      <c r="BD77" s="725">
        <f t="shared" si="26"/>
        <v>0</v>
      </c>
      <c r="BE77" s="161"/>
      <c r="BF77" s="725">
        <f t="shared" si="27"/>
        <v>0</v>
      </c>
      <c r="BG77" s="161"/>
      <c r="BH77" s="725">
        <f t="shared" si="28"/>
        <v>0</v>
      </c>
      <c r="BI77" s="156"/>
      <c r="BJ77" s="156"/>
      <c r="BK77" s="157"/>
      <c r="BL77" s="53"/>
      <c r="BM77" s="53"/>
      <c r="BN77" s="53"/>
    </row>
    <row r="78" spans="1:66" ht="15.75" x14ac:dyDescent="0.25">
      <c r="A78" s="53"/>
      <c r="B78" s="168"/>
      <c r="C78" s="152"/>
      <c r="D78" s="153">
        <v>12</v>
      </c>
      <c r="E78" s="154"/>
      <c r="F78" s="725">
        <f t="shared" si="2"/>
        <v>0</v>
      </c>
      <c r="G78" s="161"/>
      <c r="H78" s="725">
        <f t="shared" si="1"/>
        <v>0</v>
      </c>
      <c r="I78" s="161"/>
      <c r="J78" s="725">
        <f t="shared" si="3"/>
        <v>0</v>
      </c>
      <c r="K78" s="161"/>
      <c r="L78" s="725">
        <f t="shared" si="4"/>
        <v>0</v>
      </c>
      <c r="M78" s="161"/>
      <c r="N78" s="725">
        <f t="shared" si="5"/>
        <v>0</v>
      </c>
      <c r="O78" s="161"/>
      <c r="P78" s="725">
        <f t="shared" si="6"/>
        <v>0</v>
      </c>
      <c r="Q78" s="161"/>
      <c r="R78" s="725">
        <f t="shared" si="7"/>
        <v>0</v>
      </c>
      <c r="S78" s="161"/>
      <c r="T78" s="725">
        <f t="shared" si="8"/>
        <v>0</v>
      </c>
      <c r="U78" s="161"/>
      <c r="V78" s="725">
        <f t="shared" si="9"/>
        <v>0</v>
      </c>
      <c r="W78" s="161"/>
      <c r="X78" s="725">
        <f t="shared" si="10"/>
        <v>0</v>
      </c>
      <c r="Y78" s="161"/>
      <c r="Z78" s="725">
        <f t="shared" si="11"/>
        <v>0</v>
      </c>
      <c r="AA78" s="161"/>
      <c r="AB78" s="725">
        <f t="shared" si="12"/>
        <v>0</v>
      </c>
      <c r="AC78" s="161"/>
      <c r="AD78" s="725">
        <f t="shared" si="13"/>
        <v>0</v>
      </c>
      <c r="AE78" s="161"/>
      <c r="AF78" s="725">
        <f t="shared" si="14"/>
        <v>0</v>
      </c>
      <c r="AG78" s="161"/>
      <c r="AH78" s="725">
        <f t="shared" si="15"/>
        <v>0</v>
      </c>
      <c r="AI78" s="161"/>
      <c r="AJ78" s="725">
        <f t="shared" si="16"/>
        <v>0</v>
      </c>
      <c r="AK78" s="161"/>
      <c r="AL78" s="725">
        <f t="shared" si="17"/>
        <v>0</v>
      </c>
      <c r="AM78" s="161"/>
      <c r="AN78" s="725">
        <f t="shared" si="18"/>
        <v>0</v>
      </c>
      <c r="AO78" s="161"/>
      <c r="AP78" s="725">
        <f t="shared" si="19"/>
        <v>0</v>
      </c>
      <c r="AQ78" s="161"/>
      <c r="AR78" s="725">
        <f t="shared" si="20"/>
        <v>0</v>
      </c>
      <c r="AS78" s="161"/>
      <c r="AT78" s="725">
        <f t="shared" si="21"/>
        <v>0</v>
      </c>
      <c r="AU78" s="161"/>
      <c r="AV78" s="725">
        <f t="shared" si="22"/>
        <v>0</v>
      </c>
      <c r="AW78" s="161"/>
      <c r="AX78" s="725">
        <f t="shared" si="23"/>
        <v>0</v>
      </c>
      <c r="AY78" s="161"/>
      <c r="AZ78" s="725">
        <f t="shared" si="24"/>
        <v>0</v>
      </c>
      <c r="BA78" s="161"/>
      <c r="BB78" s="725">
        <f t="shared" si="25"/>
        <v>0</v>
      </c>
      <c r="BC78" s="161"/>
      <c r="BD78" s="725">
        <f t="shared" si="26"/>
        <v>0</v>
      </c>
      <c r="BE78" s="161"/>
      <c r="BF78" s="725">
        <f t="shared" si="27"/>
        <v>0</v>
      </c>
      <c r="BG78" s="161"/>
      <c r="BH78" s="725">
        <f t="shared" si="28"/>
        <v>0</v>
      </c>
      <c r="BI78" s="156"/>
      <c r="BJ78" s="156"/>
      <c r="BK78" s="157"/>
      <c r="BL78" s="53"/>
      <c r="BM78" s="53"/>
      <c r="BN78" s="53"/>
    </row>
    <row r="79" spans="1:66" ht="15.75" x14ac:dyDescent="0.25">
      <c r="A79" s="53"/>
      <c r="B79" s="168"/>
      <c r="C79" s="152"/>
      <c r="D79" s="153">
        <v>13</v>
      </c>
      <c r="E79" s="154"/>
      <c r="F79" s="725">
        <f t="shared" si="2"/>
        <v>0</v>
      </c>
      <c r="G79" s="161"/>
      <c r="H79" s="725">
        <f t="shared" si="1"/>
        <v>0</v>
      </c>
      <c r="I79" s="161"/>
      <c r="J79" s="725">
        <f t="shared" si="3"/>
        <v>0</v>
      </c>
      <c r="K79" s="161"/>
      <c r="L79" s="725">
        <f t="shared" si="4"/>
        <v>0</v>
      </c>
      <c r="M79" s="161"/>
      <c r="N79" s="725">
        <f t="shared" si="5"/>
        <v>0</v>
      </c>
      <c r="O79" s="161"/>
      <c r="P79" s="725">
        <f t="shared" si="6"/>
        <v>0</v>
      </c>
      <c r="Q79" s="161"/>
      <c r="R79" s="725">
        <f t="shared" si="7"/>
        <v>0</v>
      </c>
      <c r="S79" s="161"/>
      <c r="T79" s="725">
        <f t="shared" si="8"/>
        <v>0</v>
      </c>
      <c r="U79" s="161"/>
      <c r="V79" s="725">
        <f t="shared" si="9"/>
        <v>0</v>
      </c>
      <c r="W79" s="161"/>
      <c r="X79" s="725">
        <f t="shared" si="10"/>
        <v>0</v>
      </c>
      <c r="Y79" s="161"/>
      <c r="Z79" s="725">
        <f t="shared" si="11"/>
        <v>0</v>
      </c>
      <c r="AA79" s="161"/>
      <c r="AB79" s="725">
        <f t="shared" si="12"/>
        <v>0</v>
      </c>
      <c r="AC79" s="161"/>
      <c r="AD79" s="725">
        <f t="shared" si="13"/>
        <v>0</v>
      </c>
      <c r="AE79" s="161"/>
      <c r="AF79" s="725">
        <f t="shared" si="14"/>
        <v>0</v>
      </c>
      <c r="AG79" s="161"/>
      <c r="AH79" s="725">
        <f t="shared" si="15"/>
        <v>0</v>
      </c>
      <c r="AI79" s="161"/>
      <c r="AJ79" s="725">
        <f t="shared" si="16"/>
        <v>0</v>
      </c>
      <c r="AK79" s="161"/>
      <c r="AL79" s="725">
        <f t="shared" si="17"/>
        <v>0</v>
      </c>
      <c r="AM79" s="161"/>
      <c r="AN79" s="725">
        <f t="shared" si="18"/>
        <v>0</v>
      </c>
      <c r="AO79" s="161"/>
      <c r="AP79" s="725">
        <f t="shared" si="19"/>
        <v>0</v>
      </c>
      <c r="AQ79" s="161"/>
      <c r="AR79" s="725">
        <f t="shared" si="20"/>
        <v>0</v>
      </c>
      <c r="AS79" s="161"/>
      <c r="AT79" s="725">
        <f t="shared" si="21"/>
        <v>0</v>
      </c>
      <c r="AU79" s="161"/>
      <c r="AV79" s="725">
        <f t="shared" si="22"/>
        <v>0</v>
      </c>
      <c r="AW79" s="161"/>
      <c r="AX79" s="725">
        <f t="shared" si="23"/>
        <v>0</v>
      </c>
      <c r="AY79" s="161"/>
      <c r="AZ79" s="725">
        <f t="shared" si="24"/>
        <v>0</v>
      </c>
      <c r="BA79" s="161"/>
      <c r="BB79" s="725">
        <f t="shared" si="25"/>
        <v>0</v>
      </c>
      <c r="BC79" s="161"/>
      <c r="BD79" s="725">
        <f t="shared" si="26"/>
        <v>0</v>
      </c>
      <c r="BE79" s="161"/>
      <c r="BF79" s="725">
        <f t="shared" si="27"/>
        <v>0</v>
      </c>
      <c r="BG79" s="161"/>
      <c r="BH79" s="725">
        <f t="shared" si="28"/>
        <v>0</v>
      </c>
      <c r="BI79" s="156"/>
      <c r="BJ79" s="156"/>
      <c r="BK79" s="157"/>
      <c r="BL79" s="53"/>
      <c r="BM79" s="53"/>
      <c r="BN79" s="53"/>
    </row>
    <row r="80" spans="1:66" ht="15.75" x14ac:dyDescent="0.25">
      <c r="A80" s="53"/>
      <c r="B80" s="168"/>
      <c r="C80" s="152"/>
      <c r="D80" s="153">
        <v>14</v>
      </c>
      <c r="E80" s="154"/>
      <c r="F80" s="725">
        <f t="shared" si="2"/>
        <v>0</v>
      </c>
      <c r="G80" s="161"/>
      <c r="H80" s="725">
        <f t="shared" si="1"/>
        <v>0</v>
      </c>
      <c r="I80" s="161"/>
      <c r="J80" s="725">
        <f t="shared" si="3"/>
        <v>0</v>
      </c>
      <c r="K80" s="161"/>
      <c r="L80" s="725">
        <f t="shared" si="4"/>
        <v>0</v>
      </c>
      <c r="M80" s="161"/>
      <c r="N80" s="725">
        <f t="shared" si="5"/>
        <v>0</v>
      </c>
      <c r="O80" s="161"/>
      <c r="P80" s="725">
        <f t="shared" si="6"/>
        <v>0</v>
      </c>
      <c r="Q80" s="161"/>
      <c r="R80" s="725">
        <f t="shared" si="7"/>
        <v>0</v>
      </c>
      <c r="S80" s="161"/>
      <c r="T80" s="725">
        <f t="shared" si="8"/>
        <v>0</v>
      </c>
      <c r="U80" s="161"/>
      <c r="V80" s="725">
        <f t="shared" si="9"/>
        <v>0</v>
      </c>
      <c r="W80" s="161"/>
      <c r="X80" s="725">
        <f t="shared" si="10"/>
        <v>0</v>
      </c>
      <c r="Y80" s="161"/>
      <c r="Z80" s="725">
        <f t="shared" si="11"/>
        <v>0</v>
      </c>
      <c r="AA80" s="161"/>
      <c r="AB80" s="725">
        <f t="shared" si="12"/>
        <v>0</v>
      </c>
      <c r="AC80" s="161"/>
      <c r="AD80" s="725">
        <f t="shared" si="13"/>
        <v>0</v>
      </c>
      <c r="AE80" s="161"/>
      <c r="AF80" s="725">
        <f t="shared" si="14"/>
        <v>0</v>
      </c>
      <c r="AG80" s="161"/>
      <c r="AH80" s="725">
        <f t="shared" si="15"/>
        <v>0</v>
      </c>
      <c r="AI80" s="161"/>
      <c r="AJ80" s="725">
        <f t="shared" si="16"/>
        <v>0</v>
      </c>
      <c r="AK80" s="161"/>
      <c r="AL80" s="725">
        <f t="shared" si="17"/>
        <v>0</v>
      </c>
      <c r="AM80" s="161"/>
      <c r="AN80" s="725">
        <f t="shared" si="18"/>
        <v>0</v>
      </c>
      <c r="AO80" s="161"/>
      <c r="AP80" s="725">
        <f t="shared" si="19"/>
        <v>0</v>
      </c>
      <c r="AQ80" s="161"/>
      <c r="AR80" s="725">
        <f t="shared" si="20"/>
        <v>0</v>
      </c>
      <c r="AS80" s="161"/>
      <c r="AT80" s="725">
        <f t="shared" si="21"/>
        <v>0</v>
      </c>
      <c r="AU80" s="161"/>
      <c r="AV80" s="725">
        <f t="shared" si="22"/>
        <v>0</v>
      </c>
      <c r="AW80" s="161"/>
      <c r="AX80" s="725">
        <f t="shared" si="23"/>
        <v>0</v>
      </c>
      <c r="AY80" s="161"/>
      <c r="AZ80" s="725">
        <f t="shared" si="24"/>
        <v>0</v>
      </c>
      <c r="BA80" s="161"/>
      <c r="BB80" s="725">
        <f t="shared" si="25"/>
        <v>0</v>
      </c>
      <c r="BC80" s="161"/>
      <c r="BD80" s="725">
        <f t="shared" si="26"/>
        <v>0</v>
      </c>
      <c r="BE80" s="161"/>
      <c r="BF80" s="725">
        <f t="shared" si="27"/>
        <v>0</v>
      </c>
      <c r="BG80" s="161"/>
      <c r="BH80" s="725">
        <f t="shared" si="28"/>
        <v>0</v>
      </c>
      <c r="BI80" s="156"/>
      <c r="BJ80" s="156"/>
      <c r="BK80" s="157"/>
      <c r="BL80" s="53"/>
      <c r="BM80" s="53"/>
      <c r="BN80" s="53"/>
    </row>
    <row r="81" spans="1:66" ht="15.75" x14ac:dyDescent="0.25">
      <c r="A81" s="53"/>
      <c r="B81" s="168"/>
      <c r="C81" s="152"/>
      <c r="D81" s="153">
        <v>15</v>
      </c>
      <c r="E81" s="154"/>
      <c r="F81" s="725">
        <f t="shared" si="2"/>
        <v>0</v>
      </c>
      <c r="G81" s="161"/>
      <c r="H81" s="725">
        <f t="shared" si="1"/>
        <v>0</v>
      </c>
      <c r="I81" s="161"/>
      <c r="J81" s="725">
        <f t="shared" si="3"/>
        <v>0</v>
      </c>
      <c r="K81" s="161"/>
      <c r="L81" s="725">
        <f t="shared" si="4"/>
        <v>0</v>
      </c>
      <c r="M81" s="161"/>
      <c r="N81" s="725">
        <f t="shared" si="5"/>
        <v>0</v>
      </c>
      <c r="O81" s="161"/>
      <c r="P81" s="725">
        <f t="shared" si="6"/>
        <v>0</v>
      </c>
      <c r="Q81" s="161"/>
      <c r="R81" s="725">
        <f t="shared" si="7"/>
        <v>0</v>
      </c>
      <c r="S81" s="161"/>
      <c r="T81" s="725">
        <f t="shared" si="8"/>
        <v>0</v>
      </c>
      <c r="U81" s="161"/>
      <c r="V81" s="725">
        <f t="shared" si="9"/>
        <v>0</v>
      </c>
      <c r="W81" s="161"/>
      <c r="X81" s="725">
        <f t="shared" si="10"/>
        <v>0</v>
      </c>
      <c r="Y81" s="161"/>
      <c r="Z81" s="725">
        <f t="shared" si="11"/>
        <v>0</v>
      </c>
      <c r="AA81" s="161"/>
      <c r="AB81" s="725">
        <f t="shared" si="12"/>
        <v>0</v>
      </c>
      <c r="AC81" s="161"/>
      <c r="AD81" s="725">
        <f t="shared" si="13"/>
        <v>0</v>
      </c>
      <c r="AE81" s="161"/>
      <c r="AF81" s="725">
        <f t="shared" si="14"/>
        <v>0</v>
      </c>
      <c r="AG81" s="161"/>
      <c r="AH81" s="725">
        <f t="shared" si="15"/>
        <v>0</v>
      </c>
      <c r="AI81" s="161"/>
      <c r="AJ81" s="725">
        <f t="shared" si="16"/>
        <v>0</v>
      </c>
      <c r="AK81" s="161"/>
      <c r="AL81" s="725">
        <f t="shared" si="17"/>
        <v>0</v>
      </c>
      <c r="AM81" s="161"/>
      <c r="AN81" s="725">
        <f t="shared" si="18"/>
        <v>0</v>
      </c>
      <c r="AO81" s="161"/>
      <c r="AP81" s="725">
        <f t="shared" si="19"/>
        <v>0</v>
      </c>
      <c r="AQ81" s="161"/>
      <c r="AR81" s="725">
        <f t="shared" si="20"/>
        <v>0</v>
      </c>
      <c r="AS81" s="161"/>
      <c r="AT81" s="725">
        <f t="shared" si="21"/>
        <v>0</v>
      </c>
      <c r="AU81" s="161"/>
      <c r="AV81" s="725">
        <f t="shared" si="22"/>
        <v>0</v>
      </c>
      <c r="AW81" s="161"/>
      <c r="AX81" s="725">
        <f t="shared" si="23"/>
        <v>0</v>
      </c>
      <c r="AY81" s="161"/>
      <c r="AZ81" s="725">
        <f t="shared" si="24"/>
        <v>0</v>
      </c>
      <c r="BA81" s="161"/>
      <c r="BB81" s="725">
        <f t="shared" si="25"/>
        <v>0</v>
      </c>
      <c r="BC81" s="161"/>
      <c r="BD81" s="725">
        <f t="shared" si="26"/>
        <v>0</v>
      </c>
      <c r="BE81" s="161"/>
      <c r="BF81" s="725">
        <f t="shared" si="27"/>
        <v>0</v>
      </c>
      <c r="BG81" s="161"/>
      <c r="BH81" s="725">
        <f t="shared" si="28"/>
        <v>0</v>
      </c>
      <c r="BI81" s="156"/>
      <c r="BJ81" s="156"/>
      <c r="BK81" s="157"/>
      <c r="BL81" s="53"/>
      <c r="BM81" s="53"/>
      <c r="BN81" s="53"/>
    </row>
    <row r="82" spans="1:66" ht="15.75" x14ac:dyDescent="0.25">
      <c r="A82" s="53"/>
      <c r="B82" s="168"/>
      <c r="C82" s="152"/>
      <c r="D82" s="153">
        <v>16</v>
      </c>
      <c r="E82" s="154"/>
      <c r="F82" s="725">
        <f t="shared" si="2"/>
        <v>0</v>
      </c>
      <c r="G82" s="161"/>
      <c r="H82" s="725">
        <f t="shared" si="1"/>
        <v>0</v>
      </c>
      <c r="I82" s="161"/>
      <c r="J82" s="725">
        <f t="shared" si="3"/>
        <v>0</v>
      </c>
      <c r="K82" s="161"/>
      <c r="L82" s="725">
        <f t="shared" si="4"/>
        <v>0</v>
      </c>
      <c r="M82" s="161"/>
      <c r="N82" s="725">
        <f t="shared" si="5"/>
        <v>0</v>
      </c>
      <c r="O82" s="161"/>
      <c r="P82" s="725">
        <f t="shared" si="6"/>
        <v>0</v>
      </c>
      <c r="Q82" s="161"/>
      <c r="R82" s="725">
        <f t="shared" si="7"/>
        <v>0</v>
      </c>
      <c r="S82" s="161"/>
      <c r="T82" s="725">
        <f t="shared" si="8"/>
        <v>0</v>
      </c>
      <c r="U82" s="161"/>
      <c r="V82" s="725">
        <f t="shared" si="9"/>
        <v>0</v>
      </c>
      <c r="W82" s="161"/>
      <c r="X82" s="725">
        <f t="shared" si="10"/>
        <v>0</v>
      </c>
      <c r="Y82" s="161"/>
      <c r="Z82" s="725">
        <f t="shared" si="11"/>
        <v>0</v>
      </c>
      <c r="AA82" s="161"/>
      <c r="AB82" s="725">
        <f t="shared" si="12"/>
        <v>0</v>
      </c>
      <c r="AC82" s="161"/>
      <c r="AD82" s="725">
        <f t="shared" si="13"/>
        <v>0</v>
      </c>
      <c r="AE82" s="161"/>
      <c r="AF82" s="725">
        <f t="shared" si="14"/>
        <v>0</v>
      </c>
      <c r="AG82" s="161"/>
      <c r="AH82" s="725">
        <f t="shared" si="15"/>
        <v>0</v>
      </c>
      <c r="AI82" s="161"/>
      <c r="AJ82" s="725">
        <f t="shared" si="16"/>
        <v>0</v>
      </c>
      <c r="AK82" s="161"/>
      <c r="AL82" s="725">
        <f t="shared" si="17"/>
        <v>0</v>
      </c>
      <c r="AM82" s="161"/>
      <c r="AN82" s="725">
        <f t="shared" si="18"/>
        <v>0</v>
      </c>
      <c r="AO82" s="161"/>
      <c r="AP82" s="725">
        <f t="shared" si="19"/>
        <v>0</v>
      </c>
      <c r="AQ82" s="161"/>
      <c r="AR82" s="725">
        <f t="shared" si="20"/>
        <v>0</v>
      </c>
      <c r="AS82" s="161"/>
      <c r="AT82" s="725">
        <f t="shared" si="21"/>
        <v>0</v>
      </c>
      <c r="AU82" s="161"/>
      <c r="AV82" s="725">
        <f t="shared" si="22"/>
        <v>0</v>
      </c>
      <c r="AW82" s="161"/>
      <c r="AX82" s="725">
        <f t="shared" si="23"/>
        <v>0</v>
      </c>
      <c r="AY82" s="161"/>
      <c r="AZ82" s="725">
        <f t="shared" si="24"/>
        <v>0</v>
      </c>
      <c r="BA82" s="161"/>
      <c r="BB82" s="725">
        <f t="shared" si="25"/>
        <v>0</v>
      </c>
      <c r="BC82" s="161"/>
      <c r="BD82" s="725">
        <f t="shared" si="26"/>
        <v>0</v>
      </c>
      <c r="BE82" s="161"/>
      <c r="BF82" s="725">
        <f t="shared" si="27"/>
        <v>0</v>
      </c>
      <c r="BG82" s="161"/>
      <c r="BH82" s="725">
        <f t="shared" si="28"/>
        <v>0</v>
      </c>
      <c r="BI82" s="156"/>
      <c r="BJ82" s="156"/>
      <c r="BK82" s="157"/>
      <c r="BL82" s="53"/>
      <c r="BM82" s="53"/>
      <c r="BN82" s="53"/>
    </row>
    <row r="83" spans="1:66" ht="15.75" x14ac:dyDescent="0.25">
      <c r="A83" s="53"/>
      <c r="B83" s="168"/>
      <c r="C83" s="152"/>
      <c r="D83" s="153">
        <v>17</v>
      </c>
      <c r="E83" s="154"/>
      <c r="F83" s="725">
        <f t="shared" si="2"/>
        <v>0</v>
      </c>
      <c r="G83" s="161"/>
      <c r="H83" s="725">
        <f t="shared" si="1"/>
        <v>0</v>
      </c>
      <c r="I83" s="161"/>
      <c r="J83" s="725">
        <f t="shared" si="3"/>
        <v>0</v>
      </c>
      <c r="K83" s="161"/>
      <c r="L83" s="725">
        <f t="shared" si="4"/>
        <v>0</v>
      </c>
      <c r="M83" s="161"/>
      <c r="N83" s="725">
        <f t="shared" si="5"/>
        <v>0</v>
      </c>
      <c r="O83" s="161"/>
      <c r="P83" s="725">
        <f t="shared" si="6"/>
        <v>0</v>
      </c>
      <c r="Q83" s="161"/>
      <c r="R83" s="725">
        <f t="shared" si="7"/>
        <v>0</v>
      </c>
      <c r="S83" s="161"/>
      <c r="T83" s="725">
        <f t="shared" si="8"/>
        <v>0</v>
      </c>
      <c r="U83" s="161"/>
      <c r="V83" s="725">
        <f t="shared" si="9"/>
        <v>0</v>
      </c>
      <c r="W83" s="161"/>
      <c r="X83" s="725">
        <f t="shared" si="10"/>
        <v>0</v>
      </c>
      <c r="Y83" s="161"/>
      <c r="Z83" s="725">
        <f t="shared" si="11"/>
        <v>0</v>
      </c>
      <c r="AA83" s="161"/>
      <c r="AB83" s="725">
        <f t="shared" si="12"/>
        <v>0</v>
      </c>
      <c r="AC83" s="161"/>
      <c r="AD83" s="725">
        <f t="shared" si="13"/>
        <v>0</v>
      </c>
      <c r="AE83" s="161"/>
      <c r="AF83" s="725">
        <f t="shared" si="14"/>
        <v>0</v>
      </c>
      <c r="AG83" s="161"/>
      <c r="AH83" s="725">
        <f t="shared" si="15"/>
        <v>0</v>
      </c>
      <c r="AI83" s="161"/>
      <c r="AJ83" s="725">
        <f t="shared" si="16"/>
        <v>0</v>
      </c>
      <c r="AK83" s="161"/>
      <c r="AL83" s="725">
        <f t="shared" si="17"/>
        <v>0</v>
      </c>
      <c r="AM83" s="161"/>
      <c r="AN83" s="725">
        <f t="shared" si="18"/>
        <v>0</v>
      </c>
      <c r="AO83" s="161"/>
      <c r="AP83" s="725">
        <f t="shared" si="19"/>
        <v>0</v>
      </c>
      <c r="AQ83" s="161"/>
      <c r="AR83" s="725">
        <f t="shared" si="20"/>
        <v>0</v>
      </c>
      <c r="AS83" s="161"/>
      <c r="AT83" s="725">
        <f t="shared" si="21"/>
        <v>0</v>
      </c>
      <c r="AU83" s="161"/>
      <c r="AV83" s="725">
        <f t="shared" si="22"/>
        <v>0</v>
      </c>
      <c r="AW83" s="161"/>
      <c r="AX83" s="725">
        <f t="shared" si="23"/>
        <v>0</v>
      </c>
      <c r="AY83" s="161"/>
      <c r="AZ83" s="725">
        <f t="shared" si="24"/>
        <v>0</v>
      </c>
      <c r="BA83" s="161"/>
      <c r="BB83" s="725">
        <f t="shared" si="25"/>
        <v>0</v>
      </c>
      <c r="BC83" s="161"/>
      <c r="BD83" s="725">
        <f t="shared" si="26"/>
        <v>0</v>
      </c>
      <c r="BE83" s="161"/>
      <c r="BF83" s="725">
        <f t="shared" si="27"/>
        <v>0</v>
      </c>
      <c r="BG83" s="161"/>
      <c r="BH83" s="725">
        <f t="shared" si="28"/>
        <v>0</v>
      </c>
      <c r="BI83" s="156"/>
      <c r="BJ83" s="156"/>
      <c r="BK83" s="157"/>
      <c r="BL83" s="53"/>
      <c r="BM83" s="53"/>
      <c r="BN83" s="53"/>
    </row>
    <row r="84" spans="1:66" ht="15.75" x14ac:dyDescent="0.25">
      <c r="A84" s="53"/>
      <c r="B84" s="168"/>
      <c r="C84" s="152"/>
      <c r="D84" s="153">
        <v>18</v>
      </c>
      <c r="E84" s="154"/>
      <c r="F84" s="725">
        <f t="shared" si="2"/>
        <v>0</v>
      </c>
      <c r="G84" s="161"/>
      <c r="H84" s="725">
        <f t="shared" si="1"/>
        <v>0</v>
      </c>
      <c r="I84" s="161"/>
      <c r="J84" s="725">
        <f t="shared" si="3"/>
        <v>0</v>
      </c>
      <c r="K84" s="161"/>
      <c r="L84" s="725">
        <f t="shared" si="4"/>
        <v>0</v>
      </c>
      <c r="M84" s="161"/>
      <c r="N84" s="725">
        <f t="shared" si="5"/>
        <v>0</v>
      </c>
      <c r="O84" s="161"/>
      <c r="P84" s="725">
        <f t="shared" si="6"/>
        <v>0</v>
      </c>
      <c r="Q84" s="161"/>
      <c r="R84" s="725">
        <f t="shared" si="7"/>
        <v>0</v>
      </c>
      <c r="S84" s="161"/>
      <c r="T84" s="725">
        <f t="shared" si="8"/>
        <v>0</v>
      </c>
      <c r="U84" s="161"/>
      <c r="V84" s="725">
        <f t="shared" si="9"/>
        <v>0</v>
      </c>
      <c r="W84" s="161"/>
      <c r="X84" s="725">
        <f t="shared" si="10"/>
        <v>0</v>
      </c>
      <c r="Y84" s="161"/>
      <c r="Z84" s="725">
        <f t="shared" si="11"/>
        <v>0</v>
      </c>
      <c r="AA84" s="161"/>
      <c r="AB84" s="725">
        <f t="shared" si="12"/>
        <v>0</v>
      </c>
      <c r="AC84" s="161"/>
      <c r="AD84" s="725">
        <f t="shared" si="13"/>
        <v>0</v>
      </c>
      <c r="AE84" s="161"/>
      <c r="AF84" s="725">
        <f t="shared" si="14"/>
        <v>0</v>
      </c>
      <c r="AG84" s="161"/>
      <c r="AH84" s="725">
        <f t="shared" si="15"/>
        <v>0</v>
      </c>
      <c r="AI84" s="161"/>
      <c r="AJ84" s="725">
        <f t="shared" si="16"/>
        <v>0</v>
      </c>
      <c r="AK84" s="161"/>
      <c r="AL84" s="725">
        <f t="shared" si="17"/>
        <v>0</v>
      </c>
      <c r="AM84" s="161"/>
      <c r="AN84" s="725">
        <f t="shared" si="18"/>
        <v>0</v>
      </c>
      <c r="AO84" s="161"/>
      <c r="AP84" s="725">
        <f t="shared" si="19"/>
        <v>0</v>
      </c>
      <c r="AQ84" s="161"/>
      <c r="AR84" s="725">
        <f t="shared" si="20"/>
        <v>0</v>
      </c>
      <c r="AS84" s="161"/>
      <c r="AT84" s="725">
        <f t="shared" si="21"/>
        <v>0</v>
      </c>
      <c r="AU84" s="161"/>
      <c r="AV84" s="725">
        <f t="shared" si="22"/>
        <v>0</v>
      </c>
      <c r="AW84" s="161"/>
      <c r="AX84" s="725">
        <f t="shared" si="23"/>
        <v>0</v>
      </c>
      <c r="AY84" s="161"/>
      <c r="AZ84" s="725">
        <f t="shared" si="24"/>
        <v>0</v>
      </c>
      <c r="BA84" s="161"/>
      <c r="BB84" s="725">
        <f t="shared" si="25"/>
        <v>0</v>
      </c>
      <c r="BC84" s="161"/>
      <c r="BD84" s="725">
        <f t="shared" si="26"/>
        <v>0</v>
      </c>
      <c r="BE84" s="161"/>
      <c r="BF84" s="725">
        <f t="shared" si="27"/>
        <v>0</v>
      </c>
      <c r="BG84" s="161"/>
      <c r="BH84" s="725">
        <f t="shared" si="28"/>
        <v>0</v>
      </c>
      <c r="BI84" s="156"/>
      <c r="BJ84" s="156"/>
      <c r="BK84" s="157"/>
      <c r="BL84" s="53"/>
      <c r="BM84" s="53"/>
      <c r="BN84" s="53"/>
    </row>
    <row r="85" spans="1:66" ht="15.75" x14ac:dyDescent="0.25">
      <c r="A85" s="53"/>
      <c r="B85" s="168"/>
      <c r="C85" s="152"/>
      <c r="D85" s="153">
        <v>19</v>
      </c>
      <c r="E85" s="154"/>
      <c r="F85" s="725">
        <f t="shared" si="2"/>
        <v>0</v>
      </c>
      <c r="G85" s="161"/>
      <c r="H85" s="725">
        <f t="shared" si="1"/>
        <v>0</v>
      </c>
      <c r="I85" s="161"/>
      <c r="J85" s="725">
        <f t="shared" si="3"/>
        <v>0</v>
      </c>
      <c r="K85" s="161"/>
      <c r="L85" s="725">
        <f t="shared" si="4"/>
        <v>0</v>
      </c>
      <c r="M85" s="161"/>
      <c r="N85" s="725">
        <f t="shared" si="5"/>
        <v>0</v>
      </c>
      <c r="O85" s="161"/>
      <c r="P85" s="725">
        <f t="shared" si="6"/>
        <v>0</v>
      </c>
      <c r="Q85" s="161"/>
      <c r="R85" s="725">
        <f t="shared" si="7"/>
        <v>0</v>
      </c>
      <c r="S85" s="161"/>
      <c r="T85" s="725">
        <f t="shared" si="8"/>
        <v>0</v>
      </c>
      <c r="U85" s="161"/>
      <c r="V85" s="725">
        <f t="shared" si="9"/>
        <v>0</v>
      </c>
      <c r="W85" s="161"/>
      <c r="X85" s="725">
        <f t="shared" si="10"/>
        <v>0</v>
      </c>
      <c r="Y85" s="161"/>
      <c r="Z85" s="725">
        <f t="shared" si="11"/>
        <v>0</v>
      </c>
      <c r="AA85" s="161"/>
      <c r="AB85" s="725">
        <f t="shared" si="12"/>
        <v>0</v>
      </c>
      <c r="AC85" s="161"/>
      <c r="AD85" s="725">
        <f t="shared" si="13"/>
        <v>0</v>
      </c>
      <c r="AE85" s="161"/>
      <c r="AF85" s="725">
        <f t="shared" si="14"/>
        <v>0</v>
      </c>
      <c r="AG85" s="161"/>
      <c r="AH85" s="725">
        <f t="shared" si="15"/>
        <v>0</v>
      </c>
      <c r="AI85" s="161"/>
      <c r="AJ85" s="725">
        <f t="shared" si="16"/>
        <v>0</v>
      </c>
      <c r="AK85" s="161"/>
      <c r="AL85" s="725">
        <f t="shared" si="17"/>
        <v>0</v>
      </c>
      <c r="AM85" s="161"/>
      <c r="AN85" s="725">
        <f t="shared" si="18"/>
        <v>0</v>
      </c>
      <c r="AO85" s="161"/>
      <c r="AP85" s="725">
        <f t="shared" si="19"/>
        <v>0</v>
      </c>
      <c r="AQ85" s="161"/>
      <c r="AR85" s="725">
        <f t="shared" si="20"/>
        <v>0</v>
      </c>
      <c r="AS85" s="161"/>
      <c r="AT85" s="725">
        <f t="shared" si="21"/>
        <v>0</v>
      </c>
      <c r="AU85" s="161"/>
      <c r="AV85" s="725">
        <f t="shared" si="22"/>
        <v>0</v>
      </c>
      <c r="AW85" s="161"/>
      <c r="AX85" s="725">
        <f t="shared" si="23"/>
        <v>0</v>
      </c>
      <c r="AY85" s="161"/>
      <c r="AZ85" s="725">
        <f t="shared" si="24"/>
        <v>0</v>
      </c>
      <c r="BA85" s="161"/>
      <c r="BB85" s="725">
        <f t="shared" si="25"/>
        <v>0</v>
      </c>
      <c r="BC85" s="161"/>
      <c r="BD85" s="725">
        <f t="shared" si="26"/>
        <v>0</v>
      </c>
      <c r="BE85" s="161"/>
      <c r="BF85" s="725">
        <f t="shared" si="27"/>
        <v>0</v>
      </c>
      <c r="BG85" s="161"/>
      <c r="BH85" s="725">
        <f t="shared" si="28"/>
        <v>0</v>
      </c>
      <c r="BI85" s="156"/>
      <c r="BJ85" s="156"/>
      <c r="BK85" s="157"/>
      <c r="BL85" s="53"/>
      <c r="BM85" s="53"/>
      <c r="BN85" s="53"/>
    </row>
    <row r="86" spans="1:66" ht="15.75" x14ac:dyDescent="0.25">
      <c r="A86" s="53"/>
      <c r="B86" s="168"/>
      <c r="C86" s="152"/>
      <c r="D86" s="153">
        <v>20</v>
      </c>
      <c r="E86" s="154"/>
      <c r="F86" s="725">
        <f t="shared" si="2"/>
        <v>0</v>
      </c>
      <c r="G86" s="161"/>
      <c r="H86" s="725">
        <f t="shared" si="1"/>
        <v>0</v>
      </c>
      <c r="I86" s="161"/>
      <c r="J86" s="725">
        <f t="shared" si="3"/>
        <v>0</v>
      </c>
      <c r="K86" s="161"/>
      <c r="L86" s="725">
        <f t="shared" si="4"/>
        <v>0</v>
      </c>
      <c r="M86" s="161"/>
      <c r="N86" s="725">
        <f t="shared" si="5"/>
        <v>0</v>
      </c>
      <c r="O86" s="161"/>
      <c r="P86" s="725">
        <f t="shared" si="6"/>
        <v>0</v>
      </c>
      <c r="Q86" s="161"/>
      <c r="R86" s="725">
        <f t="shared" si="7"/>
        <v>0</v>
      </c>
      <c r="S86" s="161"/>
      <c r="T86" s="725">
        <f t="shared" si="8"/>
        <v>0</v>
      </c>
      <c r="U86" s="161"/>
      <c r="V86" s="725">
        <f t="shared" si="9"/>
        <v>0</v>
      </c>
      <c r="W86" s="161"/>
      <c r="X86" s="725">
        <f t="shared" si="10"/>
        <v>0</v>
      </c>
      <c r="Y86" s="161"/>
      <c r="Z86" s="725">
        <f t="shared" si="11"/>
        <v>0</v>
      </c>
      <c r="AA86" s="161"/>
      <c r="AB86" s="725">
        <f t="shared" si="12"/>
        <v>0</v>
      </c>
      <c r="AC86" s="161"/>
      <c r="AD86" s="725">
        <f t="shared" si="13"/>
        <v>0</v>
      </c>
      <c r="AE86" s="161"/>
      <c r="AF86" s="725">
        <f t="shared" si="14"/>
        <v>0</v>
      </c>
      <c r="AG86" s="161"/>
      <c r="AH86" s="725">
        <f t="shared" si="15"/>
        <v>0</v>
      </c>
      <c r="AI86" s="161"/>
      <c r="AJ86" s="725">
        <f t="shared" si="16"/>
        <v>0</v>
      </c>
      <c r="AK86" s="161"/>
      <c r="AL86" s="725">
        <f t="shared" si="17"/>
        <v>0</v>
      </c>
      <c r="AM86" s="161"/>
      <c r="AN86" s="725">
        <f t="shared" si="18"/>
        <v>0</v>
      </c>
      <c r="AO86" s="161"/>
      <c r="AP86" s="725">
        <f t="shared" si="19"/>
        <v>0</v>
      </c>
      <c r="AQ86" s="161"/>
      <c r="AR86" s="725">
        <f t="shared" si="20"/>
        <v>0</v>
      </c>
      <c r="AS86" s="161"/>
      <c r="AT86" s="725">
        <f t="shared" si="21"/>
        <v>0</v>
      </c>
      <c r="AU86" s="161"/>
      <c r="AV86" s="725">
        <f t="shared" si="22"/>
        <v>0</v>
      </c>
      <c r="AW86" s="161"/>
      <c r="AX86" s="725">
        <f t="shared" si="23"/>
        <v>0</v>
      </c>
      <c r="AY86" s="161"/>
      <c r="AZ86" s="725">
        <f t="shared" si="24"/>
        <v>0</v>
      </c>
      <c r="BA86" s="161"/>
      <c r="BB86" s="725">
        <f t="shared" si="25"/>
        <v>0</v>
      </c>
      <c r="BC86" s="161"/>
      <c r="BD86" s="725">
        <f t="shared" si="26"/>
        <v>0</v>
      </c>
      <c r="BE86" s="161"/>
      <c r="BF86" s="725">
        <f t="shared" si="27"/>
        <v>0</v>
      </c>
      <c r="BG86" s="161"/>
      <c r="BH86" s="725">
        <f t="shared" si="28"/>
        <v>0</v>
      </c>
      <c r="BI86" s="156"/>
      <c r="BJ86" s="156"/>
      <c r="BK86" s="157"/>
      <c r="BL86" s="53"/>
      <c r="BM86" s="53"/>
      <c r="BN86" s="53"/>
    </row>
    <row r="87" spans="1:66" ht="15.75" x14ac:dyDescent="0.25">
      <c r="A87" s="53"/>
      <c r="B87" s="168"/>
      <c r="C87" s="152"/>
      <c r="D87" s="153">
        <v>21</v>
      </c>
      <c r="E87" s="154"/>
      <c r="F87" s="725">
        <f t="shared" si="2"/>
        <v>0</v>
      </c>
      <c r="G87" s="161"/>
      <c r="H87" s="725">
        <f t="shared" si="1"/>
        <v>0</v>
      </c>
      <c r="I87" s="161"/>
      <c r="J87" s="725">
        <f t="shared" si="3"/>
        <v>0</v>
      </c>
      <c r="K87" s="161"/>
      <c r="L87" s="725">
        <f t="shared" si="4"/>
        <v>0</v>
      </c>
      <c r="M87" s="161"/>
      <c r="N87" s="725">
        <f t="shared" si="5"/>
        <v>0</v>
      </c>
      <c r="O87" s="161"/>
      <c r="P87" s="725">
        <f t="shared" si="6"/>
        <v>0</v>
      </c>
      <c r="Q87" s="161"/>
      <c r="R87" s="725">
        <f t="shared" si="7"/>
        <v>0</v>
      </c>
      <c r="S87" s="161"/>
      <c r="T87" s="725">
        <f t="shared" si="8"/>
        <v>0</v>
      </c>
      <c r="U87" s="161"/>
      <c r="V87" s="725">
        <f t="shared" si="9"/>
        <v>0</v>
      </c>
      <c r="W87" s="161"/>
      <c r="X87" s="725">
        <f t="shared" si="10"/>
        <v>0</v>
      </c>
      <c r="Y87" s="161"/>
      <c r="Z87" s="725">
        <f t="shared" si="11"/>
        <v>0</v>
      </c>
      <c r="AA87" s="161"/>
      <c r="AB87" s="725">
        <f t="shared" si="12"/>
        <v>0</v>
      </c>
      <c r="AC87" s="161"/>
      <c r="AD87" s="725">
        <f t="shared" si="13"/>
        <v>0</v>
      </c>
      <c r="AE87" s="161"/>
      <c r="AF87" s="725">
        <f t="shared" si="14"/>
        <v>0</v>
      </c>
      <c r="AG87" s="161"/>
      <c r="AH87" s="725">
        <f t="shared" si="15"/>
        <v>0</v>
      </c>
      <c r="AI87" s="161"/>
      <c r="AJ87" s="725">
        <f t="shared" si="16"/>
        <v>0</v>
      </c>
      <c r="AK87" s="161"/>
      <c r="AL87" s="725">
        <f t="shared" si="17"/>
        <v>0</v>
      </c>
      <c r="AM87" s="161"/>
      <c r="AN87" s="725">
        <f t="shared" si="18"/>
        <v>0</v>
      </c>
      <c r="AO87" s="161"/>
      <c r="AP87" s="725">
        <f t="shared" si="19"/>
        <v>0</v>
      </c>
      <c r="AQ87" s="161"/>
      <c r="AR87" s="725">
        <f t="shared" si="20"/>
        <v>0</v>
      </c>
      <c r="AS87" s="161"/>
      <c r="AT87" s="725">
        <f t="shared" si="21"/>
        <v>0</v>
      </c>
      <c r="AU87" s="161"/>
      <c r="AV87" s="725">
        <f t="shared" si="22"/>
        <v>0</v>
      </c>
      <c r="AW87" s="161"/>
      <c r="AX87" s="725">
        <f t="shared" si="23"/>
        <v>0</v>
      </c>
      <c r="AY87" s="161"/>
      <c r="AZ87" s="725">
        <f t="shared" si="24"/>
        <v>0</v>
      </c>
      <c r="BA87" s="161"/>
      <c r="BB87" s="725">
        <f t="shared" si="25"/>
        <v>0</v>
      </c>
      <c r="BC87" s="161"/>
      <c r="BD87" s="725">
        <f t="shared" si="26"/>
        <v>0</v>
      </c>
      <c r="BE87" s="161"/>
      <c r="BF87" s="725">
        <f t="shared" si="27"/>
        <v>0</v>
      </c>
      <c r="BG87" s="161"/>
      <c r="BH87" s="725">
        <f t="shared" si="28"/>
        <v>0</v>
      </c>
      <c r="BI87" s="156"/>
      <c r="BJ87" s="156"/>
      <c r="BK87" s="157"/>
      <c r="BL87" s="53"/>
      <c r="BM87" s="53"/>
      <c r="BN87" s="53"/>
    </row>
    <row r="88" spans="1:66" ht="15.75" x14ac:dyDescent="0.25">
      <c r="A88" s="53"/>
      <c r="B88" s="168"/>
      <c r="C88" s="152"/>
      <c r="D88" s="153">
        <v>22</v>
      </c>
      <c r="E88" s="154"/>
      <c r="F88" s="725">
        <f t="shared" si="2"/>
        <v>0</v>
      </c>
      <c r="G88" s="161"/>
      <c r="H88" s="725">
        <f t="shared" si="1"/>
        <v>0</v>
      </c>
      <c r="I88" s="161"/>
      <c r="J88" s="725">
        <f t="shared" si="3"/>
        <v>0</v>
      </c>
      <c r="K88" s="161"/>
      <c r="L88" s="725">
        <f t="shared" si="4"/>
        <v>0</v>
      </c>
      <c r="M88" s="161"/>
      <c r="N88" s="725">
        <f t="shared" si="5"/>
        <v>0</v>
      </c>
      <c r="O88" s="161"/>
      <c r="P88" s="725">
        <f t="shared" si="6"/>
        <v>0</v>
      </c>
      <c r="Q88" s="161"/>
      <c r="R88" s="725">
        <f t="shared" si="7"/>
        <v>0</v>
      </c>
      <c r="S88" s="161"/>
      <c r="T88" s="725">
        <f t="shared" si="8"/>
        <v>0</v>
      </c>
      <c r="U88" s="161"/>
      <c r="V88" s="725">
        <f t="shared" si="9"/>
        <v>0</v>
      </c>
      <c r="W88" s="161"/>
      <c r="X88" s="725">
        <f t="shared" si="10"/>
        <v>0</v>
      </c>
      <c r="Y88" s="161"/>
      <c r="Z88" s="725">
        <f t="shared" si="11"/>
        <v>0</v>
      </c>
      <c r="AA88" s="161"/>
      <c r="AB88" s="725">
        <f t="shared" si="12"/>
        <v>0</v>
      </c>
      <c r="AC88" s="161"/>
      <c r="AD88" s="725">
        <f t="shared" si="13"/>
        <v>0</v>
      </c>
      <c r="AE88" s="161"/>
      <c r="AF88" s="725">
        <f t="shared" si="14"/>
        <v>0</v>
      </c>
      <c r="AG88" s="161"/>
      <c r="AH88" s="725">
        <f t="shared" si="15"/>
        <v>0</v>
      </c>
      <c r="AI88" s="161"/>
      <c r="AJ88" s="725">
        <f t="shared" si="16"/>
        <v>0</v>
      </c>
      <c r="AK88" s="161"/>
      <c r="AL88" s="725">
        <f t="shared" si="17"/>
        <v>0</v>
      </c>
      <c r="AM88" s="161"/>
      <c r="AN88" s="725">
        <f t="shared" si="18"/>
        <v>0</v>
      </c>
      <c r="AO88" s="161"/>
      <c r="AP88" s="725">
        <f t="shared" si="19"/>
        <v>0</v>
      </c>
      <c r="AQ88" s="161"/>
      <c r="AR88" s="725">
        <f t="shared" si="20"/>
        <v>0</v>
      </c>
      <c r="AS88" s="161"/>
      <c r="AT88" s="725">
        <f t="shared" si="21"/>
        <v>0</v>
      </c>
      <c r="AU88" s="161"/>
      <c r="AV88" s="725">
        <f t="shared" si="22"/>
        <v>0</v>
      </c>
      <c r="AW88" s="161"/>
      <c r="AX88" s="725">
        <f t="shared" si="23"/>
        <v>0</v>
      </c>
      <c r="AY88" s="161"/>
      <c r="AZ88" s="725">
        <f t="shared" si="24"/>
        <v>0</v>
      </c>
      <c r="BA88" s="161"/>
      <c r="BB88" s="725">
        <f t="shared" si="25"/>
        <v>0</v>
      </c>
      <c r="BC88" s="161"/>
      <c r="BD88" s="725">
        <f t="shared" si="26"/>
        <v>0</v>
      </c>
      <c r="BE88" s="161"/>
      <c r="BF88" s="725">
        <f t="shared" si="27"/>
        <v>0</v>
      </c>
      <c r="BG88" s="161"/>
      <c r="BH88" s="725">
        <f t="shared" si="28"/>
        <v>0</v>
      </c>
      <c r="BI88" s="156"/>
      <c r="BJ88" s="156"/>
      <c r="BK88" s="157"/>
      <c r="BL88" s="53"/>
      <c r="BM88" s="53"/>
      <c r="BN88" s="53"/>
    </row>
    <row r="89" spans="1:66" ht="15.75" x14ac:dyDescent="0.25">
      <c r="A89" s="53"/>
      <c r="B89" s="168"/>
      <c r="C89" s="152"/>
      <c r="D89" s="153">
        <v>23</v>
      </c>
      <c r="E89" s="154"/>
      <c r="F89" s="725">
        <f t="shared" si="2"/>
        <v>0</v>
      </c>
      <c r="G89" s="161"/>
      <c r="H89" s="725">
        <f t="shared" si="1"/>
        <v>0</v>
      </c>
      <c r="I89" s="161"/>
      <c r="J89" s="725">
        <f t="shared" si="3"/>
        <v>0</v>
      </c>
      <c r="K89" s="161"/>
      <c r="L89" s="725">
        <f t="shared" si="4"/>
        <v>0</v>
      </c>
      <c r="M89" s="161"/>
      <c r="N89" s="725">
        <f t="shared" si="5"/>
        <v>0</v>
      </c>
      <c r="O89" s="161"/>
      <c r="P89" s="725">
        <f t="shared" si="6"/>
        <v>0</v>
      </c>
      <c r="Q89" s="161"/>
      <c r="R89" s="725">
        <f t="shared" si="7"/>
        <v>0</v>
      </c>
      <c r="S89" s="161"/>
      <c r="T89" s="725">
        <f t="shared" si="8"/>
        <v>0</v>
      </c>
      <c r="U89" s="161"/>
      <c r="V89" s="725">
        <f t="shared" si="9"/>
        <v>0</v>
      </c>
      <c r="W89" s="161"/>
      <c r="X89" s="725">
        <f t="shared" si="10"/>
        <v>0</v>
      </c>
      <c r="Y89" s="161"/>
      <c r="Z89" s="725">
        <f t="shared" si="11"/>
        <v>0</v>
      </c>
      <c r="AA89" s="161"/>
      <c r="AB89" s="725">
        <f t="shared" si="12"/>
        <v>0</v>
      </c>
      <c r="AC89" s="161"/>
      <c r="AD89" s="725">
        <f t="shared" si="13"/>
        <v>0</v>
      </c>
      <c r="AE89" s="161"/>
      <c r="AF89" s="725">
        <f t="shared" si="14"/>
        <v>0</v>
      </c>
      <c r="AG89" s="161"/>
      <c r="AH89" s="725">
        <f t="shared" si="15"/>
        <v>0</v>
      </c>
      <c r="AI89" s="161"/>
      <c r="AJ89" s="725">
        <f t="shared" si="16"/>
        <v>0</v>
      </c>
      <c r="AK89" s="161"/>
      <c r="AL89" s="725">
        <f t="shared" si="17"/>
        <v>0</v>
      </c>
      <c r="AM89" s="161"/>
      <c r="AN89" s="725">
        <f t="shared" si="18"/>
        <v>0</v>
      </c>
      <c r="AO89" s="161"/>
      <c r="AP89" s="725">
        <f t="shared" si="19"/>
        <v>0</v>
      </c>
      <c r="AQ89" s="161"/>
      <c r="AR89" s="725">
        <f t="shared" si="20"/>
        <v>0</v>
      </c>
      <c r="AS89" s="161"/>
      <c r="AT89" s="725">
        <f t="shared" si="21"/>
        <v>0</v>
      </c>
      <c r="AU89" s="161"/>
      <c r="AV89" s="725">
        <f t="shared" si="22"/>
        <v>0</v>
      </c>
      <c r="AW89" s="161"/>
      <c r="AX89" s="725">
        <f t="shared" si="23"/>
        <v>0</v>
      </c>
      <c r="AY89" s="161"/>
      <c r="AZ89" s="725">
        <f t="shared" si="24"/>
        <v>0</v>
      </c>
      <c r="BA89" s="161"/>
      <c r="BB89" s="725">
        <f t="shared" si="25"/>
        <v>0</v>
      </c>
      <c r="BC89" s="161"/>
      <c r="BD89" s="725">
        <f t="shared" si="26"/>
        <v>0</v>
      </c>
      <c r="BE89" s="161"/>
      <c r="BF89" s="725">
        <f t="shared" si="27"/>
        <v>0</v>
      </c>
      <c r="BG89" s="161"/>
      <c r="BH89" s="725">
        <f t="shared" si="28"/>
        <v>0</v>
      </c>
      <c r="BI89" s="156"/>
      <c r="BJ89" s="156"/>
      <c r="BK89" s="157"/>
      <c r="BL89" s="53"/>
      <c r="BM89" s="53"/>
      <c r="BN89" s="53"/>
    </row>
    <row r="90" spans="1:66" ht="15.75" x14ac:dyDescent="0.25">
      <c r="A90" s="53"/>
      <c r="B90" s="168"/>
      <c r="C90" s="152"/>
      <c r="D90" s="153">
        <v>24</v>
      </c>
      <c r="E90" s="154"/>
      <c r="F90" s="725">
        <f t="shared" si="2"/>
        <v>0</v>
      </c>
      <c r="G90" s="161"/>
      <c r="H90" s="725">
        <f t="shared" si="1"/>
        <v>0</v>
      </c>
      <c r="I90" s="161"/>
      <c r="J90" s="725">
        <f t="shared" si="3"/>
        <v>0</v>
      </c>
      <c r="K90" s="161"/>
      <c r="L90" s="725">
        <f t="shared" si="4"/>
        <v>0</v>
      </c>
      <c r="M90" s="161"/>
      <c r="N90" s="725">
        <f t="shared" si="5"/>
        <v>0</v>
      </c>
      <c r="O90" s="161"/>
      <c r="P90" s="725">
        <f t="shared" si="6"/>
        <v>0</v>
      </c>
      <c r="Q90" s="161"/>
      <c r="R90" s="725">
        <f t="shared" si="7"/>
        <v>0</v>
      </c>
      <c r="S90" s="161"/>
      <c r="T90" s="725">
        <f t="shared" si="8"/>
        <v>0</v>
      </c>
      <c r="U90" s="161"/>
      <c r="V90" s="725">
        <f t="shared" si="9"/>
        <v>0</v>
      </c>
      <c r="W90" s="161"/>
      <c r="X90" s="725">
        <f t="shared" si="10"/>
        <v>0</v>
      </c>
      <c r="Y90" s="161"/>
      <c r="Z90" s="725">
        <f t="shared" si="11"/>
        <v>0</v>
      </c>
      <c r="AA90" s="161"/>
      <c r="AB90" s="725">
        <f t="shared" si="12"/>
        <v>0</v>
      </c>
      <c r="AC90" s="161"/>
      <c r="AD90" s="725">
        <f t="shared" si="13"/>
        <v>0</v>
      </c>
      <c r="AE90" s="161"/>
      <c r="AF90" s="725">
        <f t="shared" si="14"/>
        <v>0</v>
      </c>
      <c r="AG90" s="161"/>
      <c r="AH90" s="725">
        <f t="shared" si="15"/>
        <v>0</v>
      </c>
      <c r="AI90" s="161"/>
      <c r="AJ90" s="725">
        <f t="shared" si="16"/>
        <v>0</v>
      </c>
      <c r="AK90" s="161"/>
      <c r="AL90" s="725">
        <f t="shared" si="17"/>
        <v>0</v>
      </c>
      <c r="AM90" s="161"/>
      <c r="AN90" s="725">
        <f t="shared" si="18"/>
        <v>0</v>
      </c>
      <c r="AO90" s="161"/>
      <c r="AP90" s="725">
        <f t="shared" si="19"/>
        <v>0</v>
      </c>
      <c r="AQ90" s="161"/>
      <c r="AR90" s="725">
        <f t="shared" si="20"/>
        <v>0</v>
      </c>
      <c r="AS90" s="161"/>
      <c r="AT90" s="725">
        <f t="shared" si="21"/>
        <v>0</v>
      </c>
      <c r="AU90" s="161"/>
      <c r="AV90" s="725">
        <f t="shared" si="22"/>
        <v>0</v>
      </c>
      <c r="AW90" s="161"/>
      <c r="AX90" s="725">
        <f t="shared" si="23"/>
        <v>0</v>
      </c>
      <c r="AY90" s="161"/>
      <c r="AZ90" s="725">
        <f t="shared" si="24"/>
        <v>0</v>
      </c>
      <c r="BA90" s="161"/>
      <c r="BB90" s="725">
        <f t="shared" si="25"/>
        <v>0</v>
      </c>
      <c r="BC90" s="161"/>
      <c r="BD90" s="725">
        <f t="shared" si="26"/>
        <v>0</v>
      </c>
      <c r="BE90" s="161"/>
      <c r="BF90" s="725">
        <f t="shared" si="27"/>
        <v>0</v>
      </c>
      <c r="BG90" s="161"/>
      <c r="BH90" s="725">
        <f t="shared" si="28"/>
        <v>0</v>
      </c>
      <c r="BI90" s="156"/>
      <c r="BJ90" s="156"/>
      <c r="BK90" s="157"/>
      <c r="BL90" s="53"/>
      <c r="BM90" s="53"/>
      <c r="BN90" s="53"/>
    </row>
    <row r="91" spans="1:66" ht="15.75" x14ac:dyDescent="0.25">
      <c r="A91" s="53"/>
      <c r="B91" s="168"/>
      <c r="C91" s="152"/>
      <c r="D91" s="153">
        <v>25</v>
      </c>
      <c r="E91" s="154"/>
      <c r="F91" s="725">
        <f t="shared" si="2"/>
        <v>0</v>
      </c>
      <c r="G91" s="161"/>
      <c r="H91" s="725">
        <f t="shared" si="1"/>
        <v>0</v>
      </c>
      <c r="I91" s="161"/>
      <c r="J91" s="725">
        <f t="shared" si="3"/>
        <v>0</v>
      </c>
      <c r="K91" s="161"/>
      <c r="L91" s="725">
        <f t="shared" si="4"/>
        <v>0</v>
      </c>
      <c r="M91" s="161"/>
      <c r="N91" s="725">
        <f t="shared" si="5"/>
        <v>0</v>
      </c>
      <c r="O91" s="161"/>
      <c r="P91" s="725">
        <f t="shared" si="6"/>
        <v>0</v>
      </c>
      <c r="Q91" s="161"/>
      <c r="R91" s="725">
        <f t="shared" si="7"/>
        <v>0</v>
      </c>
      <c r="S91" s="161"/>
      <c r="T91" s="725">
        <f t="shared" si="8"/>
        <v>0</v>
      </c>
      <c r="U91" s="161"/>
      <c r="V91" s="725">
        <f t="shared" si="9"/>
        <v>0</v>
      </c>
      <c r="W91" s="161"/>
      <c r="X91" s="725">
        <f t="shared" si="10"/>
        <v>0</v>
      </c>
      <c r="Y91" s="161"/>
      <c r="Z91" s="725">
        <f t="shared" si="11"/>
        <v>0</v>
      </c>
      <c r="AA91" s="161"/>
      <c r="AB91" s="725">
        <f t="shared" si="12"/>
        <v>0</v>
      </c>
      <c r="AC91" s="161"/>
      <c r="AD91" s="725">
        <f t="shared" si="13"/>
        <v>0</v>
      </c>
      <c r="AE91" s="161"/>
      <c r="AF91" s="725">
        <f t="shared" si="14"/>
        <v>0</v>
      </c>
      <c r="AG91" s="161"/>
      <c r="AH91" s="725">
        <f t="shared" si="15"/>
        <v>0</v>
      </c>
      <c r="AI91" s="161"/>
      <c r="AJ91" s="725">
        <f t="shared" si="16"/>
        <v>0</v>
      </c>
      <c r="AK91" s="161"/>
      <c r="AL91" s="725">
        <f t="shared" si="17"/>
        <v>0</v>
      </c>
      <c r="AM91" s="161"/>
      <c r="AN91" s="725">
        <f t="shared" si="18"/>
        <v>0</v>
      </c>
      <c r="AO91" s="161"/>
      <c r="AP91" s="725">
        <f t="shared" si="19"/>
        <v>0</v>
      </c>
      <c r="AQ91" s="161"/>
      <c r="AR91" s="725">
        <f t="shared" si="20"/>
        <v>0</v>
      </c>
      <c r="AS91" s="161"/>
      <c r="AT91" s="725">
        <f t="shared" si="21"/>
        <v>0</v>
      </c>
      <c r="AU91" s="161"/>
      <c r="AV91" s="725">
        <f t="shared" si="22"/>
        <v>0</v>
      </c>
      <c r="AW91" s="161"/>
      <c r="AX91" s="725">
        <f t="shared" si="23"/>
        <v>0</v>
      </c>
      <c r="AY91" s="161"/>
      <c r="AZ91" s="725">
        <f t="shared" si="24"/>
        <v>0</v>
      </c>
      <c r="BA91" s="161"/>
      <c r="BB91" s="725">
        <f t="shared" si="25"/>
        <v>0</v>
      </c>
      <c r="BC91" s="161"/>
      <c r="BD91" s="725">
        <f t="shared" si="26"/>
        <v>0</v>
      </c>
      <c r="BE91" s="161"/>
      <c r="BF91" s="725">
        <f t="shared" si="27"/>
        <v>0</v>
      </c>
      <c r="BG91" s="161"/>
      <c r="BH91" s="725">
        <f t="shared" si="28"/>
        <v>0</v>
      </c>
      <c r="BI91" s="156"/>
      <c r="BJ91" s="156"/>
      <c r="BK91" s="157"/>
      <c r="BL91" s="53"/>
      <c r="BM91" s="53"/>
      <c r="BN91" s="53"/>
    </row>
    <row r="92" spans="1:66" ht="15.75" x14ac:dyDescent="0.25">
      <c r="A92" s="53"/>
      <c r="B92" s="168"/>
      <c r="C92" s="152"/>
      <c r="D92" s="153">
        <v>26</v>
      </c>
      <c r="E92" s="154"/>
      <c r="F92" s="725">
        <f t="shared" si="2"/>
        <v>0</v>
      </c>
      <c r="G92" s="161"/>
      <c r="H92" s="725">
        <f t="shared" si="1"/>
        <v>0</v>
      </c>
      <c r="I92" s="161"/>
      <c r="J92" s="725">
        <f t="shared" si="3"/>
        <v>0</v>
      </c>
      <c r="K92" s="161"/>
      <c r="L92" s="725">
        <f t="shared" si="4"/>
        <v>0</v>
      </c>
      <c r="M92" s="161"/>
      <c r="N92" s="725">
        <f t="shared" si="5"/>
        <v>0</v>
      </c>
      <c r="O92" s="161"/>
      <c r="P92" s="725">
        <f t="shared" si="6"/>
        <v>0</v>
      </c>
      <c r="Q92" s="161"/>
      <c r="R92" s="725">
        <f t="shared" si="7"/>
        <v>0</v>
      </c>
      <c r="S92" s="161"/>
      <c r="T92" s="725">
        <f t="shared" si="8"/>
        <v>0</v>
      </c>
      <c r="U92" s="161"/>
      <c r="V92" s="725">
        <f t="shared" si="9"/>
        <v>0</v>
      </c>
      <c r="W92" s="161"/>
      <c r="X92" s="725">
        <f t="shared" si="10"/>
        <v>0</v>
      </c>
      <c r="Y92" s="161"/>
      <c r="Z92" s="725">
        <f t="shared" si="11"/>
        <v>0</v>
      </c>
      <c r="AA92" s="161"/>
      <c r="AB92" s="725">
        <f t="shared" si="12"/>
        <v>0</v>
      </c>
      <c r="AC92" s="161"/>
      <c r="AD92" s="725">
        <f t="shared" si="13"/>
        <v>0</v>
      </c>
      <c r="AE92" s="161"/>
      <c r="AF92" s="725">
        <f t="shared" si="14"/>
        <v>0</v>
      </c>
      <c r="AG92" s="161"/>
      <c r="AH92" s="725">
        <f t="shared" si="15"/>
        <v>0</v>
      </c>
      <c r="AI92" s="161"/>
      <c r="AJ92" s="725">
        <f t="shared" si="16"/>
        <v>0</v>
      </c>
      <c r="AK92" s="161"/>
      <c r="AL92" s="725">
        <f t="shared" si="17"/>
        <v>0</v>
      </c>
      <c r="AM92" s="161"/>
      <c r="AN92" s="725">
        <f t="shared" si="18"/>
        <v>0</v>
      </c>
      <c r="AO92" s="161"/>
      <c r="AP92" s="725">
        <f t="shared" si="19"/>
        <v>0</v>
      </c>
      <c r="AQ92" s="161"/>
      <c r="AR92" s="725">
        <f t="shared" si="20"/>
        <v>0</v>
      </c>
      <c r="AS92" s="161"/>
      <c r="AT92" s="725">
        <f t="shared" si="21"/>
        <v>0</v>
      </c>
      <c r="AU92" s="161"/>
      <c r="AV92" s="725">
        <f t="shared" si="22"/>
        <v>0</v>
      </c>
      <c r="AW92" s="161"/>
      <c r="AX92" s="725">
        <f t="shared" si="23"/>
        <v>0</v>
      </c>
      <c r="AY92" s="161"/>
      <c r="AZ92" s="725">
        <f t="shared" si="24"/>
        <v>0</v>
      </c>
      <c r="BA92" s="161"/>
      <c r="BB92" s="725">
        <f t="shared" si="25"/>
        <v>0</v>
      </c>
      <c r="BC92" s="161"/>
      <c r="BD92" s="725">
        <f t="shared" si="26"/>
        <v>0</v>
      </c>
      <c r="BE92" s="161"/>
      <c r="BF92" s="725">
        <f t="shared" si="27"/>
        <v>0</v>
      </c>
      <c r="BG92" s="161"/>
      <c r="BH92" s="725">
        <f t="shared" si="28"/>
        <v>0</v>
      </c>
      <c r="BI92" s="156"/>
      <c r="BJ92" s="156"/>
      <c r="BK92" s="157"/>
      <c r="BL92" s="53"/>
      <c r="BM92" s="53"/>
      <c r="BN92" s="53"/>
    </row>
    <row r="93" spans="1:66" ht="15.75" x14ac:dyDescent="0.25">
      <c r="A93" s="53"/>
      <c r="B93" s="168"/>
      <c r="C93" s="152"/>
      <c r="D93" s="153">
        <v>27</v>
      </c>
      <c r="E93" s="154"/>
      <c r="F93" s="725">
        <f t="shared" si="2"/>
        <v>0</v>
      </c>
      <c r="G93" s="161"/>
      <c r="H93" s="725">
        <f t="shared" si="1"/>
        <v>0</v>
      </c>
      <c r="I93" s="161"/>
      <c r="J93" s="725">
        <f t="shared" si="3"/>
        <v>0</v>
      </c>
      <c r="K93" s="161"/>
      <c r="L93" s="725">
        <f t="shared" si="4"/>
        <v>0</v>
      </c>
      <c r="M93" s="161"/>
      <c r="N93" s="725">
        <f t="shared" si="5"/>
        <v>0</v>
      </c>
      <c r="O93" s="161"/>
      <c r="P93" s="725">
        <f t="shared" si="6"/>
        <v>0</v>
      </c>
      <c r="Q93" s="161"/>
      <c r="R93" s="725">
        <f t="shared" si="7"/>
        <v>0</v>
      </c>
      <c r="S93" s="161"/>
      <c r="T93" s="725">
        <f t="shared" si="8"/>
        <v>0</v>
      </c>
      <c r="U93" s="161"/>
      <c r="V93" s="725">
        <f t="shared" si="9"/>
        <v>0</v>
      </c>
      <c r="W93" s="161"/>
      <c r="X93" s="725">
        <f t="shared" si="10"/>
        <v>0</v>
      </c>
      <c r="Y93" s="161"/>
      <c r="Z93" s="725">
        <f t="shared" si="11"/>
        <v>0</v>
      </c>
      <c r="AA93" s="161"/>
      <c r="AB93" s="725">
        <f t="shared" si="12"/>
        <v>0</v>
      </c>
      <c r="AC93" s="161"/>
      <c r="AD93" s="725">
        <f t="shared" si="13"/>
        <v>0</v>
      </c>
      <c r="AE93" s="161"/>
      <c r="AF93" s="725">
        <f t="shared" si="14"/>
        <v>0</v>
      </c>
      <c r="AG93" s="161"/>
      <c r="AH93" s="725">
        <f t="shared" si="15"/>
        <v>0</v>
      </c>
      <c r="AI93" s="161"/>
      <c r="AJ93" s="725">
        <f t="shared" si="16"/>
        <v>0</v>
      </c>
      <c r="AK93" s="161"/>
      <c r="AL93" s="725">
        <f t="shared" si="17"/>
        <v>0</v>
      </c>
      <c r="AM93" s="161"/>
      <c r="AN93" s="725">
        <f t="shared" si="18"/>
        <v>0</v>
      </c>
      <c r="AO93" s="161"/>
      <c r="AP93" s="725">
        <f t="shared" si="19"/>
        <v>0</v>
      </c>
      <c r="AQ93" s="161"/>
      <c r="AR93" s="725">
        <f t="shared" si="20"/>
        <v>0</v>
      </c>
      <c r="AS93" s="161"/>
      <c r="AT93" s="725">
        <f t="shared" si="21"/>
        <v>0</v>
      </c>
      <c r="AU93" s="161"/>
      <c r="AV93" s="725">
        <f t="shared" si="22"/>
        <v>0</v>
      </c>
      <c r="AW93" s="161"/>
      <c r="AX93" s="725">
        <f t="shared" si="23"/>
        <v>0</v>
      </c>
      <c r="AY93" s="161"/>
      <c r="AZ93" s="725">
        <f t="shared" si="24"/>
        <v>0</v>
      </c>
      <c r="BA93" s="161"/>
      <c r="BB93" s="725">
        <f t="shared" si="25"/>
        <v>0</v>
      </c>
      <c r="BC93" s="161"/>
      <c r="BD93" s="725">
        <f t="shared" si="26"/>
        <v>0</v>
      </c>
      <c r="BE93" s="161"/>
      <c r="BF93" s="725">
        <f t="shared" si="27"/>
        <v>0</v>
      </c>
      <c r="BG93" s="161"/>
      <c r="BH93" s="725">
        <f t="shared" si="28"/>
        <v>0</v>
      </c>
      <c r="BI93" s="156"/>
      <c r="BJ93" s="156"/>
      <c r="BK93" s="157"/>
      <c r="BL93" s="53"/>
      <c r="BM93" s="53"/>
      <c r="BN93" s="53"/>
    </row>
    <row r="94" spans="1:66" ht="15.75" x14ac:dyDescent="0.25">
      <c r="A94" s="53"/>
      <c r="B94" s="168"/>
      <c r="C94" s="152"/>
      <c r="D94" s="153">
        <v>28</v>
      </c>
      <c r="E94" s="154"/>
      <c r="F94" s="725">
        <f t="shared" si="2"/>
        <v>0</v>
      </c>
      <c r="G94" s="161"/>
      <c r="H94" s="725">
        <f t="shared" si="1"/>
        <v>0</v>
      </c>
      <c r="I94" s="161"/>
      <c r="J94" s="725">
        <f t="shared" si="3"/>
        <v>0</v>
      </c>
      <c r="K94" s="161"/>
      <c r="L94" s="725">
        <f t="shared" si="4"/>
        <v>0</v>
      </c>
      <c r="M94" s="161"/>
      <c r="N94" s="725">
        <f t="shared" si="5"/>
        <v>0</v>
      </c>
      <c r="O94" s="161"/>
      <c r="P94" s="725">
        <f t="shared" si="6"/>
        <v>0</v>
      </c>
      <c r="Q94" s="161"/>
      <c r="R94" s="725">
        <f t="shared" si="7"/>
        <v>0</v>
      </c>
      <c r="S94" s="161"/>
      <c r="T94" s="725">
        <f t="shared" si="8"/>
        <v>0</v>
      </c>
      <c r="U94" s="161"/>
      <c r="V94" s="725">
        <f t="shared" si="9"/>
        <v>0</v>
      </c>
      <c r="W94" s="161"/>
      <c r="X94" s="725">
        <f t="shared" si="10"/>
        <v>0</v>
      </c>
      <c r="Y94" s="161"/>
      <c r="Z94" s="725">
        <f t="shared" si="11"/>
        <v>0</v>
      </c>
      <c r="AA94" s="161"/>
      <c r="AB94" s="725">
        <f t="shared" si="12"/>
        <v>0</v>
      </c>
      <c r="AC94" s="161"/>
      <c r="AD94" s="725">
        <f t="shared" si="13"/>
        <v>0</v>
      </c>
      <c r="AE94" s="161"/>
      <c r="AF94" s="725">
        <f t="shared" si="14"/>
        <v>0</v>
      </c>
      <c r="AG94" s="161"/>
      <c r="AH94" s="725">
        <f t="shared" si="15"/>
        <v>0</v>
      </c>
      <c r="AI94" s="161"/>
      <c r="AJ94" s="725">
        <f t="shared" si="16"/>
        <v>0</v>
      </c>
      <c r="AK94" s="161"/>
      <c r="AL94" s="725">
        <f t="shared" si="17"/>
        <v>0</v>
      </c>
      <c r="AM94" s="161"/>
      <c r="AN94" s="725">
        <f t="shared" si="18"/>
        <v>0</v>
      </c>
      <c r="AO94" s="161"/>
      <c r="AP94" s="725">
        <f t="shared" si="19"/>
        <v>0</v>
      </c>
      <c r="AQ94" s="161"/>
      <c r="AR94" s="725">
        <f t="shared" si="20"/>
        <v>0</v>
      </c>
      <c r="AS94" s="161"/>
      <c r="AT94" s="725">
        <f t="shared" si="21"/>
        <v>0</v>
      </c>
      <c r="AU94" s="161"/>
      <c r="AV94" s="725">
        <f t="shared" si="22"/>
        <v>0</v>
      </c>
      <c r="AW94" s="161"/>
      <c r="AX94" s="725">
        <f t="shared" si="23"/>
        <v>0</v>
      </c>
      <c r="AY94" s="161"/>
      <c r="AZ94" s="725">
        <f t="shared" si="24"/>
        <v>0</v>
      </c>
      <c r="BA94" s="161"/>
      <c r="BB94" s="725">
        <f t="shared" si="25"/>
        <v>0</v>
      </c>
      <c r="BC94" s="161"/>
      <c r="BD94" s="725">
        <f t="shared" si="26"/>
        <v>0</v>
      </c>
      <c r="BE94" s="161"/>
      <c r="BF94" s="725">
        <f t="shared" si="27"/>
        <v>0</v>
      </c>
      <c r="BG94" s="161"/>
      <c r="BH94" s="725">
        <f t="shared" si="28"/>
        <v>0</v>
      </c>
      <c r="BI94" s="156"/>
      <c r="BJ94" s="156"/>
      <c r="BK94" s="157"/>
      <c r="BL94" s="53"/>
      <c r="BM94" s="53"/>
      <c r="BN94" s="53"/>
    </row>
    <row r="95" spans="1:66" ht="15.75" x14ac:dyDescent="0.25">
      <c r="A95" s="53"/>
      <c r="B95" s="168"/>
      <c r="C95" s="152"/>
      <c r="D95" s="153">
        <v>29</v>
      </c>
      <c r="E95" s="154"/>
      <c r="F95" s="725">
        <f t="shared" si="2"/>
        <v>0</v>
      </c>
      <c r="G95" s="161"/>
      <c r="H95" s="725">
        <f t="shared" si="1"/>
        <v>0</v>
      </c>
      <c r="I95" s="161"/>
      <c r="J95" s="725">
        <f t="shared" si="3"/>
        <v>0</v>
      </c>
      <c r="K95" s="161"/>
      <c r="L95" s="725">
        <f t="shared" si="4"/>
        <v>0</v>
      </c>
      <c r="M95" s="161"/>
      <c r="N95" s="725">
        <f t="shared" si="5"/>
        <v>0</v>
      </c>
      <c r="O95" s="161"/>
      <c r="P95" s="725">
        <f t="shared" si="6"/>
        <v>0</v>
      </c>
      <c r="Q95" s="161"/>
      <c r="R95" s="725">
        <f t="shared" si="7"/>
        <v>0</v>
      </c>
      <c r="S95" s="161"/>
      <c r="T95" s="725">
        <f t="shared" si="8"/>
        <v>0</v>
      </c>
      <c r="U95" s="161"/>
      <c r="V95" s="725">
        <f t="shared" si="9"/>
        <v>0</v>
      </c>
      <c r="W95" s="161"/>
      <c r="X95" s="725">
        <f t="shared" si="10"/>
        <v>0</v>
      </c>
      <c r="Y95" s="161"/>
      <c r="Z95" s="725">
        <f t="shared" si="11"/>
        <v>0</v>
      </c>
      <c r="AA95" s="161"/>
      <c r="AB95" s="725">
        <f t="shared" si="12"/>
        <v>0</v>
      </c>
      <c r="AC95" s="161"/>
      <c r="AD95" s="725">
        <f t="shared" si="13"/>
        <v>0</v>
      </c>
      <c r="AE95" s="161"/>
      <c r="AF95" s="725">
        <f t="shared" si="14"/>
        <v>0</v>
      </c>
      <c r="AG95" s="161"/>
      <c r="AH95" s="725">
        <f t="shared" si="15"/>
        <v>0</v>
      </c>
      <c r="AI95" s="161"/>
      <c r="AJ95" s="725">
        <f t="shared" si="16"/>
        <v>0</v>
      </c>
      <c r="AK95" s="161"/>
      <c r="AL95" s="725">
        <f t="shared" si="17"/>
        <v>0</v>
      </c>
      <c r="AM95" s="161"/>
      <c r="AN95" s="725">
        <f t="shared" si="18"/>
        <v>0</v>
      </c>
      <c r="AO95" s="161"/>
      <c r="AP95" s="725">
        <f t="shared" si="19"/>
        <v>0</v>
      </c>
      <c r="AQ95" s="161"/>
      <c r="AR95" s="725">
        <f t="shared" si="20"/>
        <v>0</v>
      </c>
      <c r="AS95" s="161"/>
      <c r="AT95" s="725">
        <f t="shared" si="21"/>
        <v>0</v>
      </c>
      <c r="AU95" s="161"/>
      <c r="AV95" s="725">
        <f t="shared" si="22"/>
        <v>0</v>
      </c>
      <c r="AW95" s="161"/>
      <c r="AX95" s="725">
        <f t="shared" si="23"/>
        <v>0</v>
      </c>
      <c r="AY95" s="161"/>
      <c r="AZ95" s="725">
        <f t="shared" si="24"/>
        <v>0</v>
      </c>
      <c r="BA95" s="161"/>
      <c r="BB95" s="725">
        <f t="shared" si="25"/>
        <v>0</v>
      </c>
      <c r="BC95" s="161"/>
      <c r="BD95" s="725">
        <f t="shared" si="26"/>
        <v>0</v>
      </c>
      <c r="BE95" s="161"/>
      <c r="BF95" s="725">
        <f t="shared" si="27"/>
        <v>0</v>
      </c>
      <c r="BG95" s="161"/>
      <c r="BH95" s="725">
        <f t="shared" si="28"/>
        <v>0</v>
      </c>
      <c r="BI95" s="156"/>
      <c r="BJ95" s="156"/>
      <c r="BK95" s="157"/>
      <c r="BL95" s="53"/>
      <c r="BM95" s="53"/>
      <c r="BN95" s="53"/>
    </row>
    <row r="96" spans="1:66" ht="15.75" x14ac:dyDescent="0.25">
      <c r="A96" s="53"/>
      <c r="B96" s="168"/>
      <c r="C96" s="152"/>
      <c r="D96" s="153">
        <v>30</v>
      </c>
      <c r="E96" s="154"/>
      <c r="F96" s="725">
        <f t="shared" si="2"/>
        <v>0</v>
      </c>
      <c r="G96" s="161"/>
      <c r="H96" s="725">
        <f t="shared" si="1"/>
        <v>0</v>
      </c>
      <c r="I96" s="161"/>
      <c r="J96" s="725">
        <f t="shared" si="3"/>
        <v>0</v>
      </c>
      <c r="K96" s="161"/>
      <c r="L96" s="725">
        <f t="shared" si="4"/>
        <v>0</v>
      </c>
      <c r="M96" s="161"/>
      <c r="N96" s="725">
        <f t="shared" si="5"/>
        <v>0</v>
      </c>
      <c r="O96" s="161"/>
      <c r="P96" s="725">
        <f t="shared" si="6"/>
        <v>0</v>
      </c>
      <c r="Q96" s="161"/>
      <c r="R96" s="725">
        <f t="shared" si="7"/>
        <v>0</v>
      </c>
      <c r="S96" s="161"/>
      <c r="T96" s="725">
        <f t="shared" si="8"/>
        <v>0</v>
      </c>
      <c r="U96" s="161"/>
      <c r="V96" s="725">
        <f t="shared" si="9"/>
        <v>0</v>
      </c>
      <c r="W96" s="161"/>
      <c r="X96" s="725">
        <f t="shared" si="10"/>
        <v>0</v>
      </c>
      <c r="Y96" s="161"/>
      <c r="Z96" s="725">
        <f t="shared" si="11"/>
        <v>0</v>
      </c>
      <c r="AA96" s="161"/>
      <c r="AB96" s="725">
        <f t="shared" si="12"/>
        <v>0</v>
      </c>
      <c r="AC96" s="161"/>
      <c r="AD96" s="725">
        <f t="shared" si="13"/>
        <v>0</v>
      </c>
      <c r="AE96" s="161"/>
      <c r="AF96" s="725">
        <f t="shared" si="14"/>
        <v>0</v>
      </c>
      <c r="AG96" s="161"/>
      <c r="AH96" s="725">
        <f t="shared" si="15"/>
        <v>0</v>
      </c>
      <c r="AI96" s="161"/>
      <c r="AJ96" s="725">
        <f t="shared" si="16"/>
        <v>0</v>
      </c>
      <c r="AK96" s="161"/>
      <c r="AL96" s="725">
        <f t="shared" si="17"/>
        <v>0</v>
      </c>
      <c r="AM96" s="161"/>
      <c r="AN96" s="725">
        <f t="shared" si="18"/>
        <v>0</v>
      </c>
      <c r="AO96" s="161"/>
      <c r="AP96" s="725">
        <f t="shared" si="19"/>
        <v>0</v>
      </c>
      <c r="AQ96" s="161"/>
      <c r="AR96" s="725">
        <f t="shared" si="20"/>
        <v>0</v>
      </c>
      <c r="AS96" s="161"/>
      <c r="AT96" s="725">
        <f t="shared" si="21"/>
        <v>0</v>
      </c>
      <c r="AU96" s="161"/>
      <c r="AV96" s="725">
        <f t="shared" si="22"/>
        <v>0</v>
      </c>
      <c r="AW96" s="161"/>
      <c r="AX96" s="725">
        <f t="shared" si="23"/>
        <v>0</v>
      </c>
      <c r="AY96" s="161"/>
      <c r="AZ96" s="725">
        <f t="shared" si="24"/>
        <v>0</v>
      </c>
      <c r="BA96" s="161"/>
      <c r="BB96" s="725">
        <f t="shared" si="25"/>
        <v>0</v>
      </c>
      <c r="BC96" s="161"/>
      <c r="BD96" s="725">
        <f t="shared" si="26"/>
        <v>0</v>
      </c>
      <c r="BE96" s="161"/>
      <c r="BF96" s="725">
        <f t="shared" si="27"/>
        <v>0</v>
      </c>
      <c r="BG96" s="161"/>
      <c r="BH96" s="725">
        <f t="shared" si="28"/>
        <v>0</v>
      </c>
      <c r="BI96" s="156"/>
      <c r="BJ96" s="156"/>
      <c r="BK96" s="157"/>
      <c r="BL96" s="53"/>
      <c r="BM96" s="53"/>
      <c r="BN96" s="53"/>
    </row>
    <row r="97" spans="1:66" ht="15.75" hidden="1" x14ac:dyDescent="0.25">
      <c r="A97" s="53"/>
      <c r="B97" s="106"/>
      <c r="C97" s="15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1"/>
      <c r="BL97" s="53"/>
      <c r="BM97" s="53"/>
      <c r="BN97" s="53"/>
    </row>
    <row r="98" spans="1:66" ht="15.75" x14ac:dyDescent="0.25">
      <c r="A98" s="53"/>
      <c r="B98" s="106"/>
      <c r="C98" s="150"/>
      <c r="D98" s="80"/>
      <c r="E98" s="80"/>
      <c r="F98" s="725">
        <f>SUM(F67:F96)</f>
        <v>0</v>
      </c>
      <c r="G98" s="80"/>
      <c r="H98" s="725">
        <f>SUM(H67:H96)</f>
        <v>0</v>
      </c>
      <c r="I98" s="80"/>
      <c r="J98" s="725">
        <f>SUM(J67:J96)</f>
        <v>0</v>
      </c>
      <c r="K98" s="80"/>
      <c r="L98" s="725">
        <f>SUM(L67:L96)</f>
        <v>0</v>
      </c>
      <c r="M98" s="80"/>
      <c r="N98" s="725">
        <f>SUM(N67:N96)</f>
        <v>0</v>
      </c>
      <c r="O98" s="80"/>
      <c r="P98" s="725">
        <f>SUM(P67:P96)</f>
        <v>0</v>
      </c>
      <c r="Q98" s="80"/>
      <c r="R98" s="725">
        <f>SUM(R67:R96)</f>
        <v>0</v>
      </c>
      <c r="S98" s="80"/>
      <c r="T98" s="725">
        <f>SUM(T67:T96)</f>
        <v>0</v>
      </c>
      <c r="U98" s="80"/>
      <c r="V98" s="725">
        <f>SUM(V67:V96)</f>
        <v>0</v>
      </c>
      <c r="W98" s="80"/>
      <c r="X98" s="725">
        <f>SUM(X67:X96)</f>
        <v>0</v>
      </c>
      <c r="Y98" s="80"/>
      <c r="Z98" s="725">
        <f>SUM(Z67:Z96)</f>
        <v>0</v>
      </c>
      <c r="AA98" s="80"/>
      <c r="AB98" s="725">
        <f>SUM(AB67:AB96)</f>
        <v>0</v>
      </c>
      <c r="AC98" s="80"/>
      <c r="AD98" s="725">
        <f>SUM(AD67:AD96)</f>
        <v>0</v>
      </c>
      <c r="AE98" s="80"/>
      <c r="AF98" s="725">
        <f>SUM(AF67:AF96)</f>
        <v>0</v>
      </c>
      <c r="AG98" s="80"/>
      <c r="AH98" s="725">
        <f>SUM(AH67:AH96)</f>
        <v>0</v>
      </c>
      <c r="AI98" s="80"/>
      <c r="AJ98" s="725">
        <f>SUM(AJ67:AJ96)</f>
        <v>0</v>
      </c>
      <c r="AK98" s="80"/>
      <c r="AL98" s="725">
        <f>SUM(AL67:AL96)</f>
        <v>0</v>
      </c>
      <c r="AM98" s="80"/>
      <c r="AN98" s="725">
        <f>SUM(AN67:AN96)</f>
        <v>0</v>
      </c>
      <c r="AO98" s="80"/>
      <c r="AP98" s="725">
        <f>SUM(AP67:AP96)</f>
        <v>0</v>
      </c>
      <c r="AQ98" s="80"/>
      <c r="AR98" s="725">
        <f>SUM(AR67:AR96)</f>
        <v>0</v>
      </c>
      <c r="AS98" s="80"/>
      <c r="AT98" s="725">
        <f>SUM(AT67:AT96)</f>
        <v>0</v>
      </c>
      <c r="AU98" s="80"/>
      <c r="AV98" s="725">
        <f>SUM(AV67:AV96)</f>
        <v>0</v>
      </c>
      <c r="AW98" s="80"/>
      <c r="AX98" s="725">
        <f>SUM(AX67:AX96)</f>
        <v>0</v>
      </c>
      <c r="AY98" s="80"/>
      <c r="AZ98" s="725">
        <f>SUM(AZ67:AZ96)</f>
        <v>0</v>
      </c>
      <c r="BA98" s="80"/>
      <c r="BB98" s="725">
        <f>SUM(BB67:BB96)</f>
        <v>0</v>
      </c>
      <c r="BC98" s="80"/>
      <c r="BD98" s="725">
        <f>SUM(BD67:BD96)</f>
        <v>0</v>
      </c>
      <c r="BE98" s="80"/>
      <c r="BF98" s="725">
        <f>SUM(BF67:BF96)</f>
        <v>0</v>
      </c>
      <c r="BG98" s="80"/>
      <c r="BH98" s="725">
        <f>SUM(BH67:BH96)</f>
        <v>0</v>
      </c>
      <c r="BI98" s="80"/>
      <c r="BJ98" s="80"/>
      <c r="BK98" s="81"/>
      <c r="BL98" s="53"/>
      <c r="BM98" s="53"/>
      <c r="BN98" s="53"/>
    </row>
    <row r="99" spans="1:66" ht="16.5" thickBot="1" x14ac:dyDescent="0.3">
      <c r="A99" s="53"/>
      <c r="B99" s="110"/>
      <c r="C99" s="159"/>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4"/>
      <c r="BL99" s="53"/>
      <c r="BM99" s="53"/>
      <c r="BN99" s="53"/>
    </row>
    <row r="100" spans="1:66" ht="15.75"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row>
    <row r="101" spans="1:66" ht="15.75"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row>
    <row r="102" spans="1:66" ht="15.75"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row>
    <row r="103" spans="1:66" ht="15.75"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row>
    <row r="104" spans="1:66" ht="15.75"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row>
  </sheetData>
  <sheetProtection algorithmName="SHA-512" hashValue="/mwBv74TtSAMfaxPmiFdjTqugq3OMAPVZd1cfNmx92xQ8Ye/nyMuBJ9e4ihoQKzq0HJr71jS/WoeH8KMrtZw6g==" saltValue="zQfJ9wagq5ZSXX8upZ799w==" spinCount="100000" sheet="1" objects="1" scenarios="1"/>
  <conditionalFormatting sqref="BM1 BM18">
    <cfRule type="cellIs" dxfId="724" priority="81" operator="equal">
      <formula>"ZERO"</formula>
    </cfRule>
  </conditionalFormatting>
  <conditionalFormatting sqref="BM1:BM25">
    <cfRule type="cellIs" dxfId="723" priority="26" operator="equal">
      <formula>"OK"</formula>
    </cfRule>
    <cfRule type="cellIs" dxfId="722" priority="27" operator="equal">
      <formula>"ERROR"</formula>
    </cfRule>
  </conditionalFormatting>
  <conditionalFormatting sqref="BM3:BM8">
    <cfRule type="cellIs" dxfId="721" priority="41" operator="equal">
      <formula>"ZERO"</formula>
    </cfRule>
  </conditionalFormatting>
  <conditionalFormatting sqref="BM10:BM16">
    <cfRule type="cellIs" dxfId="720" priority="38" operator="equal">
      <formula>"ZERO"</formula>
    </cfRule>
  </conditionalFormatting>
  <conditionalFormatting sqref="BM20:BM22">
    <cfRule type="cellIs" dxfId="719" priority="30" operator="equal">
      <formula>"ZERO"</formula>
    </cfRule>
  </conditionalFormatting>
  <conditionalFormatting sqref="BM24:BM25">
    <cfRule type="cellIs" dxfId="718" priority="25" operator="equal">
      <formula>"ZERO"</formula>
    </cfRule>
  </conditionalFormatting>
  <conditionalFormatting sqref="BM59:BM61">
    <cfRule type="cellIs" dxfId="717" priority="5" operator="equal">
      <formula>"ZERO"</formula>
    </cfRule>
  </conditionalFormatting>
  <conditionalFormatting sqref="BM59:BM104">
    <cfRule type="cellIs" dxfId="716" priority="3" operator="equal">
      <formula>"OK"</formula>
    </cfRule>
    <cfRule type="cellIs" dxfId="715" priority="4" operator="equal">
      <formula>"ERROR"</formula>
    </cfRule>
  </conditionalFormatting>
  <conditionalFormatting sqref="BM63:BM104">
    <cfRule type="cellIs" dxfId="714" priority="8" operator="equal">
      <formula>"ZERO"</formula>
    </cfRule>
  </conditionalFormatting>
  <conditionalFormatting sqref="BN5">
    <cfRule type="cellIs" dxfId="713" priority="23" operator="equal">
      <formula>"Complete"</formula>
    </cfRule>
    <cfRule type="cellIs" dxfId="712" priority="24" operator="equal">
      <formula>"Incomplete"</formula>
    </cfRule>
  </conditionalFormatting>
  <conditionalFormatting sqref="BN62">
    <cfRule type="cellIs" dxfId="711" priority="1" operator="equal">
      <formula>"Complete"</formula>
    </cfRule>
    <cfRule type="cellIs" dxfId="710" priority="2" operator="equal">
      <formula>"Incomplete"</formula>
    </cfRule>
  </conditionalFormatting>
  <dataValidations count="5">
    <dataValidation allowBlank="1" showInputMessage="1" showErrorMessage="1" prompt="Paste in the reporting currency spot base rates from most recent yield curves template published on the Authority's website." sqref="BJ6" xr:uid="{00000000-0002-0000-0A00-000000000000}"/>
    <dataValidation allowBlank="1" showInputMessage="1" showErrorMessage="1" prompt="Enter risk margin for each line of business here, where the insurer is determining the risk margin themselves using a percentage of their best estimate rather than the approach below._x000a__x000a_DO NOT ENTER VALUES IN THIS FIELD IF USING APPROACH 2." sqref="B4" xr:uid="{00000000-0002-0000-0A00-000001000000}"/>
    <dataValidation allowBlank="1" showInputMessage="1" showErrorMessage="1" prompt="For use by insurers who wish to use the approach where the risk margin is 4% multiplied by the modified duration of the best estimate._x000a__x000a_DO NOT ENTER VALUES IN THIS FIELD IF USING APPROACH 1." sqref="B12" xr:uid="{00000000-0002-0000-0A00-000002000000}"/>
    <dataValidation allowBlank="1" showInputMessage="1" showErrorMessage="1" prompt="These should be obtained from Column D of the 'Factors' Tab within the correct month's NLT_Interest_Rate_Helper template." sqref="BJ26" xr:uid="{00000000-0002-0000-0A00-000003000000}"/>
    <dataValidation allowBlank="1" showInputMessage="1" showErrorMessage="1" prompt="The values entered must reflect the expected run-off pattern of the liabilities and should reconcile to the term structure used for the same line of business in the Interest Rate Helper Tab." sqref="B28" xr:uid="{00000000-0002-0000-0A00-000004000000}"/>
  </dataValidations>
  <pageMargins left="0.70866141732283472" right="0.70866141732283472" top="0.74803149606299213" bottom="0.74803149606299213" header="0.31496062992125984" footer="0.31496062992125984"/>
  <pageSetup paperSize="9" scale="81" orientation="landscape" r:id="rId1"/>
  <headerFooter>
    <oddFooter>&amp;CDRAFT - FOR DISCUSSION PURPOSES 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00B050"/>
    <pageSetUpPr fitToPage="1"/>
  </sheetPr>
  <dimension ref="A1:AB44"/>
  <sheetViews>
    <sheetView workbookViewId="0"/>
  </sheetViews>
  <sheetFormatPr defaultColWidth="0" defaultRowHeight="14.25" zeroHeight="1" x14ac:dyDescent="0.2"/>
  <cols>
    <col min="1" max="1" width="1.875" customWidth="1"/>
    <col min="2" max="2" width="44.375" customWidth="1"/>
    <col min="3" max="3" width="2.375" customWidth="1"/>
    <col min="4" max="4" width="18.375" customWidth="1"/>
    <col min="5" max="5" width="1.875" customWidth="1"/>
    <col min="6" max="6" width="19.875" customWidth="1"/>
    <col min="7" max="8" width="1.875" customWidth="1"/>
    <col min="9" max="9" width="9" bestFit="1" customWidth="1"/>
    <col min="10" max="10" width="1.875" customWidth="1"/>
    <col min="11" max="28" width="9" hidden="1"/>
  </cols>
  <sheetData>
    <row r="1" spans="1:10" ht="15.75" x14ac:dyDescent="0.25">
      <c r="A1" s="59">
        <v>1</v>
      </c>
      <c r="B1" s="59"/>
      <c r="C1" s="60"/>
      <c r="D1" s="60"/>
      <c r="E1" s="60"/>
      <c r="F1" s="59"/>
      <c r="G1" s="59"/>
      <c r="H1" s="59"/>
      <c r="I1" s="60"/>
      <c r="J1" s="59"/>
    </row>
    <row r="2" spans="1:10" ht="36" customHeight="1" x14ac:dyDescent="0.25">
      <c r="A2" s="60"/>
      <c r="B2" s="60"/>
      <c r="C2" s="60"/>
      <c r="D2" s="52" t="s">
        <v>40</v>
      </c>
      <c r="E2" s="60"/>
      <c r="F2" s="60"/>
      <c r="G2" s="60"/>
      <c r="H2" s="60"/>
      <c r="I2" s="61"/>
      <c r="J2" s="60"/>
    </row>
    <row r="3" spans="1:10" ht="15.75" x14ac:dyDescent="0.25">
      <c r="A3" s="53"/>
      <c r="B3" s="53"/>
      <c r="C3" s="53"/>
      <c r="D3" s="53"/>
      <c r="E3" s="53"/>
      <c r="F3" s="53"/>
      <c r="G3" s="53"/>
      <c r="H3" s="53"/>
      <c r="I3" s="53"/>
      <c r="J3" s="53"/>
    </row>
    <row r="4" spans="1:10" ht="16.5" thickBot="1" x14ac:dyDescent="0.3">
      <c r="A4" s="53"/>
      <c r="B4" s="53"/>
      <c r="C4" s="53"/>
      <c r="D4" s="53"/>
      <c r="E4" s="53"/>
      <c r="F4" s="53"/>
      <c r="G4" s="53"/>
      <c r="H4" s="53"/>
      <c r="I4" s="334" t="str">
        <f>IF(COUNTIF(I10:I44,"Incomplete")&gt;0,"Incomplete","Complete")</f>
        <v>Complete</v>
      </c>
      <c r="J4" s="53"/>
    </row>
    <row r="5" spans="1:10" ht="18.95" customHeight="1" x14ac:dyDescent="0.25">
      <c r="A5" s="53"/>
      <c r="B5" s="101" t="s">
        <v>286</v>
      </c>
      <c r="C5" s="833"/>
      <c r="D5" s="350" t="s">
        <v>213</v>
      </c>
      <c r="E5" s="70"/>
      <c r="F5" s="69" t="s">
        <v>287</v>
      </c>
      <c r="G5" s="138"/>
      <c r="H5" s="53"/>
      <c r="I5" s="53"/>
      <c r="J5" s="53"/>
    </row>
    <row r="6" spans="1:10" ht="12" customHeight="1" x14ac:dyDescent="0.25">
      <c r="A6" s="53"/>
      <c r="B6" s="102"/>
      <c r="C6" s="834"/>
      <c r="D6" s="103"/>
      <c r="E6" s="104"/>
      <c r="F6" s="171"/>
      <c r="G6" s="105"/>
      <c r="H6" s="53"/>
      <c r="I6" s="53"/>
      <c r="J6" s="53"/>
    </row>
    <row r="7" spans="1:10" ht="16.350000000000001" customHeight="1" thickBot="1" x14ac:dyDescent="0.3">
      <c r="A7" s="53"/>
      <c r="B7" s="354"/>
      <c r="C7" s="352"/>
      <c r="D7" s="75" t="s">
        <v>164</v>
      </c>
      <c r="E7" s="76"/>
      <c r="F7" s="75" t="s">
        <v>164</v>
      </c>
      <c r="G7" s="77"/>
      <c r="H7" s="53"/>
      <c r="I7" s="53"/>
      <c r="J7" s="53"/>
    </row>
    <row r="8" spans="1:10" ht="6" customHeight="1" x14ac:dyDescent="0.25">
      <c r="A8" s="53"/>
      <c r="B8" s="106"/>
      <c r="C8" s="80"/>
      <c r="D8" s="80"/>
      <c r="E8" s="80"/>
      <c r="F8" s="80"/>
      <c r="G8" s="81"/>
      <c r="H8" s="53"/>
      <c r="I8" s="53"/>
      <c r="J8" s="53"/>
    </row>
    <row r="9" spans="1:10" ht="15.75" x14ac:dyDescent="0.25">
      <c r="A9" s="53"/>
      <c r="B9" s="107" t="s">
        <v>288</v>
      </c>
      <c r="C9" s="621"/>
      <c r="D9" s="622"/>
      <c r="E9" s="621"/>
      <c r="F9" s="622"/>
      <c r="G9" s="623"/>
      <c r="H9" s="53"/>
      <c r="I9" s="53"/>
      <c r="J9" s="53"/>
    </row>
    <row r="10" spans="1:10" ht="6" customHeight="1" x14ac:dyDescent="0.25">
      <c r="A10" s="53"/>
      <c r="B10" s="106"/>
      <c r="C10" s="80"/>
      <c r="D10" s="80"/>
      <c r="E10" s="80"/>
      <c r="F10" s="80"/>
      <c r="G10" s="81"/>
      <c r="H10" s="53"/>
      <c r="I10" s="53"/>
      <c r="J10" s="53"/>
    </row>
    <row r="11" spans="1:10" ht="15.75" x14ac:dyDescent="0.25">
      <c r="A11" s="53"/>
      <c r="B11" s="172" t="s">
        <v>289</v>
      </c>
      <c r="C11" s="80"/>
      <c r="D11" s="624">
        <v>0</v>
      </c>
      <c r="E11" s="85"/>
      <c r="F11" s="626">
        <f>'Own Funds'!J12</f>
        <v>0</v>
      </c>
      <c r="G11" s="81"/>
      <c r="H11" s="53"/>
      <c r="I11" s="334" t="str">
        <f>IF(OR(D11=""),"Incomplete","Complete")</f>
        <v>Complete</v>
      </c>
      <c r="J11" s="53"/>
    </row>
    <row r="12" spans="1:10" ht="15.75" x14ac:dyDescent="0.25">
      <c r="A12" s="53"/>
      <c r="B12" s="172" t="s">
        <v>290</v>
      </c>
      <c r="C12" s="80"/>
      <c r="D12" s="624">
        <v>0</v>
      </c>
      <c r="E12" s="85"/>
      <c r="F12" s="626">
        <f>'Own Funds'!J20</f>
        <v>0</v>
      </c>
      <c r="G12" s="81"/>
      <c r="H12" s="53"/>
      <c r="I12" s="334" t="str">
        <f t="shared" ref="I12:I19" si="0">IF(OR(D12=""),"Incomplete","Complete")</f>
        <v>Complete</v>
      </c>
      <c r="J12" s="53"/>
    </row>
    <row r="13" spans="1:10" ht="15.75" x14ac:dyDescent="0.25">
      <c r="A13" s="53"/>
      <c r="B13" s="172" t="s">
        <v>291</v>
      </c>
      <c r="C13" s="80"/>
      <c r="D13" s="624">
        <v>0</v>
      </c>
      <c r="E13" s="85"/>
      <c r="F13" s="626">
        <f>'Own Funds'!J24</f>
        <v>0</v>
      </c>
      <c r="G13" s="81"/>
      <c r="H13" s="53"/>
      <c r="I13" s="334" t="str">
        <f t="shared" si="0"/>
        <v>Complete</v>
      </c>
      <c r="J13" s="53"/>
    </row>
    <row r="14" spans="1:10" ht="15.75" x14ac:dyDescent="0.25">
      <c r="A14" s="53"/>
      <c r="B14" s="172" t="s">
        <v>292</v>
      </c>
      <c r="C14" s="80"/>
      <c r="D14" s="624">
        <v>0</v>
      </c>
      <c r="E14" s="85"/>
      <c r="F14" s="626">
        <f>'Own Funds'!J28</f>
        <v>0</v>
      </c>
      <c r="G14" s="81"/>
      <c r="H14" s="53"/>
      <c r="I14" s="334" t="str">
        <f t="shared" si="0"/>
        <v>Complete</v>
      </c>
      <c r="J14" s="53"/>
    </row>
    <row r="15" spans="1:10" ht="15.75" x14ac:dyDescent="0.25">
      <c r="A15" s="53"/>
      <c r="B15" s="172" t="s">
        <v>293</v>
      </c>
      <c r="C15" s="80"/>
      <c r="D15" s="624">
        <v>0</v>
      </c>
      <c r="E15" s="85"/>
      <c r="F15" s="626">
        <f>'Own Funds'!J32</f>
        <v>0</v>
      </c>
      <c r="G15" s="81"/>
      <c r="H15" s="53"/>
      <c r="I15" s="334" t="str">
        <f t="shared" si="0"/>
        <v>Complete</v>
      </c>
      <c r="J15" s="53"/>
    </row>
    <row r="16" spans="1:10" ht="15.75" x14ac:dyDescent="0.25">
      <c r="A16" s="53"/>
      <c r="B16" s="172" t="s">
        <v>294</v>
      </c>
      <c r="C16" s="80"/>
      <c r="D16" s="624">
        <v>0</v>
      </c>
      <c r="E16" s="85"/>
      <c r="F16" s="626">
        <f>'Own Funds'!J46</f>
        <v>0</v>
      </c>
      <c r="G16" s="81"/>
      <c r="H16" s="53"/>
      <c r="I16" s="334" t="str">
        <f t="shared" si="0"/>
        <v>Complete</v>
      </c>
      <c r="J16" s="53"/>
    </row>
    <row r="17" spans="1:10" ht="15.75" x14ac:dyDescent="0.25">
      <c r="A17" s="53"/>
      <c r="B17" s="172" t="s">
        <v>295</v>
      </c>
      <c r="C17" s="80"/>
      <c r="D17" s="625">
        <v>0</v>
      </c>
      <c r="E17" s="85"/>
      <c r="F17" s="626">
        <f>'Own Funds'!J50</f>
        <v>0</v>
      </c>
      <c r="G17" s="81"/>
      <c r="H17" s="53"/>
      <c r="I17" s="334" t="str">
        <f t="shared" si="0"/>
        <v>Complete</v>
      </c>
      <c r="J17" s="53"/>
    </row>
    <row r="18" spans="1:10" ht="15.75" x14ac:dyDescent="0.25">
      <c r="A18" s="53"/>
      <c r="B18" s="172" t="s">
        <v>296</v>
      </c>
      <c r="C18" s="80"/>
      <c r="D18" s="624">
        <v>0</v>
      </c>
      <c r="E18" s="85"/>
      <c r="F18" s="626">
        <f>'Own Funds'!J58</f>
        <v>0</v>
      </c>
      <c r="G18" s="81"/>
      <c r="H18" s="53"/>
      <c r="I18" s="334" t="str">
        <f t="shared" si="0"/>
        <v>Complete</v>
      </c>
      <c r="J18" s="53"/>
    </row>
    <row r="19" spans="1:10" ht="31.5" x14ac:dyDescent="0.25">
      <c r="A19" s="53"/>
      <c r="B19" s="173" t="s">
        <v>297</v>
      </c>
      <c r="C19" s="80"/>
      <c r="D19" s="624">
        <v>0</v>
      </c>
      <c r="E19" s="85"/>
      <c r="F19" s="626">
        <f>'Own Funds'!J66+'Own Funds'!J70</f>
        <v>0</v>
      </c>
      <c r="G19" s="81"/>
      <c r="H19" s="53"/>
      <c r="I19" s="334" t="str">
        <f t="shared" si="0"/>
        <v>Complete</v>
      </c>
      <c r="J19" s="53"/>
    </row>
    <row r="20" spans="1:10" ht="15.75" x14ac:dyDescent="0.25">
      <c r="A20" s="53"/>
      <c r="B20" s="172" t="s">
        <v>298</v>
      </c>
      <c r="C20" s="80"/>
      <c r="D20" s="624">
        <v>0</v>
      </c>
      <c r="E20" s="85"/>
      <c r="F20" s="626">
        <f>'Own Funds'!J74</f>
        <v>0</v>
      </c>
      <c r="G20" s="81"/>
      <c r="H20" s="53"/>
      <c r="I20" s="334" t="str">
        <f>IF(OR(D20=""),"Incomplete","Complete")</f>
        <v>Complete</v>
      </c>
      <c r="J20" s="53"/>
    </row>
    <row r="21" spans="1:10" ht="6" customHeight="1" x14ac:dyDescent="0.25">
      <c r="A21" s="53"/>
      <c r="B21" s="106"/>
      <c r="C21" s="80"/>
      <c r="D21" s="85"/>
      <c r="E21" s="85"/>
      <c r="F21" s="85"/>
      <c r="G21" s="81"/>
      <c r="H21" s="53"/>
      <c r="I21" s="53"/>
      <c r="J21" s="53"/>
    </row>
    <row r="22" spans="1:10" ht="15.75" x14ac:dyDescent="0.25">
      <c r="A22" s="53"/>
      <c r="B22" s="106" t="s">
        <v>169</v>
      </c>
      <c r="C22" s="80"/>
      <c r="D22" s="626">
        <f>SUM(D11:D20)</f>
        <v>0</v>
      </c>
      <c r="E22" s="85"/>
      <c r="F22" s="626">
        <f>SUM(F11:F20)</f>
        <v>0</v>
      </c>
      <c r="G22" s="81"/>
      <c r="H22" s="53"/>
      <c r="I22" s="66"/>
      <c r="J22" s="53"/>
    </row>
    <row r="23" spans="1:10" ht="6" customHeight="1" x14ac:dyDescent="0.25">
      <c r="A23" s="53"/>
      <c r="B23" s="106"/>
      <c r="C23" s="80"/>
      <c r="D23" s="85"/>
      <c r="E23" s="85"/>
      <c r="F23" s="85"/>
      <c r="G23" s="81"/>
      <c r="H23" s="53"/>
      <c r="I23" s="53"/>
      <c r="J23" s="53"/>
    </row>
    <row r="24" spans="1:10" ht="15.75" x14ac:dyDescent="0.25">
      <c r="A24" s="53"/>
      <c r="B24" s="107" t="s">
        <v>299</v>
      </c>
      <c r="C24" s="621"/>
      <c r="D24" s="627"/>
      <c r="E24" s="628"/>
      <c r="F24" s="627"/>
      <c r="G24" s="623"/>
      <c r="H24" s="53"/>
      <c r="I24" s="53"/>
      <c r="J24" s="53"/>
    </row>
    <row r="25" spans="1:10" ht="6" customHeight="1" x14ac:dyDescent="0.25">
      <c r="A25" s="53"/>
      <c r="B25" s="106"/>
      <c r="C25" s="80"/>
      <c r="D25" s="85"/>
      <c r="E25" s="85"/>
      <c r="F25" s="85"/>
      <c r="G25" s="81"/>
      <c r="H25" s="53"/>
      <c r="I25" s="53"/>
      <c r="J25" s="53"/>
    </row>
    <row r="26" spans="1:10" ht="15.75" x14ac:dyDescent="0.25">
      <c r="A26" s="53"/>
      <c r="B26" s="172" t="s">
        <v>300</v>
      </c>
      <c r="C26" s="80"/>
      <c r="D26" s="625">
        <v>0</v>
      </c>
      <c r="E26" s="85"/>
      <c r="F26" s="626">
        <f>'Own Funds'!J36</f>
        <v>0</v>
      </c>
      <c r="G26" s="81"/>
      <c r="H26" s="53"/>
      <c r="I26" s="53"/>
      <c r="J26" s="53"/>
    </row>
    <row r="27" spans="1:10" ht="15.75" x14ac:dyDescent="0.25">
      <c r="A27" s="53"/>
      <c r="B27" s="172" t="s">
        <v>301</v>
      </c>
      <c r="C27" s="80"/>
      <c r="D27" s="625">
        <v>0</v>
      </c>
      <c r="E27" s="85"/>
      <c r="F27" s="626">
        <f>'Own Funds'!J37</f>
        <v>0</v>
      </c>
      <c r="G27" s="81"/>
      <c r="H27" s="53"/>
      <c r="I27" s="53"/>
      <c r="J27" s="53"/>
    </row>
    <row r="28" spans="1:10" ht="15.75" x14ac:dyDescent="0.25">
      <c r="A28" s="53"/>
      <c r="B28" s="174" t="s">
        <v>302</v>
      </c>
      <c r="C28" s="80"/>
      <c r="D28" s="625">
        <v>0</v>
      </c>
      <c r="E28" s="85"/>
      <c r="F28" s="626">
        <f>'Own Funds'!J38</f>
        <v>0</v>
      </c>
      <c r="G28" s="81"/>
      <c r="H28" s="53"/>
      <c r="I28" s="53"/>
      <c r="J28" s="53"/>
    </row>
    <row r="29" spans="1:10" ht="15.75" x14ac:dyDescent="0.25">
      <c r="A29" s="53"/>
      <c r="B29" s="172" t="s">
        <v>303</v>
      </c>
      <c r="C29" s="80"/>
      <c r="D29" s="625">
        <v>0</v>
      </c>
      <c r="E29" s="85"/>
      <c r="F29" s="626">
        <f>'Own Funds'!J39</f>
        <v>0</v>
      </c>
      <c r="G29" s="81"/>
      <c r="H29" s="53"/>
      <c r="I29" s="53"/>
      <c r="J29" s="53"/>
    </row>
    <row r="30" spans="1:10" ht="84.75" customHeight="1" x14ac:dyDescent="0.25">
      <c r="A30" s="53"/>
      <c r="B30" s="175" t="s">
        <v>1097</v>
      </c>
      <c r="C30" s="80"/>
      <c r="D30" s="760">
        <v>0</v>
      </c>
      <c r="E30" s="80"/>
      <c r="F30" s="761">
        <v>0</v>
      </c>
      <c r="G30" s="81"/>
      <c r="H30" s="53"/>
      <c r="I30" s="334" t="str">
        <f>IF(OR(F30=""),"Incomplete","Complete")</f>
        <v>Complete</v>
      </c>
      <c r="J30" s="53"/>
    </row>
    <row r="31" spans="1:10" ht="83.25" customHeight="1" x14ac:dyDescent="0.25">
      <c r="A31" s="53"/>
      <c r="B31" s="175" t="s">
        <v>1129</v>
      </c>
      <c r="C31" s="155"/>
      <c r="D31" s="785">
        <v>0</v>
      </c>
      <c r="E31" s="155"/>
      <c r="F31" s="786">
        <v>0</v>
      </c>
      <c r="G31" s="81"/>
      <c r="H31" s="53"/>
      <c r="I31" s="334" t="str">
        <f>IF(OR(F31=""),"Incomplete","Complete")</f>
        <v>Complete</v>
      </c>
      <c r="J31" s="53"/>
    </row>
    <row r="32" spans="1:10" ht="15.75" x14ac:dyDescent="0.25">
      <c r="A32" s="53"/>
      <c r="B32" s="106" t="s">
        <v>169</v>
      </c>
      <c r="C32" s="80"/>
      <c r="D32" s="626">
        <f>SUM(D26:D31)</f>
        <v>0</v>
      </c>
      <c r="E32" s="85"/>
      <c r="F32" s="626">
        <f>SUM(F26:F31)</f>
        <v>0</v>
      </c>
      <c r="G32" s="81"/>
      <c r="H32" s="53"/>
      <c r="I32" s="66"/>
      <c r="J32" s="53"/>
    </row>
    <row r="33" spans="1:10" ht="6" customHeight="1" x14ac:dyDescent="0.25">
      <c r="A33" s="53"/>
      <c r="B33" s="106"/>
      <c r="C33" s="80"/>
      <c r="D33" s="85"/>
      <c r="E33" s="85"/>
      <c r="F33" s="85"/>
      <c r="G33" s="81"/>
      <c r="H33" s="53"/>
      <c r="I33" s="53"/>
      <c r="J33" s="53"/>
    </row>
    <row r="34" spans="1:10" ht="15.75" x14ac:dyDescent="0.25">
      <c r="A34" s="53"/>
      <c r="B34" s="107" t="s">
        <v>304</v>
      </c>
      <c r="C34" s="621"/>
      <c r="D34" s="627"/>
      <c r="E34" s="628"/>
      <c r="F34" s="627"/>
      <c r="G34" s="623"/>
      <c r="H34" s="53"/>
      <c r="I34" s="53"/>
      <c r="J34" s="53"/>
    </row>
    <row r="35" spans="1:10" ht="6" customHeight="1" x14ac:dyDescent="0.25">
      <c r="A35" s="53"/>
      <c r="B35" s="106"/>
      <c r="C35" s="80"/>
      <c r="D35" s="85"/>
      <c r="E35" s="85"/>
      <c r="F35" s="85"/>
      <c r="G35" s="81"/>
      <c r="H35" s="53"/>
      <c r="I35" s="53"/>
      <c r="J35" s="53"/>
    </row>
    <row r="36" spans="1:10" ht="15.75" x14ac:dyDescent="0.25">
      <c r="A36" s="53"/>
      <c r="B36" s="106" t="s">
        <v>209</v>
      </c>
      <c r="C36" s="80"/>
      <c r="D36" s="626">
        <f>D22</f>
        <v>0</v>
      </c>
      <c r="E36" s="85"/>
      <c r="F36" s="626">
        <f>SUM(F32,F22)</f>
        <v>0</v>
      </c>
      <c r="G36" s="81"/>
      <c r="H36" s="53"/>
      <c r="I36" s="66"/>
      <c r="J36" s="53"/>
    </row>
    <row r="37" spans="1:10" ht="6" customHeight="1" thickBot="1" x14ac:dyDescent="0.3">
      <c r="A37" s="53"/>
      <c r="B37" s="110"/>
      <c r="C37" s="93"/>
      <c r="D37" s="93"/>
      <c r="E37" s="93"/>
      <c r="F37" s="93"/>
      <c r="G37" s="94"/>
      <c r="H37" s="53"/>
      <c r="I37" s="53"/>
      <c r="J37" s="53"/>
    </row>
    <row r="38" spans="1:10" ht="15.75" x14ac:dyDescent="0.25">
      <c r="A38" s="53"/>
      <c r="B38" s="53"/>
      <c r="C38" s="53"/>
      <c r="D38" s="53"/>
      <c r="E38" s="53"/>
      <c r="F38" s="53"/>
      <c r="G38" s="53"/>
      <c r="H38" s="53"/>
      <c r="I38" s="53"/>
      <c r="J38" s="53"/>
    </row>
    <row r="39" spans="1:10" ht="6" customHeight="1" thickBot="1" x14ac:dyDescent="0.3">
      <c r="A39" s="53"/>
      <c r="B39" s="53"/>
      <c r="C39" s="53"/>
      <c r="D39" s="53"/>
      <c r="E39" s="53"/>
      <c r="F39" s="53"/>
      <c r="G39" s="53"/>
      <c r="H39" s="53"/>
      <c r="I39" s="53"/>
      <c r="J39" s="53"/>
    </row>
    <row r="40" spans="1:10" ht="6" customHeight="1" x14ac:dyDescent="0.25">
      <c r="A40" s="53"/>
      <c r="B40" s="176"/>
      <c r="C40" s="135"/>
      <c r="D40" s="135"/>
      <c r="E40" s="135"/>
      <c r="F40" s="135"/>
      <c r="G40" s="177"/>
      <c r="H40" s="53"/>
      <c r="I40" s="53"/>
      <c r="J40" s="53"/>
    </row>
    <row r="41" spans="1:10" ht="15.75" x14ac:dyDescent="0.25">
      <c r="A41" s="53"/>
      <c r="B41" s="178" t="s">
        <v>305</v>
      </c>
      <c r="C41" s="179"/>
      <c r="D41" s="180" t="str">
        <f>IF(ABS('RBS - Other Liab'!D34-Acc_Capital)&lt;0.001,"OK","ERROR")</f>
        <v>OK</v>
      </c>
      <c r="E41" s="355"/>
      <c r="F41" s="180" t="str">
        <f>IF(ABS('RBS - Other Liab'!F34-Reg_Capital_10+F31)&lt;0.001,"OK","ERROR")</f>
        <v>OK</v>
      </c>
      <c r="G41" s="181"/>
      <c r="H41" s="53"/>
      <c r="I41" s="334" t="str">
        <f>IF(OR(D41="ERROR",F41="ERROR"),"Incomplete","Complete")</f>
        <v>Complete</v>
      </c>
      <c r="J41" s="53"/>
    </row>
    <row r="42" spans="1:10" ht="6" customHeight="1" thickBot="1" x14ac:dyDescent="0.3">
      <c r="A42" s="53"/>
      <c r="B42" s="182"/>
      <c r="C42" s="140"/>
      <c r="D42" s="140"/>
      <c r="E42" s="140"/>
      <c r="F42" s="140"/>
      <c r="G42" s="183"/>
      <c r="H42" s="53"/>
      <c r="I42" s="53"/>
      <c r="J42" s="53"/>
    </row>
    <row r="43" spans="1:10" ht="15.75" x14ac:dyDescent="0.25">
      <c r="A43" s="53"/>
      <c r="B43" s="53"/>
      <c r="C43" s="53"/>
      <c r="D43" s="53"/>
      <c r="E43" s="53"/>
      <c r="F43" s="53"/>
      <c r="G43" s="53"/>
      <c r="H43" s="53"/>
      <c r="I43" s="53"/>
      <c r="J43" s="53"/>
    </row>
    <row r="44" spans="1:10" ht="6" customHeight="1" x14ac:dyDescent="0.25">
      <c r="A44" s="53"/>
      <c r="B44" s="53"/>
      <c r="C44" s="53"/>
      <c r="D44" s="53"/>
      <c r="E44" s="53"/>
      <c r="F44" s="53"/>
      <c r="G44" s="53"/>
      <c r="H44" s="53"/>
      <c r="I44" s="53"/>
      <c r="J44" s="53"/>
    </row>
  </sheetData>
  <sheetProtection algorithmName="SHA-512" hashValue="bXm6xhggam9TAXAdOqtiy4c6sFZDuOKlmxPd7QRAtZkJs9dKJzjFy9iVeQOvaWwTMDFTOzVlAYn85z8caxhB2A==" saltValue="uiVL8rWoJiZS599z28m9ow==" spinCount="100000" sheet="1" objects="1" scenarios="1"/>
  <customSheetViews>
    <customSheetView guid="{5F9ED89D-ECFA-4459-A055-6360C65F3370}" scale="85" fitToPage="1" hiddenRows="1" hiddenColumns="1">
      <selection activeCell="D11" sqref="D11"/>
      <pageMargins left="0" right="0" top="0" bottom="0" header="0" footer="0"/>
      <pageSetup paperSize="9" orientation="portrait" r:id="rId1"/>
      <headerFooter>
        <oddFooter>&amp;CDRAFT - FOR DISCUSSION PURPOSES ONLY</oddFooter>
      </headerFooter>
    </customSheetView>
  </customSheetViews>
  <mergeCells count="1">
    <mergeCell ref="C5:C6"/>
  </mergeCells>
  <conditionalFormatting sqref="D41 F41">
    <cfRule type="cellIs" dxfId="709" priority="13" operator="equal">
      <formula>"OK"</formula>
    </cfRule>
    <cfRule type="cellIs" dxfId="708" priority="14" operator="equal">
      <formula>"ERROR"</formula>
    </cfRule>
  </conditionalFormatting>
  <conditionalFormatting sqref="I1 I3 I5:I10 I21:I29">
    <cfRule type="cellIs" dxfId="707" priority="31" operator="equal">
      <formula>"ZERO"</formula>
    </cfRule>
  </conditionalFormatting>
  <conditionalFormatting sqref="I1:I3">
    <cfRule type="cellIs" dxfId="706" priority="21" operator="equal">
      <formula>"OK"</formula>
    </cfRule>
    <cfRule type="cellIs" dxfId="705" priority="22" operator="equal">
      <formula>"ERROR"</formula>
    </cfRule>
  </conditionalFormatting>
  <conditionalFormatting sqref="I4">
    <cfRule type="cellIs" dxfId="704" priority="5" operator="equal">
      <formula>"Complete"</formula>
    </cfRule>
    <cfRule type="cellIs" dxfId="703" priority="6" operator="equal">
      <formula>"Incomplete"</formula>
    </cfRule>
  </conditionalFormatting>
  <conditionalFormatting sqref="I5:I10 I21:I29">
    <cfRule type="cellIs" dxfId="702" priority="29" operator="equal">
      <formula>"OK"</formula>
    </cfRule>
    <cfRule type="cellIs" dxfId="701" priority="30" operator="equal">
      <formula>"ERROR"</formula>
    </cfRule>
  </conditionalFormatting>
  <conditionalFormatting sqref="I11:I20">
    <cfRule type="cellIs" dxfId="700" priority="9" operator="equal">
      <formula>"Complete"</formula>
    </cfRule>
    <cfRule type="cellIs" dxfId="699" priority="10" operator="equal">
      <formula>"Incomplete"</formula>
    </cfRule>
  </conditionalFormatting>
  <conditionalFormatting sqref="I30:I31">
    <cfRule type="cellIs" dxfId="698" priority="1" operator="equal">
      <formula>"Complete"</formula>
    </cfRule>
    <cfRule type="cellIs" dxfId="697" priority="2" operator="equal">
      <formula>"Incomplete"</formula>
    </cfRule>
  </conditionalFormatting>
  <conditionalFormatting sqref="I32:I40">
    <cfRule type="cellIs" dxfId="696" priority="18" operator="equal">
      <formula>"OK"</formula>
    </cfRule>
    <cfRule type="cellIs" dxfId="695" priority="19" operator="equal">
      <formula>"ERROR"</formula>
    </cfRule>
    <cfRule type="cellIs" dxfId="694" priority="20" operator="equal">
      <formula>"ZERO"</formula>
    </cfRule>
  </conditionalFormatting>
  <conditionalFormatting sqref="I41">
    <cfRule type="cellIs" dxfId="693" priority="7" operator="equal">
      <formula>"Complete"</formula>
    </cfRule>
    <cfRule type="cellIs" dxfId="692" priority="8" operator="equal">
      <formula>"Incomplete"</formula>
    </cfRule>
  </conditionalFormatting>
  <conditionalFormatting sqref="I42:I44">
    <cfRule type="cellIs" dxfId="691" priority="15" operator="equal">
      <formula>"OK"</formula>
    </cfRule>
    <cfRule type="cellIs" dxfId="690" priority="16" operator="equal">
      <formula>"ERROR"</formula>
    </cfRule>
    <cfRule type="cellIs" dxfId="689" priority="17" operator="equal">
      <formula>"ZERO"</formula>
    </cfRule>
  </conditionalFormatting>
  <dataValidations count="4">
    <dataValidation allowBlank="1" showErrorMessage="1" promptTitle="Capital" prompt="See TS(10) for valuation of capital resources." sqref="C5:C7" xr:uid="{00000000-0002-0000-0B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F7" xr:uid="{00000000-0002-0000-0B00-000001000000}"/>
    <dataValidation allowBlank="1" showInputMessage="1" showErrorMessage="1" prompt="I.e. forseeable dividends should be included here._x000a__x000a_The sum of F30 and F31 must equal cell D40 in the Own Funds tab." sqref="B31" xr:uid="{00000000-0002-0000-0B00-000002000000}"/>
    <dataValidation allowBlank="1" showInputMessage="1" showErrorMessage="1" prompt="Where an insurer has called up but unpaid share capital which is in their reconciliation reserve, this should be included here as called up but unpaid share capital is either Tier 2 or Tier 3, not Tier 1_x000a__x000a_ F30+F31 must equal cell D40 in the Own Funds tab." sqref="B30" xr:uid="{00000000-0002-0000-0B00-000003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50"/>
    <pageSetUpPr fitToPage="1"/>
  </sheetPr>
  <dimension ref="A1:XFC154"/>
  <sheetViews>
    <sheetView zoomScaleNormal="100" workbookViewId="0"/>
  </sheetViews>
  <sheetFormatPr defaultColWidth="2.625" defaultRowHeight="14.25" zeroHeight="1" x14ac:dyDescent="0.2"/>
  <cols>
    <col min="1" max="1" width="1.875" customWidth="1"/>
    <col min="2" max="2" width="45.125" customWidth="1"/>
    <col min="3" max="3" width="1.875" customWidth="1"/>
    <col min="4" max="4" width="18.875" customWidth="1"/>
    <col min="5" max="5" width="1.875" customWidth="1"/>
    <col min="6" max="6" width="18.625" customWidth="1"/>
    <col min="7" max="7" width="1.875" customWidth="1"/>
    <col min="8" max="8" width="19.125" customWidth="1"/>
    <col min="9" max="9" width="1.875" customWidth="1"/>
    <col min="10" max="10" width="18.375" customWidth="1"/>
    <col min="11" max="12" width="1.875" customWidth="1"/>
    <col min="13" max="13" width="94.625" customWidth="1"/>
    <col min="14" max="14" width="3.375" customWidth="1"/>
    <col min="15" max="15" width="12.125" customWidth="1"/>
    <col min="16" max="16" width="9" customWidth="1"/>
    <col min="17" max="16383" width="9" hidden="1" customWidth="1"/>
    <col min="16384" max="16384" width="0" hidden="1" customWidth="1"/>
  </cols>
  <sheetData>
    <row r="1" spans="1:16" ht="15.75" x14ac:dyDescent="0.25">
      <c r="A1" s="59">
        <v>1</v>
      </c>
      <c r="B1" s="59"/>
      <c r="C1" s="60"/>
      <c r="D1" s="60"/>
      <c r="E1" s="60"/>
      <c r="F1" s="60"/>
      <c r="G1" s="60"/>
      <c r="H1" s="60"/>
      <c r="I1" s="60"/>
      <c r="J1" s="60"/>
      <c r="K1" s="60"/>
      <c r="L1" s="59"/>
      <c r="M1" s="185"/>
      <c r="N1" s="185"/>
      <c r="O1" s="59"/>
      <c r="P1" s="7"/>
    </row>
    <row r="2" spans="1:16" ht="33" customHeight="1" x14ac:dyDescent="0.25">
      <c r="A2" s="60"/>
      <c r="B2" s="60"/>
      <c r="C2" s="60"/>
      <c r="D2" s="52" t="s">
        <v>306</v>
      </c>
      <c r="E2" s="60"/>
      <c r="F2" s="60"/>
      <c r="G2" s="60"/>
      <c r="H2" s="60"/>
      <c r="I2" s="60"/>
      <c r="J2" s="60"/>
      <c r="K2" s="60"/>
      <c r="L2" s="60"/>
      <c r="M2" s="186"/>
      <c r="N2" s="186"/>
      <c r="O2" s="60"/>
      <c r="P2" s="7"/>
    </row>
    <row r="3" spans="1:16" ht="15.75" x14ac:dyDescent="0.25">
      <c r="A3" s="53"/>
      <c r="B3" s="53"/>
      <c r="C3" s="53"/>
      <c r="D3" s="53"/>
      <c r="E3" s="53"/>
      <c r="F3" s="53"/>
      <c r="G3" s="53"/>
      <c r="H3" s="53"/>
      <c r="I3" s="53"/>
      <c r="J3" s="53"/>
      <c r="K3" s="53"/>
      <c r="L3" s="53"/>
      <c r="M3" s="158"/>
      <c r="N3" s="158"/>
      <c r="O3" s="53"/>
      <c r="P3" s="7"/>
    </row>
    <row r="4" spans="1:16" ht="16.5" thickBot="1" x14ac:dyDescent="0.3">
      <c r="A4" s="53"/>
      <c r="B4" s="53"/>
      <c r="C4" s="53"/>
      <c r="D4" s="53"/>
      <c r="E4" s="53"/>
      <c r="F4" s="53"/>
      <c r="G4" s="53"/>
      <c r="H4" s="53"/>
      <c r="I4" s="53"/>
      <c r="J4" s="53"/>
      <c r="K4" s="53"/>
      <c r="L4" s="53"/>
      <c r="M4" s="158"/>
      <c r="N4" s="158"/>
      <c r="O4" s="334" t="str">
        <f>IF(COUNTIF(O9:O150,"Incomplete")&gt;0,"Incomplete","Complete")</f>
        <v>Complete</v>
      </c>
      <c r="P4" s="7"/>
    </row>
    <row r="5" spans="1:16" ht="15.75" x14ac:dyDescent="0.25">
      <c r="A5" s="53"/>
      <c r="B5" s="187" t="s">
        <v>307</v>
      </c>
      <c r="C5" s="135"/>
      <c r="D5" s="69" t="s">
        <v>308</v>
      </c>
      <c r="E5" s="70"/>
      <c r="F5" s="69" t="s">
        <v>309</v>
      </c>
      <c r="G5" s="70"/>
      <c r="H5" s="69" t="s">
        <v>310</v>
      </c>
      <c r="I5" s="70"/>
      <c r="J5" s="69" t="s">
        <v>169</v>
      </c>
      <c r="K5" s="138"/>
      <c r="L5" s="53"/>
      <c r="M5" s="158"/>
      <c r="N5" s="158"/>
      <c r="O5" s="53"/>
      <c r="P5" s="7"/>
    </row>
    <row r="6" spans="1:16" ht="16.5" thickBot="1" x14ac:dyDescent="0.3">
      <c r="A6" s="53"/>
      <c r="B6" s="188"/>
      <c r="C6" s="75"/>
      <c r="D6" s="75" t="s">
        <v>164</v>
      </c>
      <c r="E6" s="76"/>
      <c r="F6" s="75" t="s">
        <v>164</v>
      </c>
      <c r="G6" s="76"/>
      <c r="H6" s="75" t="s">
        <v>164</v>
      </c>
      <c r="I6" s="76"/>
      <c r="J6" s="75" t="s">
        <v>164</v>
      </c>
      <c r="K6" s="189"/>
      <c r="L6" s="53"/>
      <c r="M6" s="158"/>
      <c r="N6" s="158"/>
      <c r="O6" s="53"/>
      <c r="P6" s="7"/>
    </row>
    <row r="7" spans="1:16" ht="15.75" x14ac:dyDescent="0.25">
      <c r="A7" s="53"/>
      <c r="B7" s="121" t="s">
        <v>311</v>
      </c>
      <c r="C7" s="122"/>
      <c r="D7" s="123"/>
      <c r="E7" s="122"/>
      <c r="F7" s="123"/>
      <c r="G7" s="122"/>
      <c r="H7" s="123"/>
      <c r="I7" s="122"/>
      <c r="J7" s="123"/>
      <c r="K7" s="124"/>
      <c r="L7" s="53"/>
      <c r="M7" s="158"/>
      <c r="N7" s="158"/>
      <c r="O7" s="53"/>
      <c r="P7" s="7"/>
    </row>
    <row r="8" spans="1:16" ht="15.75" x14ac:dyDescent="0.25">
      <c r="A8" s="53"/>
      <c r="B8" s="106"/>
      <c r="C8" s="80"/>
      <c r="D8" s="80"/>
      <c r="E8" s="80"/>
      <c r="F8" s="80"/>
      <c r="G8" s="80"/>
      <c r="H8" s="80"/>
      <c r="I8" s="80"/>
      <c r="J8" s="80"/>
      <c r="K8" s="81"/>
      <c r="L8" s="53"/>
      <c r="M8" s="158"/>
      <c r="N8" s="158"/>
      <c r="O8" s="53"/>
      <c r="P8" s="7"/>
    </row>
    <row r="9" spans="1:16" ht="15.75" x14ac:dyDescent="0.25">
      <c r="A9" s="53"/>
      <c r="B9" s="172" t="s">
        <v>312</v>
      </c>
      <c r="C9" s="80"/>
      <c r="D9" s="624">
        <v>0</v>
      </c>
      <c r="E9" s="85"/>
      <c r="F9" s="624">
        <v>0</v>
      </c>
      <c r="G9" s="85"/>
      <c r="H9" s="625">
        <v>0</v>
      </c>
      <c r="I9" s="85"/>
      <c r="J9" s="626">
        <f>SUM(D9,F9,H9)</f>
        <v>0</v>
      </c>
      <c r="K9" s="81"/>
      <c r="L9" s="53"/>
      <c r="M9" s="158"/>
      <c r="N9" s="158"/>
      <c r="O9" s="334" t="str">
        <f>IF(OR(D9="",F9="",H9=""),"Incomplete","Complete")</f>
        <v>Complete</v>
      </c>
      <c r="P9" s="7"/>
    </row>
    <row r="10" spans="1:16" ht="15.75" x14ac:dyDescent="0.25">
      <c r="A10" s="53"/>
      <c r="B10" s="172" t="s">
        <v>313</v>
      </c>
      <c r="C10" s="80"/>
      <c r="D10" s="625">
        <v>0</v>
      </c>
      <c r="E10" s="85"/>
      <c r="F10" s="624">
        <v>0</v>
      </c>
      <c r="G10" s="85"/>
      <c r="H10" s="624">
        <v>0</v>
      </c>
      <c r="I10" s="85"/>
      <c r="J10" s="626">
        <f>SUM(D10,F10,H10)</f>
        <v>0</v>
      </c>
      <c r="K10" s="81"/>
      <c r="L10" s="53"/>
      <c r="M10" s="158"/>
      <c r="N10" s="158"/>
      <c r="O10" s="334" t="str">
        <f>IF(OR(D10="",F10="",H10=""),"Incomplete","Complete")</f>
        <v>Complete</v>
      </c>
      <c r="P10" s="7"/>
    </row>
    <row r="11" spans="1:16" ht="15.75" x14ac:dyDescent="0.25">
      <c r="A11" s="53"/>
      <c r="B11" s="106"/>
      <c r="C11" s="80"/>
      <c r="D11" s="85"/>
      <c r="E11" s="85"/>
      <c r="F11" s="85"/>
      <c r="G11" s="85"/>
      <c r="H11" s="85"/>
      <c r="I11" s="85"/>
      <c r="J11" s="85"/>
      <c r="K11" s="81"/>
      <c r="L11" s="53"/>
      <c r="M11" s="158"/>
      <c r="N11" s="158"/>
      <c r="O11" s="53"/>
      <c r="P11" s="7"/>
    </row>
    <row r="12" spans="1:16" ht="15.75" x14ac:dyDescent="0.25">
      <c r="A12" s="53"/>
      <c r="B12" s="106" t="s">
        <v>169</v>
      </c>
      <c r="C12" s="80"/>
      <c r="D12" s="626">
        <f>SUM(D9:D10)</f>
        <v>0</v>
      </c>
      <c r="E12" s="85"/>
      <c r="F12" s="626">
        <f>SUM(F9:F10)</f>
        <v>0</v>
      </c>
      <c r="G12" s="85"/>
      <c r="H12" s="626">
        <f>SUM(H9:H10)</f>
        <v>0</v>
      </c>
      <c r="I12" s="85"/>
      <c r="J12" s="626">
        <f>SUM(J9:J10)</f>
        <v>0</v>
      </c>
      <c r="K12" s="81"/>
      <c r="L12" s="53"/>
      <c r="M12" s="158"/>
      <c r="N12" s="158"/>
      <c r="O12" s="53"/>
      <c r="P12" s="7"/>
    </row>
    <row r="13" spans="1:16" ht="15.75" x14ac:dyDescent="0.25">
      <c r="A13" s="53"/>
      <c r="B13" s="106"/>
      <c r="C13" s="80"/>
      <c r="D13" s="85"/>
      <c r="E13" s="85"/>
      <c r="F13" s="85"/>
      <c r="G13" s="85"/>
      <c r="H13" s="85"/>
      <c r="I13" s="85"/>
      <c r="J13" s="85"/>
      <c r="K13" s="81"/>
      <c r="L13" s="53"/>
      <c r="M13" s="158"/>
      <c r="N13" s="158"/>
      <c r="O13" s="53"/>
      <c r="P13" s="7"/>
    </row>
    <row r="14" spans="1:16" ht="15.75" x14ac:dyDescent="0.25">
      <c r="A14" s="53"/>
      <c r="B14" s="107" t="s">
        <v>314</v>
      </c>
      <c r="C14" s="621"/>
      <c r="D14" s="627"/>
      <c r="E14" s="628"/>
      <c r="F14" s="627"/>
      <c r="G14" s="628"/>
      <c r="H14" s="627"/>
      <c r="I14" s="628"/>
      <c r="J14" s="627"/>
      <c r="K14" s="623"/>
      <c r="L14" s="53"/>
      <c r="M14" s="158"/>
      <c r="N14" s="158"/>
      <c r="O14" s="53"/>
      <c r="P14" s="7"/>
    </row>
    <row r="15" spans="1:16" ht="15.75" x14ac:dyDescent="0.25">
      <c r="A15" s="53"/>
      <c r="B15" s="106"/>
      <c r="C15" s="80"/>
      <c r="D15" s="85"/>
      <c r="E15" s="85"/>
      <c r="F15" s="85"/>
      <c r="G15" s="85"/>
      <c r="H15" s="85"/>
      <c r="I15" s="85"/>
      <c r="J15" s="85"/>
      <c r="K15" s="81"/>
      <c r="L15" s="53"/>
      <c r="M15" s="158"/>
      <c r="N15" s="158"/>
      <c r="O15" s="53"/>
      <c r="P15" s="7"/>
    </row>
    <row r="16" spans="1:16" ht="15.75" x14ac:dyDescent="0.25">
      <c r="A16" s="53"/>
      <c r="B16" s="172" t="s">
        <v>312</v>
      </c>
      <c r="C16" s="80"/>
      <c r="D16" s="624">
        <v>0</v>
      </c>
      <c r="E16" s="85"/>
      <c r="F16" s="624">
        <v>0</v>
      </c>
      <c r="G16" s="85"/>
      <c r="H16" s="624">
        <v>0</v>
      </c>
      <c r="I16" s="85"/>
      <c r="J16" s="626">
        <f>SUM(D16,F16,H16)</f>
        <v>0</v>
      </c>
      <c r="K16" s="81"/>
      <c r="L16" s="53"/>
      <c r="M16" s="158"/>
      <c r="N16" s="158"/>
      <c r="O16" s="334" t="str">
        <f t="shared" ref="O16:O18" si="0">IF(OR(D16="",F16="",H16=""),"Incomplete","Complete")</f>
        <v>Complete</v>
      </c>
      <c r="P16" s="7"/>
    </row>
    <row r="17" spans="1:16" ht="15.75" x14ac:dyDescent="0.25">
      <c r="A17" s="53"/>
      <c r="B17" s="172" t="s">
        <v>313</v>
      </c>
      <c r="C17" s="80"/>
      <c r="D17" s="625">
        <v>0</v>
      </c>
      <c r="E17" s="85"/>
      <c r="F17" s="624">
        <v>0</v>
      </c>
      <c r="G17" s="85"/>
      <c r="H17" s="624">
        <v>0</v>
      </c>
      <c r="I17" s="85"/>
      <c r="J17" s="626">
        <f>SUM(D17,F17,H17)</f>
        <v>0</v>
      </c>
      <c r="K17" s="81"/>
      <c r="L17" s="53"/>
      <c r="M17" s="158"/>
      <c r="N17" s="158"/>
      <c r="O17" s="334" t="str">
        <f t="shared" si="0"/>
        <v>Complete</v>
      </c>
      <c r="P17" s="7"/>
    </row>
    <row r="18" spans="1:16" ht="15.75" x14ac:dyDescent="0.25">
      <c r="A18" s="53"/>
      <c r="B18" s="172" t="s">
        <v>315</v>
      </c>
      <c r="C18" s="80"/>
      <c r="D18" s="625">
        <v>0</v>
      </c>
      <c r="E18" s="85"/>
      <c r="F18" s="624">
        <v>0</v>
      </c>
      <c r="G18" s="85"/>
      <c r="H18" s="624">
        <v>0</v>
      </c>
      <c r="I18" s="85"/>
      <c r="J18" s="626">
        <f>SUM(D18,F18,H18)</f>
        <v>0</v>
      </c>
      <c r="K18" s="81"/>
      <c r="L18" s="53"/>
      <c r="M18" s="158"/>
      <c r="N18" s="158"/>
      <c r="O18" s="334" t="str">
        <f t="shared" si="0"/>
        <v>Complete</v>
      </c>
      <c r="P18" s="7"/>
    </row>
    <row r="19" spans="1:16" ht="15.75" x14ac:dyDescent="0.25">
      <c r="A19" s="53"/>
      <c r="B19" s="106"/>
      <c r="C19" s="80"/>
      <c r="D19" s="85"/>
      <c r="E19" s="85"/>
      <c r="F19" s="85"/>
      <c r="G19" s="85"/>
      <c r="H19" s="85"/>
      <c r="I19" s="85"/>
      <c r="J19" s="85"/>
      <c r="K19" s="81"/>
      <c r="L19" s="53"/>
      <c r="M19" s="158"/>
      <c r="N19" s="158"/>
      <c r="O19" s="53"/>
      <c r="P19" s="7"/>
    </row>
    <row r="20" spans="1:16" ht="15.75" x14ac:dyDescent="0.25">
      <c r="A20" s="53"/>
      <c r="B20" s="106" t="s">
        <v>169</v>
      </c>
      <c r="C20" s="80"/>
      <c r="D20" s="626">
        <f>SUM(D16:D18)</f>
        <v>0</v>
      </c>
      <c r="E20" s="85"/>
      <c r="F20" s="626">
        <f>SUM(F16:F18)</f>
        <v>0</v>
      </c>
      <c r="G20" s="85"/>
      <c r="H20" s="626">
        <f>SUM(H16:H18)</f>
        <v>0</v>
      </c>
      <c r="I20" s="85"/>
      <c r="J20" s="626">
        <f>SUM(J16:J18)</f>
        <v>0</v>
      </c>
      <c r="K20" s="81"/>
      <c r="L20" s="53"/>
      <c r="M20" s="158"/>
      <c r="N20" s="158"/>
      <c r="O20" s="53"/>
      <c r="P20" s="7"/>
    </row>
    <row r="21" spans="1:16" ht="15.75" x14ac:dyDescent="0.25">
      <c r="A21" s="53"/>
      <c r="B21" s="106"/>
      <c r="C21" s="80"/>
      <c r="D21" s="85"/>
      <c r="E21" s="85"/>
      <c r="F21" s="85"/>
      <c r="G21" s="85"/>
      <c r="H21" s="85"/>
      <c r="I21" s="85"/>
      <c r="J21" s="85"/>
      <c r="K21" s="81"/>
      <c r="L21" s="53"/>
      <c r="M21" s="158"/>
      <c r="N21" s="158"/>
      <c r="O21" s="53"/>
      <c r="P21" s="7"/>
    </row>
    <row r="22" spans="1:16" ht="15.75" x14ac:dyDescent="0.25">
      <c r="A22" s="53"/>
      <c r="B22" s="107" t="s">
        <v>316</v>
      </c>
      <c r="C22" s="621"/>
      <c r="D22" s="627"/>
      <c r="E22" s="628"/>
      <c r="F22" s="627"/>
      <c r="G22" s="628"/>
      <c r="H22" s="627"/>
      <c r="I22" s="628"/>
      <c r="J22" s="627"/>
      <c r="K22" s="623"/>
      <c r="L22" s="53"/>
      <c r="M22" s="158"/>
      <c r="N22" s="158"/>
      <c r="O22" s="53"/>
      <c r="P22" s="7"/>
    </row>
    <row r="23" spans="1:16" ht="15.75" x14ac:dyDescent="0.25">
      <c r="A23" s="53"/>
      <c r="B23" s="106"/>
      <c r="C23" s="80"/>
      <c r="D23" s="85"/>
      <c r="E23" s="85"/>
      <c r="F23" s="85"/>
      <c r="G23" s="85"/>
      <c r="H23" s="85"/>
      <c r="I23" s="85"/>
      <c r="J23" s="85"/>
      <c r="K23" s="81"/>
      <c r="L23" s="53"/>
      <c r="M23" s="158"/>
      <c r="N23" s="158"/>
      <c r="O23" s="53"/>
      <c r="P23" s="7"/>
    </row>
    <row r="24" spans="1:16" ht="15.75" x14ac:dyDescent="0.25">
      <c r="A24" s="53"/>
      <c r="B24" s="106" t="s">
        <v>316</v>
      </c>
      <c r="C24" s="80"/>
      <c r="D24" s="624">
        <v>0</v>
      </c>
      <c r="E24" s="85"/>
      <c r="F24" s="624">
        <v>0</v>
      </c>
      <c r="G24" s="85"/>
      <c r="H24" s="625">
        <v>0</v>
      </c>
      <c r="I24" s="85"/>
      <c r="J24" s="626">
        <f>SUM(D24,F24,H24)</f>
        <v>0</v>
      </c>
      <c r="K24" s="81"/>
      <c r="L24" s="53"/>
      <c r="M24" s="158"/>
      <c r="N24" s="158"/>
      <c r="O24" s="334" t="str">
        <f>IF(OR(D24="",F24="",H24=""),"Incomplete","Complete")</f>
        <v>Complete</v>
      </c>
      <c r="P24" s="7"/>
    </row>
    <row r="25" spans="1:16" ht="15.75" x14ac:dyDescent="0.25">
      <c r="A25" s="53"/>
      <c r="B25" s="106"/>
      <c r="C25" s="80"/>
      <c r="D25" s="85"/>
      <c r="E25" s="85"/>
      <c r="F25" s="85"/>
      <c r="G25" s="85"/>
      <c r="H25" s="85"/>
      <c r="I25" s="85"/>
      <c r="J25" s="85"/>
      <c r="K25" s="81"/>
      <c r="L25" s="53"/>
      <c r="M25" s="158"/>
      <c r="N25" s="158"/>
      <c r="O25" s="53"/>
      <c r="P25" s="7"/>
    </row>
    <row r="26" spans="1:16" ht="15.75" x14ac:dyDescent="0.25">
      <c r="A26" s="53"/>
      <c r="B26" s="107" t="s">
        <v>317</v>
      </c>
      <c r="C26" s="621"/>
      <c r="D26" s="627"/>
      <c r="E26" s="628"/>
      <c r="F26" s="627"/>
      <c r="G26" s="628"/>
      <c r="H26" s="627"/>
      <c r="I26" s="628"/>
      <c r="J26" s="627"/>
      <c r="K26" s="623"/>
      <c r="L26" s="53"/>
      <c r="M26" s="158"/>
      <c r="N26" s="158"/>
      <c r="O26" s="53"/>
      <c r="P26" s="7"/>
    </row>
    <row r="27" spans="1:16" ht="15.75" x14ac:dyDescent="0.25">
      <c r="A27" s="53"/>
      <c r="B27" s="106"/>
      <c r="C27" s="80"/>
      <c r="D27" s="85"/>
      <c r="E27" s="85"/>
      <c r="F27" s="85"/>
      <c r="G27" s="85"/>
      <c r="H27" s="85"/>
      <c r="I27" s="85"/>
      <c r="J27" s="85"/>
      <c r="K27" s="81"/>
      <c r="L27" s="53"/>
      <c r="M27" s="158"/>
      <c r="N27" s="158"/>
      <c r="O27" s="53"/>
      <c r="P27" s="7"/>
    </row>
    <row r="28" spans="1:16" ht="15.75" x14ac:dyDescent="0.25">
      <c r="A28" s="53"/>
      <c r="B28" s="106" t="s">
        <v>292</v>
      </c>
      <c r="C28" s="80"/>
      <c r="D28" s="624">
        <v>0</v>
      </c>
      <c r="E28" s="85"/>
      <c r="F28" s="625">
        <v>0</v>
      </c>
      <c r="G28" s="85"/>
      <c r="H28" s="625">
        <v>0</v>
      </c>
      <c r="I28" s="85"/>
      <c r="J28" s="626">
        <f>SUM(D28,F28,H28)</f>
        <v>0</v>
      </c>
      <c r="K28" s="81"/>
      <c r="L28" s="53"/>
      <c r="M28" s="158"/>
      <c r="N28" s="158"/>
      <c r="O28" s="334" t="str">
        <f>IF(OR(D28="",F28="",H28=""),"Incomplete","Complete")</f>
        <v>Complete</v>
      </c>
      <c r="P28" s="7"/>
    </row>
    <row r="29" spans="1:16" ht="15.75" x14ac:dyDescent="0.25">
      <c r="A29" s="53"/>
      <c r="B29" s="106"/>
      <c r="C29" s="80"/>
      <c r="D29" s="85"/>
      <c r="E29" s="85"/>
      <c r="F29" s="85"/>
      <c r="G29" s="85"/>
      <c r="H29" s="85"/>
      <c r="I29" s="85"/>
      <c r="J29" s="85"/>
      <c r="K29" s="81"/>
      <c r="L29" s="53"/>
      <c r="M29" s="158"/>
      <c r="N29" s="158"/>
      <c r="O29" s="53"/>
      <c r="P29" s="7"/>
    </row>
    <row r="30" spans="1:16" ht="15.75" x14ac:dyDescent="0.25">
      <c r="A30" s="53"/>
      <c r="B30" s="107" t="s">
        <v>293</v>
      </c>
      <c r="C30" s="621"/>
      <c r="D30" s="627"/>
      <c r="E30" s="628"/>
      <c r="F30" s="627"/>
      <c r="G30" s="628"/>
      <c r="H30" s="627"/>
      <c r="I30" s="628"/>
      <c r="J30" s="627"/>
      <c r="K30" s="623"/>
      <c r="L30" s="53"/>
      <c r="M30" s="158"/>
      <c r="N30" s="158"/>
      <c r="O30" s="53"/>
      <c r="P30" s="7"/>
    </row>
    <row r="31" spans="1:16" ht="15.75" x14ac:dyDescent="0.25">
      <c r="A31" s="53"/>
      <c r="B31" s="106"/>
      <c r="C31" s="80"/>
      <c r="D31" s="85"/>
      <c r="E31" s="85"/>
      <c r="F31" s="85"/>
      <c r="G31" s="85"/>
      <c r="H31" s="85"/>
      <c r="I31" s="85"/>
      <c r="J31" s="85"/>
      <c r="K31" s="81"/>
      <c r="L31" s="53"/>
      <c r="M31" s="158"/>
      <c r="N31" s="158"/>
      <c r="O31" s="53"/>
      <c r="P31" s="7"/>
    </row>
    <row r="32" spans="1:16" ht="15.75" x14ac:dyDescent="0.25">
      <c r="A32" s="53"/>
      <c r="B32" s="106" t="s">
        <v>318</v>
      </c>
      <c r="C32" s="80"/>
      <c r="D32" s="624">
        <v>0</v>
      </c>
      <c r="E32" s="85"/>
      <c r="F32" s="624">
        <v>0</v>
      </c>
      <c r="G32" s="85"/>
      <c r="H32" s="625">
        <v>0</v>
      </c>
      <c r="I32" s="85"/>
      <c r="J32" s="626">
        <f>SUM(D32,F32,H32)</f>
        <v>0</v>
      </c>
      <c r="K32" s="81"/>
      <c r="L32" s="53"/>
      <c r="M32" s="158"/>
      <c r="N32" s="158"/>
      <c r="O32" s="334" t="str">
        <f>IF(OR(D32="",F32="",H32=""),"Incomplete","Complete")</f>
        <v>Complete</v>
      </c>
      <c r="P32" s="7"/>
    </row>
    <row r="33" spans="1:16" ht="15.75" x14ac:dyDescent="0.25">
      <c r="A33" s="53"/>
      <c r="B33" s="106"/>
      <c r="C33" s="80"/>
      <c r="D33" s="85"/>
      <c r="E33" s="85"/>
      <c r="F33" s="85"/>
      <c r="G33" s="85"/>
      <c r="H33" s="85"/>
      <c r="I33" s="85"/>
      <c r="J33" s="85"/>
      <c r="K33" s="81"/>
      <c r="L33" s="53"/>
      <c r="M33" s="158"/>
      <c r="N33" s="158"/>
      <c r="O33" s="53"/>
      <c r="P33" s="7"/>
    </row>
    <row r="34" spans="1:16" ht="15.75" x14ac:dyDescent="0.25">
      <c r="A34" s="53"/>
      <c r="B34" s="107" t="s">
        <v>319</v>
      </c>
      <c r="C34" s="621"/>
      <c r="D34" s="627"/>
      <c r="E34" s="628"/>
      <c r="F34" s="627"/>
      <c r="G34" s="628"/>
      <c r="H34" s="627"/>
      <c r="I34" s="628"/>
      <c r="J34" s="627"/>
      <c r="K34" s="623"/>
      <c r="L34" s="53"/>
      <c r="M34" s="158"/>
      <c r="N34" s="158"/>
      <c r="O34" s="53"/>
      <c r="P34" s="7"/>
    </row>
    <row r="35" spans="1:16" ht="15.75" x14ac:dyDescent="0.25">
      <c r="A35" s="53"/>
      <c r="B35" s="106"/>
      <c r="C35" s="80"/>
      <c r="D35" s="85"/>
      <c r="E35" s="85"/>
      <c r="F35" s="85"/>
      <c r="G35" s="85"/>
      <c r="H35" s="85"/>
      <c r="I35" s="85"/>
      <c r="J35" s="85"/>
      <c r="K35" s="81"/>
      <c r="L35" s="53"/>
      <c r="M35" s="158"/>
      <c r="N35" s="158"/>
      <c r="O35" s="53"/>
      <c r="P35" s="7"/>
    </row>
    <row r="36" spans="1:16" ht="15.75" x14ac:dyDescent="0.25">
      <c r="A36" s="53"/>
      <c r="B36" s="172" t="s">
        <v>300</v>
      </c>
      <c r="C36" s="80"/>
      <c r="D36" s="626">
        <f>Reg_Total_Assets-Acc_Total_Assets</f>
        <v>0</v>
      </c>
      <c r="E36" s="85"/>
      <c r="F36" s="625">
        <v>0</v>
      </c>
      <c r="G36" s="85"/>
      <c r="H36" s="625">
        <v>0</v>
      </c>
      <c r="I36" s="85"/>
      <c r="J36" s="626">
        <f>SUM(D36,F36,H36)</f>
        <v>0</v>
      </c>
      <c r="K36" s="81"/>
      <c r="L36" s="53"/>
      <c r="M36" s="158"/>
      <c r="N36" s="158"/>
      <c r="O36" s="334" t="str">
        <f t="shared" ref="O36:O39" si="1">IF(OR(D36="",F36="",H36=""),"Incomplete","Complete")</f>
        <v>Complete</v>
      </c>
      <c r="P36" s="7"/>
    </row>
    <row r="37" spans="1:16" ht="15.75" x14ac:dyDescent="0.25">
      <c r="A37" s="53"/>
      <c r="B37" s="172" t="s">
        <v>320</v>
      </c>
      <c r="C37" s="80"/>
      <c r="D37" s="626">
        <f>('RBS - Other Liab'!Acc_Total_Liabs-'RBS - Other Liab'!Acc_Other_Liabs)-('RBS - Other Liab'!Reg_Total_Liabs_10-'RBS - Other Liab'!Reg_Other_Liabs_10)</f>
        <v>0</v>
      </c>
      <c r="E37" s="85"/>
      <c r="F37" s="625">
        <v>0</v>
      </c>
      <c r="G37" s="85"/>
      <c r="H37" s="625">
        <v>0</v>
      </c>
      <c r="I37" s="85"/>
      <c r="J37" s="626">
        <f>SUM(D37,F37,H37)</f>
        <v>0</v>
      </c>
      <c r="K37" s="81"/>
      <c r="L37" s="53"/>
      <c r="M37" s="158"/>
      <c r="N37" s="158"/>
      <c r="O37" s="334" t="str">
        <f t="shared" si="1"/>
        <v>Complete</v>
      </c>
      <c r="P37" s="7"/>
    </row>
    <row r="38" spans="1:16" ht="16.5" thickBot="1" x14ac:dyDescent="0.3">
      <c r="A38" s="53"/>
      <c r="B38" s="190" t="s">
        <v>321</v>
      </c>
      <c r="C38" s="80"/>
      <c r="D38" s="626">
        <f>-D50</f>
        <v>0</v>
      </c>
      <c r="E38" s="85"/>
      <c r="F38" s="625">
        <v>0</v>
      </c>
      <c r="G38" s="85"/>
      <c r="H38" s="625">
        <v>0</v>
      </c>
      <c r="I38" s="85"/>
      <c r="J38" s="626">
        <f>SUM(D38,F38,H38)</f>
        <v>0</v>
      </c>
      <c r="K38" s="81"/>
      <c r="L38" s="53"/>
      <c r="M38" s="158"/>
      <c r="N38" s="158"/>
      <c r="O38" s="334" t="str">
        <f t="shared" si="1"/>
        <v>Complete</v>
      </c>
      <c r="P38" s="7"/>
    </row>
    <row r="39" spans="1:16" ht="16.5" thickBot="1" x14ac:dyDescent="0.3">
      <c r="A39" s="53"/>
      <c r="B39" s="172" t="s">
        <v>303</v>
      </c>
      <c r="C39" s="80"/>
      <c r="D39" s="626">
        <f>'RBS - Other Liab'!Acc_Other_Liabs-'RBS - Other Liab'!Reg_Other_Liabs_10</f>
        <v>0</v>
      </c>
      <c r="E39" s="85"/>
      <c r="F39" s="625">
        <v>0</v>
      </c>
      <c r="G39" s="85"/>
      <c r="H39" s="625">
        <v>0</v>
      </c>
      <c r="I39" s="85"/>
      <c r="J39" s="626">
        <f>SUM(D39,F39,H39)</f>
        <v>0</v>
      </c>
      <c r="K39" s="81"/>
      <c r="L39" s="53"/>
      <c r="M39" s="191" t="s">
        <v>322</v>
      </c>
      <c r="N39" s="158"/>
      <c r="O39" s="334" t="str">
        <f t="shared" si="1"/>
        <v>Complete</v>
      </c>
      <c r="P39" s="7"/>
    </row>
    <row r="40" spans="1:16" ht="81" customHeight="1" thickBot="1" x14ac:dyDescent="0.3">
      <c r="A40" s="53"/>
      <c r="B40" s="175" t="s">
        <v>323</v>
      </c>
      <c r="C40" s="80"/>
      <c r="D40" s="624">
        <v>0</v>
      </c>
      <c r="E40" s="85"/>
      <c r="F40" s="625">
        <v>0</v>
      </c>
      <c r="G40" s="85"/>
      <c r="H40" s="625">
        <v>0</v>
      </c>
      <c r="I40" s="85"/>
      <c r="J40" s="626">
        <f>SUM(D40,F40,H40)</f>
        <v>0</v>
      </c>
      <c r="K40" s="81"/>
      <c r="L40" s="53"/>
      <c r="M40" s="192"/>
      <c r="N40" s="158"/>
      <c r="O40" s="334" t="str">
        <f>IF(OR(D40="",F40="",H40="",AND(D40&gt;0,M40="")),"Incomplete","Complete")</f>
        <v>Complete</v>
      </c>
      <c r="P40" s="7"/>
    </row>
    <row r="41" spans="1:16" ht="15.75" x14ac:dyDescent="0.25">
      <c r="A41" s="53"/>
      <c r="B41" s="106"/>
      <c r="C41" s="80"/>
      <c r="D41" s="193" t="str">
        <f>IF(AND(OR(F74&gt;0,H74&gt;0),D40=0),"ERROR - DEDUCT T2 &amp; T3 OWN-FUNDS","")</f>
        <v/>
      </c>
      <c r="E41" s="85"/>
      <c r="F41" s="85"/>
      <c r="G41" s="85"/>
      <c r="H41" s="85"/>
      <c r="I41" s="85"/>
      <c r="J41" s="85"/>
      <c r="K41" s="81"/>
      <c r="L41" s="53"/>
      <c r="M41" s="158"/>
      <c r="N41" s="158"/>
      <c r="O41" s="53"/>
      <c r="P41" s="7"/>
    </row>
    <row r="42" spans="1:16" ht="15.75" x14ac:dyDescent="0.25">
      <c r="A42" s="53"/>
      <c r="B42" s="106" t="s">
        <v>169</v>
      </c>
      <c r="C42" s="80"/>
      <c r="D42" s="626">
        <f>SUM(D36:D40)</f>
        <v>0</v>
      </c>
      <c r="E42" s="85"/>
      <c r="F42" s="626">
        <f>SUM(F36:F40)</f>
        <v>0</v>
      </c>
      <c r="G42" s="85"/>
      <c r="H42" s="626">
        <f>SUM(H36:H40)</f>
        <v>0</v>
      </c>
      <c r="I42" s="85"/>
      <c r="J42" s="626">
        <f>SUM(J36:J40)</f>
        <v>0</v>
      </c>
      <c r="K42" s="81"/>
      <c r="L42" s="53"/>
      <c r="M42" s="158"/>
      <c r="N42" s="158"/>
      <c r="O42" s="53"/>
      <c r="P42" s="7"/>
    </row>
    <row r="43" spans="1:16" ht="15.75" x14ac:dyDescent="0.25">
      <c r="A43" s="53"/>
      <c r="B43" s="106"/>
      <c r="C43" s="80"/>
      <c r="D43" s="85"/>
      <c r="E43" s="85"/>
      <c r="F43" s="85"/>
      <c r="G43" s="85"/>
      <c r="H43" s="85"/>
      <c r="I43" s="85"/>
      <c r="J43" s="85"/>
      <c r="K43" s="81"/>
      <c r="L43" s="53"/>
      <c r="M43" s="158"/>
      <c r="N43" s="158"/>
      <c r="O43" s="53"/>
      <c r="P43" s="7"/>
    </row>
    <row r="44" spans="1:16" ht="15.75" x14ac:dyDescent="0.25">
      <c r="A44" s="53"/>
      <c r="B44" s="107" t="s">
        <v>294</v>
      </c>
      <c r="C44" s="621"/>
      <c r="D44" s="627"/>
      <c r="E44" s="628"/>
      <c r="F44" s="627"/>
      <c r="G44" s="628"/>
      <c r="H44" s="627"/>
      <c r="I44" s="628"/>
      <c r="J44" s="627"/>
      <c r="K44" s="623"/>
      <c r="L44" s="53"/>
      <c r="M44" s="158"/>
      <c r="N44" s="158"/>
      <c r="O44" s="53"/>
      <c r="P44" s="7"/>
    </row>
    <row r="45" spans="1:16" ht="15.75" x14ac:dyDescent="0.25">
      <c r="A45" s="53"/>
      <c r="B45" s="106"/>
      <c r="C45" s="80"/>
      <c r="D45" s="85"/>
      <c r="E45" s="85"/>
      <c r="F45" s="85"/>
      <c r="G45" s="85"/>
      <c r="H45" s="85"/>
      <c r="I45" s="85"/>
      <c r="J45" s="85"/>
      <c r="K45" s="81"/>
      <c r="L45" s="53"/>
      <c r="M45" s="158"/>
      <c r="N45" s="158"/>
      <c r="O45" s="53"/>
      <c r="P45" s="7"/>
    </row>
    <row r="46" spans="1:16" ht="15.75" x14ac:dyDescent="0.25">
      <c r="A46" s="53"/>
      <c r="B46" s="106" t="s">
        <v>294</v>
      </c>
      <c r="C46" s="80"/>
      <c r="D46" s="624">
        <v>0</v>
      </c>
      <c r="E46" s="85"/>
      <c r="F46" s="625">
        <v>0</v>
      </c>
      <c r="G46" s="85"/>
      <c r="H46" s="625">
        <v>0</v>
      </c>
      <c r="I46" s="85"/>
      <c r="J46" s="626">
        <f>SUM(D46,F46,H46)</f>
        <v>0</v>
      </c>
      <c r="K46" s="81"/>
      <c r="L46" s="53"/>
      <c r="M46" s="158"/>
      <c r="N46" s="158"/>
      <c r="O46" s="334" t="str">
        <f t="shared" ref="O46" si="2">IF(OR(D46="",F46="",H46=""),"Incomplete","Complete")</f>
        <v>Complete</v>
      </c>
      <c r="P46" s="7"/>
    </row>
    <row r="47" spans="1:16" ht="15.75" x14ac:dyDescent="0.25">
      <c r="A47" s="53"/>
      <c r="B47" s="106"/>
      <c r="C47" s="80"/>
      <c r="D47" s="85"/>
      <c r="E47" s="85"/>
      <c r="F47" s="85"/>
      <c r="G47" s="85"/>
      <c r="H47" s="85"/>
      <c r="I47" s="85"/>
      <c r="J47" s="85"/>
      <c r="K47" s="81"/>
      <c r="L47" s="53"/>
      <c r="M47" s="158"/>
      <c r="N47" s="158"/>
      <c r="O47" s="53"/>
      <c r="P47" s="7"/>
    </row>
    <row r="48" spans="1:16" ht="15.75" x14ac:dyDescent="0.25">
      <c r="A48" s="53"/>
      <c r="B48" s="107" t="s">
        <v>324</v>
      </c>
      <c r="C48" s="621"/>
      <c r="D48" s="627"/>
      <c r="E48" s="628"/>
      <c r="F48" s="627"/>
      <c r="G48" s="628"/>
      <c r="H48" s="627"/>
      <c r="I48" s="628"/>
      <c r="J48" s="627"/>
      <c r="K48" s="623"/>
      <c r="L48" s="53"/>
      <c r="M48" s="158"/>
      <c r="N48" s="158"/>
      <c r="O48" s="53"/>
      <c r="P48" s="7"/>
    </row>
    <row r="49" spans="1:16" ht="15.75" x14ac:dyDescent="0.25">
      <c r="A49" s="53"/>
      <c r="B49" s="106"/>
      <c r="C49" s="80"/>
      <c r="D49" s="85"/>
      <c r="E49" s="85"/>
      <c r="F49" s="85"/>
      <c r="G49" s="85"/>
      <c r="H49" s="85"/>
      <c r="I49" s="85"/>
      <c r="J49" s="85"/>
      <c r="K49" s="81"/>
      <c r="L49" s="53"/>
      <c r="M49" s="158"/>
      <c r="N49" s="158"/>
      <c r="O49" s="53"/>
      <c r="P49" s="7"/>
    </row>
    <row r="50" spans="1:16" ht="15.75" x14ac:dyDescent="0.25">
      <c r="A50" s="53"/>
      <c r="B50" s="106" t="s">
        <v>295</v>
      </c>
      <c r="C50" s="80"/>
      <c r="D50" s="624">
        <v>0</v>
      </c>
      <c r="E50" s="85"/>
      <c r="F50" s="625">
        <v>0</v>
      </c>
      <c r="G50" s="85"/>
      <c r="H50" s="625">
        <v>0</v>
      </c>
      <c r="I50" s="85"/>
      <c r="J50" s="626">
        <f>SUM(D50,F50,H50)</f>
        <v>0</v>
      </c>
      <c r="K50" s="81"/>
      <c r="L50" s="53"/>
      <c r="M50" s="158"/>
      <c r="N50" s="158"/>
      <c r="O50" s="334" t="str">
        <f t="shared" ref="O50" si="3">IF(OR(D50="",F50="",H50=""),"Incomplete","Complete")</f>
        <v>Complete</v>
      </c>
      <c r="P50" s="7"/>
    </row>
    <row r="51" spans="1:16" ht="15.75" x14ac:dyDescent="0.25">
      <c r="A51" s="53"/>
      <c r="B51" s="106"/>
      <c r="C51" s="80"/>
      <c r="D51" s="85"/>
      <c r="E51" s="85"/>
      <c r="F51" s="85"/>
      <c r="G51" s="85"/>
      <c r="H51" s="85"/>
      <c r="I51" s="85"/>
      <c r="J51" s="85"/>
      <c r="K51" s="81"/>
      <c r="L51" s="53"/>
      <c r="M51" s="158"/>
      <c r="N51" s="158"/>
      <c r="O51" s="53"/>
      <c r="P51" s="7"/>
    </row>
    <row r="52" spans="1:16" ht="15.75" x14ac:dyDescent="0.25">
      <c r="A52" s="53"/>
      <c r="B52" s="107" t="s">
        <v>325</v>
      </c>
      <c r="C52" s="621"/>
      <c r="D52" s="627"/>
      <c r="E52" s="628"/>
      <c r="F52" s="627"/>
      <c r="G52" s="628"/>
      <c r="H52" s="627"/>
      <c r="I52" s="628"/>
      <c r="J52" s="627"/>
      <c r="K52" s="623"/>
      <c r="L52" s="53"/>
      <c r="M52" s="158"/>
      <c r="N52" s="158"/>
      <c r="O52" s="53"/>
      <c r="P52" s="7"/>
    </row>
    <row r="53" spans="1:16" ht="15.75" x14ac:dyDescent="0.25">
      <c r="A53" s="53"/>
      <c r="B53" s="106"/>
      <c r="C53" s="80"/>
      <c r="D53" s="85"/>
      <c r="E53" s="85"/>
      <c r="F53" s="85"/>
      <c r="G53" s="85"/>
      <c r="H53" s="85"/>
      <c r="I53" s="85"/>
      <c r="J53" s="85"/>
      <c r="K53" s="81"/>
      <c r="L53" s="53"/>
      <c r="M53" s="158"/>
      <c r="N53" s="158"/>
      <c r="O53" s="53"/>
      <c r="P53" s="7"/>
    </row>
    <row r="54" spans="1:16" ht="15.75" x14ac:dyDescent="0.25">
      <c r="A54" s="53"/>
      <c r="B54" s="172" t="s">
        <v>326</v>
      </c>
      <c r="C54" s="80"/>
      <c r="D54" s="624">
        <v>0</v>
      </c>
      <c r="E54" s="85"/>
      <c r="F54" s="624">
        <v>0</v>
      </c>
      <c r="G54" s="85"/>
      <c r="H54" s="624">
        <v>0</v>
      </c>
      <c r="I54" s="85"/>
      <c r="J54" s="626">
        <f>SUM(D54,F54,H54)</f>
        <v>0</v>
      </c>
      <c r="K54" s="81"/>
      <c r="L54" s="53"/>
      <c r="M54" s="158"/>
      <c r="N54" s="158"/>
      <c r="O54" s="334" t="str">
        <f t="shared" ref="O54:O56" si="4">IF(OR(D54="",F54="",H54=""),"Incomplete","Complete")</f>
        <v>Complete</v>
      </c>
      <c r="P54" s="7"/>
    </row>
    <row r="55" spans="1:16" ht="15.75" x14ac:dyDescent="0.25">
      <c r="A55" s="53"/>
      <c r="B55" s="172" t="s">
        <v>327</v>
      </c>
      <c r="C55" s="80"/>
      <c r="D55" s="624">
        <v>0</v>
      </c>
      <c r="E55" s="85"/>
      <c r="F55" s="624">
        <v>0</v>
      </c>
      <c r="G55" s="85"/>
      <c r="H55" s="624">
        <v>0</v>
      </c>
      <c r="I55" s="85"/>
      <c r="J55" s="626">
        <f>SUM(D55,F55,H55)</f>
        <v>0</v>
      </c>
      <c r="K55" s="81"/>
      <c r="L55" s="53"/>
      <c r="M55" s="158"/>
      <c r="N55" s="158"/>
      <c r="O55" s="334" t="str">
        <f t="shared" si="4"/>
        <v>Complete</v>
      </c>
      <c r="P55" s="7"/>
    </row>
    <row r="56" spans="1:16" ht="15.75" x14ac:dyDescent="0.25">
      <c r="A56" s="53"/>
      <c r="B56" s="172" t="s">
        <v>328</v>
      </c>
      <c r="C56" s="80"/>
      <c r="D56" s="624">
        <v>0</v>
      </c>
      <c r="E56" s="85"/>
      <c r="F56" s="624">
        <v>0</v>
      </c>
      <c r="G56" s="85"/>
      <c r="H56" s="624">
        <v>0</v>
      </c>
      <c r="I56" s="85"/>
      <c r="J56" s="626">
        <f>SUM(D56,F56,H56)</f>
        <v>0</v>
      </c>
      <c r="K56" s="81"/>
      <c r="L56" s="53"/>
      <c r="M56" s="158"/>
      <c r="N56" s="158"/>
      <c r="O56" s="334" t="str">
        <f t="shared" si="4"/>
        <v>Complete</v>
      </c>
      <c r="P56" s="7"/>
    </row>
    <row r="57" spans="1:16" ht="15.75" x14ac:dyDescent="0.25">
      <c r="A57" s="53"/>
      <c r="B57" s="106"/>
      <c r="C57" s="80"/>
      <c r="D57" s="85"/>
      <c r="E57" s="85"/>
      <c r="F57" s="85"/>
      <c r="G57" s="85"/>
      <c r="H57" s="85"/>
      <c r="I57" s="85"/>
      <c r="J57" s="85"/>
      <c r="K57" s="81"/>
      <c r="L57" s="53"/>
      <c r="M57" s="158"/>
      <c r="N57" s="158"/>
      <c r="O57" s="53"/>
      <c r="P57" s="7"/>
    </row>
    <row r="58" spans="1:16" ht="15.75" x14ac:dyDescent="0.25">
      <c r="A58" s="53"/>
      <c r="B58" s="106" t="s">
        <v>169</v>
      </c>
      <c r="C58" s="80"/>
      <c r="D58" s="626">
        <f>SUM(D54:D56)</f>
        <v>0</v>
      </c>
      <c r="E58" s="85"/>
      <c r="F58" s="626">
        <f>SUM(F54:F56)</f>
        <v>0</v>
      </c>
      <c r="G58" s="85"/>
      <c r="H58" s="626">
        <f>SUM(H54:H56)</f>
        <v>0</v>
      </c>
      <c r="I58" s="85"/>
      <c r="J58" s="626">
        <f>SUM(J54:J56)</f>
        <v>0</v>
      </c>
      <c r="K58" s="81"/>
      <c r="L58" s="53"/>
      <c r="M58" s="158"/>
      <c r="N58" s="158"/>
      <c r="O58" s="53"/>
      <c r="P58" s="7"/>
    </row>
    <row r="59" spans="1:16" ht="15.75" x14ac:dyDescent="0.25">
      <c r="A59" s="53"/>
      <c r="B59" s="106"/>
      <c r="C59" s="80"/>
      <c r="D59" s="85"/>
      <c r="E59" s="85"/>
      <c r="F59" s="85"/>
      <c r="G59" s="85"/>
      <c r="H59" s="85"/>
      <c r="I59" s="85"/>
      <c r="J59" s="85"/>
      <c r="K59" s="81"/>
      <c r="L59" s="53"/>
      <c r="M59" s="158"/>
      <c r="N59" s="158"/>
      <c r="O59" s="53"/>
      <c r="P59" s="7"/>
    </row>
    <row r="60" spans="1:16" ht="15.75" x14ac:dyDescent="0.25">
      <c r="A60" s="53"/>
      <c r="B60" s="107" t="s">
        <v>329</v>
      </c>
      <c r="C60" s="621"/>
      <c r="D60" s="627"/>
      <c r="E60" s="628"/>
      <c r="F60" s="627"/>
      <c r="G60" s="628"/>
      <c r="H60" s="627"/>
      <c r="I60" s="628"/>
      <c r="J60" s="627"/>
      <c r="K60" s="623"/>
      <c r="L60" s="53"/>
      <c r="M60" s="158"/>
      <c r="N60" s="158"/>
      <c r="O60" s="53"/>
      <c r="P60" s="7"/>
    </row>
    <row r="61" spans="1:16" ht="15.75" x14ac:dyDescent="0.25">
      <c r="A61" s="53"/>
      <c r="B61" s="106"/>
      <c r="C61" s="80"/>
      <c r="D61" s="85"/>
      <c r="E61" s="85"/>
      <c r="F61" s="85"/>
      <c r="G61" s="85"/>
      <c r="H61" s="85"/>
      <c r="I61" s="85"/>
      <c r="J61" s="85"/>
      <c r="K61" s="81"/>
      <c r="L61" s="53"/>
      <c r="M61" s="158"/>
      <c r="N61" s="158"/>
      <c r="O61" s="53"/>
      <c r="P61" s="7"/>
    </row>
    <row r="62" spans="1:16" ht="15.75" x14ac:dyDescent="0.25">
      <c r="A62" s="53"/>
      <c r="B62" s="172" t="s">
        <v>326</v>
      </c>
      <c r="C62" s="80"/>
      <c r="D62" s="624">
        <v>0</v>
      </c>
      <c r="E62" s="85"/>
      <c r="F62" s="624">
        <v>0</v>
      </c>
      <c r="G62" s="85"/>
      <c r="H62" s="624">
        <v>0</v>
      </c>
      <c r="I62" s="85"/>
      <c r="J62" s="626">
        <f>SUM(D62,F62,H62)</f>
        <v>0</v>
      </c>
      <c r="K62" s="81"/>
      <c r="L62" s="53"/>
      <c r="M62" s="158"/>
      <c r="N62" s="158"/>
      <c r="O62" s="334" t="str">
        <f t="shared" ref="O62:O64" si="5">IF(OR(D62="",F62="",H62=""),"Incomplete","Complete")</f>
        <v>Complete</v>
      </c>
      <c r="P62" s="7"/>
    </row>
    <row r="63" spans="1:16" ht="15.75" x14ac:dyDescent="0.25">
      <c r="A63" s="53"/>
      <c r="B63" s="172" t="s">
        <v>327</v>
      </c>
      <c r="C63" s="80"/>
      <c r="D63" s="624">
        <v>0</v>
      </c>
      <c r="E63" s="85"/>
      <c r="F63" s="624">
        <v>0</v>
      </c>
      <c r="G63" s="85"/>
      <c r="H63" s="624">
        <v>0</v>
      </c>
      <c r="I63" s="85"/>
      <c r="J63" s="626">
        <f>SUM(D63,F63,H63)</f>
        <v>0</v>
      </c>
      <c r="K63" s="81"/>
      <c r="L63" s="53"/>
      <c r="M63" s="158"/>
      <c r="N63" s="158"/>
      <c r="O63" s="334" t="str">
        <f t="shared" si="5"/>
        <v>Complete</v>
      </c>
      <c r="P63" s="7"/>
    </row>
    <row r="64" spans="1:16" ht="15.75" x14ac:dyDescent="0.25">
      <c r="A64" s="53"/>
      <c r="B64" s="172" t="s">
        <v>328</v>
      </c>
      <c r="C64" s="80"/>
      <c r="D64" s="624">
        <v>0</v>
      </c>
      <c r="E64" s="85"/>
      <c r="F64" s="624">
        <v>0</v>
      </c>
      <c r="G64" s="85"/>
      <c r="H64" s="624">
        <v>0</v>
      </c>
      <c r="I64" s="85"/>
      <c r="J64" s="626">
        <f>SUM(D64,F64,H64)</f>
        <v>0</v>
      </c>
      <c r="K64" s="81"/>
      <c r="L64" s="53"/>
      <c r="M64" s="158"/>
      <c r="N64" s="158"/>
      <c r="O64" s="334" t="str">
        <f t="shared" si="5"/>
        <v>Complete</v>
      </c>
      <c r="P64" s="7"/>
    </row>
    <row r="65" spans="1:16" ht="15.75" x14ac:dyDescent="0.25">
      <c r="A65" s="53"/>
      <c r="B65" s="106"/>
      <c r="C65" s="80"/>
      <c r="D65" s="85"/>
      <c r="E65" s="85"/>
      <c r="F65" s="85"/>
      <c r="G65" s="85"/>
      <c r="H65" s="85"/>
      <c r="I65" s="85"/>
      <c r="J65" s="85"/>
      <c r="K65" s="81"/>
      <c r="L65" s="53"/>
      <c r="M65" s="158"/>
      <c r="N65" s="158"/>
      <c r="O65" s="53"/>
      <c r="P65" s="7"/>
    </row>
    <row r="66" spans="1:16" ht="15.75" x14ac:dyDescent="0.25">
      <c r="A66" s="53"/>
      <c r="B66" s="106" t="s">
        <v>169</v>
      </c>
      <c r="C66" s="80"/>
      <c r="D66" s="626">
        <f>SUM(D62:D64)</f>
        <v>0</v>
      </c>
      <c r="E66" s="85"/>
      <c r="F66" s="626">
        <f>SUM(F62:F64)</f>
        <v>0</v>
      </c>
      <c r="G66" s="85"/>
      <c r="H66" s="626">
        <f>SUM(H62:H64)</f>
        <v>0</v>
      </c>
      <c r="I66" s="85"/>
      <c r="J66" s="626">
        <f>SUM(J62:J64)</f>
        <v>0</v>
      </c>
      <c r="K66" s="81"/>
      <c r="L66" s="53"/>
      <c r="M66" s="158"/>
      <c r="N66" s="158"/>
      <c r="O66" s="53"/>
      <c r="P66" s="7"/>
    </row>
    <row r="67" spans="1:16" ht="15.75" x14ac:dyDescent="0.25">
      <c r="A67" s="53"/>
      <c r="B67" s="106"/>
      <c r="C67" s="80"/>
      <c r="D67" s="85"/>
      <c r="E67" s="85"/>
      <c r="F67" s="85"/>
      <c r="G67" s="85"/>
      <c r="H67" s="85"/>
      <c r="I67" s="85"/>
      <c r="J67" s="85"/>
      <c r="K67" s="81"/>
      <c r="L67" s="53"/>
      <c r="M67" s="158"/>
      <c r="N67" s="158"/>
      <c r="O67" s="53"/>
      <c r="P67" s="7"/>
    </row>
    <row r="68" spans="1:16" ht="15.75" x14ac:dyDescent="0.25">
      <c r="A68" s="53"/>
      <c r="B68" s="107" t="s">
        <v>330</v>
      </c>
      <c r="C68" s="621"/>
      <c r="D68" s="627"/>
      <c r="E68" s="628"/>
      <c r="F68" s="627"/>
      <c r="G68" s="628"/>
      <c r="H68" s="627"/>
      <c r="I68" s="628"/>
      <c r="J68" s="627"/>
      <c r="K68" s="623"/>
      <c r="L68" s="53"/>
      <c r="M68" s="158"/>
      <c r="N68" s="158"/>
      <c r="O68" s="53"/>
      <c r="P68" s="7"/>
    </row>
    <row r="69" spans="1:16" ht="15.75" x14ac:dyDescent="0.25">
      <c r="A69" s="53"/>
      <c r="B69" s="106"/>
      <c r="C69" s="80"/>
      <c r="D69" s="85"/>
      <c r="E69" s="85"/>
      <c r="F69" s="85"/>
      <c r="G69" s="85"/>
      <c r="H69" s="85"/>
      <c r="I69" s="85"/>
      <c r="J69" s="85"/>
      <c r="K69" s="81"/>
      <c r="L69" s="53"/>
      <c r="M69" s="158"/>
      <c r="N69" s="158"/>
      <c r="O69" s="53"/>
      <c r="P69" s="7"/>
    </row>
    <row r="70" spans="1:16" ht="15.75" x14ac:dyDescent="0.25">
      <c r="A70" s="53"/>
      <c r="B70" s="106" t="s">
        <v>330</v>
      </c>
      <c r="C70" s="80"/>
      <c r="D70" s="624">
        <v>0</v>
      </c>
      <c r="E70" s="85"/>
      <c r="F70" s="624">
        <v>0</v>
      </c>
      <c r="G70" s="85"/>
      <c r="H70" s="624">
        <v>0</v>
      </c>
      <c r="I70" s="85"/>
      <c r="J70" s="626">
        <f>SUM(D70,F70,H70)</f>
        <v>0</v>
      </c>
      <c r="K70" s="81"/>
      <c r="L70" s="53"/>
      <c r="M70" s="158"/>
      <c r="N70" s="158"/>
      <c r="O70" s="334" t="str">
        <f t="shared" ref="O70" si="6">IF(OR(D70="",F70="",H70=""),"Incomplete","Complete")</f>
        <v>Complete</v>
      </c>
      <c r="P70" s="7"/>
    </row>
    <row r="71" spans="1:16" ht="15.75" x14ac:dyDescent="0.25">
      <c r="A71" s="53"/>
      <c r="B71" s="106"/>
      <c r="C71" s="80"/>
      <c r="D71" s="85"/>
      <c r="E71" s="85"/>
      <c r="F71" s="85"/>
      <c r="G71" s="85"/>
      <c r="H71" s="85"/>
      <c r="I71" s="85"/>
      <c r="J71" s="85"/>
      <c r="K71" s="81"/>
      <c r="L71" s="53"/>
      <c r="M71" s="158"/>
      <c r="N71" s="158"/>
      <c r="O71" s="53"/>
      <c r="P71" s="7"/>
    </row>
    <row r="72" spans="1:16" ht="15.75" x14ac:dyDescent="0.25">
      <c r="A72" s="53"/>
      <c r="B72" s="107" t="s">
        <v>331</v>
      </c>
      <c r="C72" s="621"/>
      <c r="D72" s="627"/>
      <c r="E72" s="628"/>
      <c r="F72" s="627"/>
      <c r="G72" s="628"/>
      <c r="H72" s="627"/>
      <c r="I72" s="628"/>
      <c r="J72" s="627"/>
      <c r="K72" s="623"/>
      <c r="L72" s="53"/>
      <c r="M72" s="158"/>
      <c r="N72" s="158"/>
      <c r="O72" s="53"/>
      <c r="P72" s="7"/>
    </row>
    <row r="73" spans="1:16" ht="15.75" x14ac:dyDescent="0.25">
      <c r="A73" s="53"/>
      <c r="B73" s="106"/>
      <c r="C73" s="80"/>
      <c r="D73" s="85"/>
      <c r="E73" s="85"/>
      <c r="F73" s="85"/>
      <c r="G73" s="85"/>
      <c r="H73" s="85"/>
      <c r="I73" s="85"/>
      <c r="J73" s="85"/>
      <c r="K73" s="81"/>
      <c r="L73" s="53"/>
      <c r="M73" s="158"/>
      <c r="N73" s="158"/>
      <c r="O73" s="53"/>
      <c r="P73" s="7"/>
    </row>
    <row r="74" spans="1:16" ht="15.75" x14ac:dyDescent="0.25">
      <c r="A74" s="53"/>
      <c r="B74" s="106" t="s">
        <v>332</v>
      </c>
      <c r="C74" s="80"/>
      <c r="D74" s="624">
        <v>0</v>
      </c>
      <c r="E74" s="85"/>
      <c r="F74" s="624">
        <v>0</v>
      </c>
      <c r="G74" s="85"/>
      <c r="H74" s="624">
        <v>0</v>
      </c>
      <c r="I74" s="85"/>
      <c r="J74" s="626">
        <f>SUM(D74,F74,H74)</f>
        <v>0</v>
      </c>
      <c r="K74" s="81"/>
      <c r="L74" s="53"/>
      <c r="M74" s="158"/>
      <c r="N74" s="158"/>
      <c r="O74" s="334" t="str">
        <f t="shared" ref="O74" si="7">IF(OR(D74="",F74="",H74=""),"Incomplete","Complete")</f>
        <v>Complete</v>
      </c>
      <c r="P74" s="7"/>
    </row>
    <row r="75" spans="1:16" ht="15.75" x14ac:dyDescent="0.25">
      <c r="A75" s="53"/>
      <c r="B75" s="106"/>
      <c r="C75" s="80"/>
      <c r="D75" s="85"/>
      <c r="E75" s="85"/>
      <c r="F75" s="85"/>
      <c r="G75" s="85"/>
      <c r="H75" s="85"/>
      <c r="I75" s="85"/>
      <c r="J75" s="85"/>
      <c r="K75" s="81"/>
      <c r="L75" s="53"/>
      <c r="M75" s="158"/>
      <c r="N75" s="158"/>
      <c r="O75" s="53"/>
      <c r="P75" s="7"/>
    </row>
    <row r="76" spans="1:16" ht="15.75" x14ac:dyDescent="0.25">
      <c r="A76" s="53"/>
      <c r="B76" s="107" t="s">
        <v>333</v>
      </c>
      <c r="C76" s="621"/>
      <c r="D76" s="627"/>
      <c r="E76" s="628"/>
      <c r="F76" s="627"/>
      <c r="G76" s="628"/>
      <c r="H76" s="627"/>
      <c r="I76" s="628"/>
      <c r="J76" s="627"/>
      <c r="K76" s="623"/>
      <c r="L76" s="53"/>
      <c r="M76" s="158"/>
      <c r="N76" s="158"/>
      <c r="O76" s="53"/>
      <c r="P76" s="7"/>
    </row>
    <row r="77" spans="1:16" ht="15.75" x14ac:dyDescent="0.25">
      <c r="A77" s="53"/>
      <c r="B77" s="106"/>
      <c r="C77" s="80"/>
      <c r="D77" s="85"/>
      <c r="E77" s="85"/>
      <c r="F77" s="85"/>
      <c r="G77" s="85"/>
      <c r="H77" s="85"/>
      <c r="I77" s="85"/>
      <c r="J77" s="85"/>
      <c r="K77" s="81"/>
      <c r="L77" s="53"/>
      <c r="M77" s="158"/>
      <c r="N77" s="158"/>
      <c r="O77" s="53"/>
      <c r="P77" s="7"/>
    </row>
    <row r="78" spans="1:16" ht="15.75" x14ac:dyDescent="0.25">
      <c r="A78" s="53"/>
      <c r="B78" s="106" t="s">
        <v>209</v>
      </c>
      <c r="C78" s="80"/>
      <c r="D78" s="626">
        <f>SUM(D12,D20,D24,D28,D32,D42,D46,D50,D58,D66,D70,D74)</f>
        <v>0</v>
      </c>
      <c r="E78" s="85"/>
      <c r="F78" s="626">
        <f>SUM(F12,F20,F24,F28,F32,F42,F46,F50,F58,F66,F70,F74)</f>
        <v>0</v>
      </c>
      <c r="G78" s="85"/>
      <c r="H78" s="626">
        <f>SUM(H12,H20,H24,H28,H32,H42,H46,H50,H58,H66,H70,H74)</f>
        <v>0</v>
      </c>
      <c r="I78" s="85"/>
      <c r="J78" s="626">
        <f>SUM(D78,F78,H78)</f>
        <v>0</v>
      </c>
      <c r="K78" s="81"/>
      <c r="L78" s="53"/>
      <c r="M78" s="158"/>
      <c r="N78" s="158"/>
      <c r="O78" s="53"/>
      <c r="P78" s="7"/>
    </row>
    <row r="79" spans="1:16" ht="16.5" thickBot="1" x14ac:dyDescent="0.3">
      <c r="A79" s="53"/>
      <c r="B79" s="110"/>
      <c r="C79" s="93"/>
      <c r="D79" s="134"/>
      <c r="E79" s="134"/>
      <c r="F79" s="134"/>
      <c r="G79" s="134"/>
      <c r="H79" s="134"/>
      <c r="I79" s="134"/>
      <c r="J79" s="134"/>
      <c r="K79" s="94"/>
      <c r="L79" s="53"/>
      <c r="M79" s="158"/>
      <c r="N79" s="158"/>
      <c r="O79" s="53"/>
      <c r="P79" s="7"/>
    </row>
    <row r="80" spans="1:16" ht="15.75" x14ac:dyDescent="0.25">
      <c r="A80" s="53"/>
      <c r="B80" s="53"/>
      <c r="C80" s="53"/>
      <c r="D80" s="109"/>
      <c r="E80" s="109"/>
      <c r="F80" s="109"/>
      <c r="G80" s="109"/>
      <c r="H80" s="109"/>
      <c r="I80" s="109"/>
      <c r="J80" s="109"/>
      <c r="K80" s="53"/>
      <c r="L80" s="53"/>
      <c r="M80" s="158"/>
      <c r="N80" s="158"/>
      <c r="O80" s="53"/>
      <c r="P80" s="7"/>
    </row>
    <row r="81" spans="1:16" ht="16.5" thickBot="1" x14ac:dyDescent="0.3">
      <c r="A81" s="53"/>
      <c r="B81" s="53"/>
      <c r="C81" s="53"/>
      <c r="D81" s="109"/>
      <c r="E81" s="109"/>
      <c r="F81" s="109"/>
      <c r="G81" s="109"/>
      <c r="H81" s="109"/>
      <c r="I81" s="109"/>
      <c r="J81" s="109"/>
      <c r="K81" s="53"/>
      <c r="L81" s="53"/>
      <c r="M81" s="158"/>
      <c r="N81" s="158"/>
      <c r="O81" s="53"/>
      <c r="P81" s="7"/>
    </row>
    <row r="82" spans="1:16" ht="16.5" thickBot="1" x14ac:dyDescent="0.3">
      <c r="A82" s="53"/>
      <c r="B82" s="126" t="s">
        <v>334</v>
      </c>
      <c r="C82" s="194"/>
      <c r="D82" s="195" t="s">
        <v>335</v>
      </c>
      <c r="E82" s="196"/>
      <c r="F82" s="195" t="s">
        <v>336</v>
      </c>
      <c r="G82" s="196"/>
      <c r="H82" s="195" t="s">
        <v>337</v>
      </c>
      <c r="I82" s="196"/>
      <c r="J82" s="195" t="s">
        <v>169</v>
      </c>
      <c r="K82" s="166"/>
      <c r="L82" s="53"/>
      <c r="M82" s="158"/>
      <c r="N82" s="158"/>
      <c r="O82" s="53"/>
      <c r="P82" s="7"/>
    </row>
    <row r="83" spans="1:16" ht="15.75" x14ac:dyDescent="0.25">
      <c r="A83" s="53"/>
      <c r="B83" s="106"/>
      <c r="C83" s="80"/>
      <c r="D83" s="85"/>
      <c r="E83" s="85"/>
      <c r="F83" s="85"/>
      <c r="G83" s="85"/>
      <c r="H83" s="85"/>
      <c r="I83" s="85"/>
      <c r="J83" s="85"/>
      <c r="K83" s="81"/>
      <c r="L83" s="53"/>
      <c r="M83" s="158"/>
      <c r="N83" s="158"/>
      <c r="O83" s="53"/>
      <c r="P83" s="7"/>
    </row>
    <row r="84" spans="1:16" ht="15.75" x14ac:dyDescent="0.25">
      <c r="A84" s="53"/>
      <c r="B84" s="107" t="s">
        <v>338</v>
      </c>
      <c r="C84" s="621"/>
      <c r="D84" s="627"/>
      <c r="E84" s="628"/>
      <c r="F84" s="627"/>
      <c r="G84" s="628"/>
      <c r="H84" s="627"/>
      <c r="I84" s="628"/>
      <c r="J84" s="627"/>
      <c r="K84" s="623"/>
      <c r="L84" s="53"/>
      <c r="M84" s="158"/>
      <c r="N84" s="158"/>
      <c r="O84" s="53"/>
      <c r="P84" s="7"/>
    </row>
    <row r="85" spans="1:16" ht="16.5" thickBot="1" x14ac:dyDescent="0.3">
      <c r="A85" s="53"/>
      <c r="B85" s="106"/>
      <c r="C85" s="80"/>
      <c r="D85" s="85"/>
      <c r="E85" s="85"/>
      <c r="F85" s="85"/>
      <c r="G85" s="85"/>
      <c r="H85" s="85"/>
      <c r="I85" s="85"/>
      <c r="J85" s="85"/>
      <c r="K85" s="81"/>
      <c r="L85" s="53"/>
      <c r="M85" s="158"/>
      <c r="N85" s="158"/>
      <c r="O85" s="53"/>
      <c r="P85" s="7"/>
    </row>
    <row r="86" spans="1:16" ht="30.75" customHeight="1" thickBot="1" x14ac:dyDescent="0.3">
      <c r="A86" s="53"/>
      <c r="B86" s="173" t="s">
        <v>339</v>
      </c>
      <c r="C86" s="80"/>
      <c r="D86" s="624">
        <v>0</v>
      </c>
      <c r="E86" s="85"/>
      <c r="F86" s="625">
        <v>0</v>
      </c>
      <c r="G86" s="85"/>
      <c r="H86" s="625">
        <v>0</v>
      </c>
      <c r="I86" s="85"/>
      <c r="J86" s="626">
        <f>SUM(D86,F86,H86)</f>
        <v>0</v>
      </c>
      <c r="K86" s="81"/>
      <c r="L86" s="53"/>
      <c r="M86" s="191" t="s">
        <v>322</v>
      </c>
      <c r="N86" s="341"/>
      <c r="O86" s="334" t="str">
        <f t="shared" ref="O86" si="8">IF(OR(D86="",F86="",H86=""),"Incomplete","Complete")</f>
        <v>Complete</v>
      </c>
      <c r="P86" s="7"/>
    </row>
    <row r="87" spans="1:16" ht="53.25" customHeight="1" thickBot="1" x14ac:dyDescent="0.3">
      <c r="A87" s="53"/>
      <c r="B87" s="172" t="s">
        <v>340</v>
      </c>
      <c r="C87" s="80"/>
      <c r="D87" s="624">
        <v>0</v>
      </c>
      <c r="E87" s="85"/>
      <c r="F87" s="625">
        <v>0</v>
      </c>
      <c r="G87" s="85"/>
      <c r="H87" s="625">
        <v>0</v>
      </c>
      <c r="I87" s="85"/>
      <c r="J87" s="626">
        <f>SUM(D87,F87,H87)</f>
        <v>0</v>
      </c>
      <c r="K87" s="81"/>
      <c r="L87" s="53"/>
      <c r="M87" s="192"/>
      <c r="N87" s="422"/>
      <c r="O87" s="334" t="str">
        <f>IF(OR(D87="",F87="",H87="",AND(D87&gt;0,M87="")),"Incomplete","Complete")</f>
        <v>Complete</v>
      </c>
      <c r="P87" s="7"/>
    </row>
    <row r="88" spans="1:16" ht="15.75" x14ac:dyDescent="0.25">
      <c r="A88" s="53"/>
      <c r="B88" s="106"/>
      <c r="C88" s="80"/>
      <c r="D88" s="85"/>
      <c r="E88" s="85"/>
      <c r="F88" s="85"/>
      <c r="G88" s="85"/>
      <c r="H88" s="85"/>
      <c r="I88" s="85"/>
      <c r="J88" s="85"/>
      <c r="K88" s="81"/>
      <c r="L88" s="53"/>
      <c r="M88" s="158"/>
      <c r="N88" s="158"/>
      <c r="O88" s="53"/>
      <c r="P88" s="7"/>
    </row>
    <row r="89" spans="1:16" ht="15.75" x14ac:dyDescent="0.25">
      <c r="A89" s="53"/>
      <c r="B89" s="106" t="s">
        <v>341</v>
      </c>
      <c r="C89" s="80"/>
      <c r="D89" s="626">
        <f>SUM(D86:D87)+('Ring-Fenced Fund Adjustment'!AD33-'Ring-Fenced Fund Adjustment'!AF33)</f>
        <v>0</v>
      </c>
      <c r="E89" s="85"/>
      <c r="F89" s="626">
        <f>SUM(F86:F87)</f>
        <v>0</v>
      </c>
      <c r="G89" s="85"/>
      <c r="H89" s="637">
        <f>SUM(H86:H87)</f>
        <v>0</v>
      </c>
      <c r="I89" s="85"/>
      <c r="J89" s="626">
        <f>SUM(J86:J87)</f>
        <v>0</v>
      </c>
      <c r="K89" s="81"/>
      <c r="L89" s="53"/>
      <c r="M89" s="158"/>
      <c r="N89" s="158"/>
      <c r="O89" s="53"/>
      <c r="P89" s="7"/>
    </row>
    <row r="90" spans="1:16" ht="15.75" x14ac:dyDescent="0.25">
      <c r="A90" s="53"/>
      <c r="B90" s="106"/>
      <c r="C90" s="80"/>
      <c r="D90" s="85"/>
      <c r="E90" s="85"/>
      <c r="F90" s="85"/>
      <c r="G90" s="85"/>
      <c r="H90" s="85"/>
      <c r="I90" s="85"/>
      <c r="J90" s="85"/>
      <c r="K90" s="81"/>
      <c r="L90" s="53"/>
      <c r="M90" s="158"/>
      <c r="N90" s="158"/>
      <c r="O90" s="53"/>
      <c r="P90" s="7"/>
    </row>
    <row r="91" spans="1:16" ht="15.75" x14ac:dyDescent="0.25">
      <c r="A91" s="53"/>
      <c r="B91" s="197" t="s">
        <v>342</v>
      </c>
      <c r="C91" s="638"/>
      <c r="D91" s="639"/>
      <c r="E91" s="640"/>
      <c r="F91" s="639"/>
      <c r="G91" s="640"/>
      <c r="H91" s="639"/>
      <c r="I91" s="640"/>
      <c r="J91" s="639"/>
      <c r="K91" s="641"/>
      <c r="L91" s="53"/>
      <c r="M91" s="158"/>
      <c r="N91" s="158"/>
      <c r="O91" s="53"/>
      <c r="P91" s="7"/>
    </row>
    <row r="92" spans="1:16" ht="15.75" x14ac:dyDescent="0.25">
      <c r="A92" s="53"/>
      <c r="B92" s="106"/>
      <c r="C92" s="80"/>
      <c r="D92" s="85"/>
      <c r="E92" s="85"/>
      <c r="F92" s="85"/>
      <c r="G92" s="85"/>
      <c r="H92" s="85"/>
      <c r="I92" s="85"/>
      <c r="J92" s="85"/>
      <c r="K92" s="81"/>
      <c r="L92" s="53"/>
      <c r="M92" s="158"/>
      <c r="N92" s="158"/>
      <c r="O92" s="53"/>
      <c r="P92" s="7"/>
    </row>
    <row r="93" spans="1:16" ht="15.75" x14ac:dyDescent="0.25">
      <c r="A93" s="53"/>
      <c r="B93" s="172" t="s">
        <v>343</v>
      </c>
      <c r="C93" s="80"/>
      <c r="D93" s="629"/>
      <c r="E93" s="85"/>
      <c r="F93" s="626">
        <f>-D93</f>
        <v>0</v>
      </c>
      <c r="G93" s="85"/>
      <c r="H93" s="642">
        <v>0</v>
      </c>
      <c r="I93" s="85"/>
      <c r="J93" s="626">
        <f>SUM(D93,F93,H93)</f>
        <v>0</v>
      </c>
      <c r="K93" s="81"/>
      <c r="L93" s="53"/>
      <c r="M93" s="158"/>
      <c r="N93" s="158"/>
      <c r="O93" s="53"/>
      <c r="P93" s="7"/>
    </row>
    <row r="94" spans="1:16" ht="15.75" x14ac:dyDescent="0.25">
      <c r="A94" s="53"/>
      <c r="B94" s="172" t="s">
        <v>344</v>
      </c>
      <c r="C94" s="80"/>
      <c r="D94" s="629"/>
      <c r="E94" s="85"/>
      <c r="F94" s="629"/>
      <c r="G94" s="85"/>
      <c r="H94" s="629"/>
      <c r="I94" s="85"/>
      <c r="J94" s="626">
        <f>SUM(D94,F94,H94)</f>
        <v>0</v>
      </c>
      <c r="K94" s="81"/>
      <c r="L94" s="53"/>
      <c r="M94" s="158"/>
      <c r="N94" s="158"/>
      <c r="O94" s="53"/>
      <c r="P94" s="7"/>
    </row>
    <row r="95" spans="1:16" ht="15.75" x14ac:dyDescent="0.25">
      <c r="A95" s="53"/>
      <c r="B95" s="106"/>
      <c r="C95" s="80"/>
      <c r="D95" s="85"/>
      <c r="E95" s="85"/>
      <c r="F95" s="85"/>
      <c r="G95" s="85"/>
      <c r="H95" s="85"/>
      <c r="I95" s="85"/>
      <c r="J95" s="85"/>
      <c r="K95" s="81"/>
      <c r="L95" s="53"/>
      <c r="M95" s="158"/>
      <c r="N95" s="158"/>
      <c r="O95" s="53"/>
      <c r="P95" s="7"/>
    </row>
    <row r="96" spans="1:16" ht="15.75" x14ac:dyDescent="0.25">
      <c r="A96" s="53"/>
      <c r="B96" s="106" t="s">
        <v>169</v>
      </c>
      <c r="C96" s="80"/>
      <c r="D96" s="626">
        <f>SUM(D93:D94)</f>
        <v>0</v>
      </c>
      <c r="E96" s="85"/>
      <c r="F96" s="626">
        <f>SUM(F93:F94)</f>
        <v>0</v>
      </c>
      <c r="G96" s="85"/>
      <c r="H96" s="626">
        <f>SUM(H93:H94)</f>
        <v>0</v>
      </c>
      <c r="I96" s="85"/>
      <c r="J96" s="626">
        <f>SUM(J93:J94)</f>
        <v>0</v>
      </c>
      <c r="K96" s="81"/>
      <c r="L96" s="53"/>
      <c r="M96" s="158"/>
      <c r="N96" s="158"/>
      <c r="O96" s="53"/>
      <c r="P96" s="7"/>
    </row>
    <row r="97" spans="1:16" ht="15.75" x14ac:dyDescent="0.25">
      <c r="A97" s="53"/>
      <c r="B97" s="106"/>
      <c r="C97" s="80"/>
      <c r="D97" s="85"/>
      <c r="E97" s="85"/>
      <c r="F97" s="85"/>
      <c r="G97" s="85"/>
      <c r="H97" s="85"/>
      <c r="I97" s="85"/>
      <c r="J97" s="85"/>
      <c r="K97" s="81"/>
      <c r="L97" s="53"/>
      <c r="M97" s="158"/>
      <c r="N97" s="158"/>
      <c r="O97" s="53"/>
      <c r="P97" s="7"/>
    </row>
    <row r="98" spans="1:16" ht="15.75" x14ac:dyDescent="0.25">
      <c r="A98" s="53"/>
      <c r="B98" s="107" t="s">
        <v>345</v>
      </c>
      <c r="C98" s="621"/>
      <c r="D98" s="627"/>
      <c r="E98" s="628"/>
      <c r="F98" s="627"/>
      <c r="G98" s="628"/>
      <c r="H98" s="627"/>
      <c r="I98" s="628"/>
      <c r="J98" s="627"/>
      <c r="K98" s="623"/>
      <c r="L98" s="53"/>
      <c r="M98" s="158"/>
      <c r="N98" s="158"/>
      <c r="O98" s="53"/>
      <c r="P98" s="7"/>
    </row>
    <row r="99" spans="1:16" ht="15.75" x14ac:dyDescent="0.25">
      <c r="A99" s="53"/>
      <c r="B99" s="106"/>
      <c r="C99" s="80"/>
      <c r="D99" s="85"/>
      <c r="E99" s="85"/>
      <c r="F99" s="85"/>
      <c r="G99" s="85"/>
      <c r="H99" s="85"/>
      <c r="I99" s="85"/>
      <c r="J99" s="85"/>
      <c r="K99" s="81"/>
      <c r="L99" s="53"/>
      <c r="M99" s="158"/>
      <c r="N99" s="158"/>
      <c r="O99" s="53"/>
      <c r="P99" s="7"/>
    </row>
    <row r="100" spans="1:16" ht="15.75" x14ac:dyDescent="0.25">
      <c r="A100" s="53"/>
      <c r="B100" s="172" t="s">
        <v>346</v>
      </c>
      <c r="C100" s="80"/>
      <c r="D100" s="624">
        <v>0</v>
      </c>
      <c r="E100" s="85"/>
      <c r="F100" s="624">
        <v>0</v>
      </c>
      <c r="G100" s="85"/>
      <c r="H100" s="624">
        <v>0</v>
      </c>
      <c r="I100" s="85"/>
      <c r="J100" s="626">
        <f>SUM(D100,F100,H100)</f>
        <v>0</v>
      </c>
      <c r="K100" s="81"/>
      <c r="L100" s="53"/>
      <c r="M100" s="158"/>
      <c r="N100" s="158"/>
      <c r="O100" s="334" t="str">
        <f t="shared" ref="O100" si="9">IF(OR(D100="",F100="",H100=""),"Incomplete","Complete")</f>
        <v>Complete</v>
      </c>
      <c r="P100" s="7"/>
    </row>
    <row r="101" spans="1:16" ht="15.75" x14ac:dyDescent="0.25">
      <c r="A101" s="53"/>
      <c r="B101" s="106"/>
      <c r="C101" s="80"/>
      <c r="D101" s="85"/>
      <c r="E101" s="85"/>
      <c r="F101" s="85"/>
      <c r="G101" s="85"/>
      <c r="H101" s="85"/>
      <c r="I101" s="85"/>
      <c r="J101" s="85"/>
      <c r="K101" s="81"/>
      <c r="L101" s="53"/>
      <c r="M101" s="158"/>
      <c r="N101" s="158"/>
      <c r="O101" s="53"/>
      <c r="P101" s="7"/>
    </row>
    <row r="102" spans="1:16" ht="15.75" x14ac:dyDescent="0.25">
      <c r="A102" s="53"/>
      <c r="B102" s="106" t="s">
        <v>169</v>
      </c>
      <c r="C102" s="80"/>
      <c r="D102" s="626">
        <f>D100</f>
        <v>0</v>
      </c>
      <c r="E102" s="85"/>
      <c r="F102" s="626">
        <f>F100</f>
        <v>0</v>
      </c>
      <c r="G102" s="85"/>
      <c r="H102" s="626">
        <f>H100</f>
        <v>0</v>
      </c>
      <c r="I102" s="85"/>
      <c r="J102" s="626">
        <f>J100</f>
        <v>0</v>
      </c>
      <c r="K102" s="81"/>
      <c r="L102" s="53"/>
      <c r="M102" s="158"/>
      <c r="N102" s="158"/>
      <c r="O102" s="53"/>
      <c r="P102" s="7"/>
    </row>
    <row r="103" spans="1:16" ht="15.75" x14ac:dyDescent="0.25">
      <c r="A103" s="53"/>
      <c r="B103" s="106"/>
      <c r="C103" s="80"/>
      <c r="D103" s="85"/>
      <c r="E103" s="85"/>
      <c r="F103" s="85"/>
      <c r="G103" s="85"/>
      <c r="H103" s="85"/>
      <c r="I103" s="85"/>
      <c r="J103" s="85"/>
      <c r="K103" s="81"/>
      <c r="L103" s="53"/>
      <c r="M103" s="158"/>
      <c r="N103" s="158"/>
      <c r="O103" s="53"/>
      <c r="P103" s="7"/>
    </row>
    <row r="104" spans="1:16" ht="15.75" x14ac:dyDescent="0.25">
      <c r="A104" s="53"/>
      <c r="B104" s="107" t="s">
        <v>347</v>
      </c>
      <c r="C104" s="621"/>
      <c r="D104" s="627"/>
      <c r="E104" s="628"/>
      <c r="F104" s="627"/>
      <c r="G104" s="628"/>
      <c r="H104" s="627"/>
      <c r="I104" s="628"/>
      <c r="J104" s="627"/>
      <c r="K104" s="623"/>
      <c r="L104" s="53"/>
      <c r="M104" s="158"/>
      <c r="N104" s="158"/>
      <c r="O104" s="53"/>
      <c r="P104" s="7"/>
    </row>
    <row r="105" spans="1:16" ht="15.75" x14ac:dyDescent="0.25">
      <c r="A105" s="53"/>
      <c r="B105" s="106"/>
      <c r="C105" s="80"/>
      <c r="D105" s="85"/>
      <c r="E105" s="85"/>
      <c r="F105" s="85"/>
      <c r="G105" s="85"/>
      <c r="H105" s="85"/>
      <c r="I105" s="85"/>
      <c r="J105" s="85"/>
      <c r="K105" s="81"/>
      <c r="L105" s="53"/>
      <c r="M105" s="158"/>
      <c r="N105" s="158"/>
      <c r="O105" s="53"/>
      <c r="P105" s="7"/>
    </row>
    <row r="106" spans="1:16" ht="15.75" x14ac:dyDescent="0.25">
      <c r="A106" s="53"/>
      <c r="B106" s="106" t="s">
        <v>209</v>
      </c>
      <c r="C106" s="80"/>
      <c r="D106" s="626">
        <f>D96-D89+D102</f>
        <v>0</v>
      </c>
      <c r="E106" s="85"/>
      <c r="F106" s="626">
        <f>F96-F89+F102</f>
        <v>0</v>
      </c>
      <c r="G106" s="85"/>
      <c r="H106" s="626">
        <f>H96-H89+H102</f>
        <v>0</v>
      </c>
      <c r="I106" s="85"/>
      <c r="J106" s="626">
        <f>SUM(D106,F106,H106)</f>
        <v>0</v>
      </c>
      <c r="K106" s="81"/>
      <c r="L106" s="53"/>
      <c r="M106" s="158"/>
      <c r="N106" s="158"/>
      <c r="O106" s="53"/>
      <c r="P106" s="7"/>
    </row>
    <row r="107" spans="1:16" ht="16.5" thickBot="1" x14ac:dyDescent="0.3">
      <c r="A107" s="53"/>
      <c r="B107" s="110"/>
      <c r="C107" s="93"/>
      <c r="D107" s="134"/>
      <c r="E107" s="134"/>
      <c r="F107" s="134"/>
      <c r="G107" s="134"/>
      <c r="H107" s="134"/>
      <c r="I107" s="134"/>
      <c r="J107" s="134"/>
      <c r="K107" s="94"/>
      <c r="L107" s="53"/>
      <c r="M107" s="158"/>
      <c r="N107" s="158"/>
      <c r="O107" s="53"/>
      <c r="P107" s="7"/>
    </row>
    <row r="108" spans="1:16" ht="16.5" thickBot="1" x14ac:dyDescent="0.3">
      <c r="A108" s="53"/>
      <c r="B108" s="53"/>
      <c r="C108" s="53"/>
      <c r="D108" s="109"/>
      <c r="E108" s="109"/>
      <c r="F108" s="109"/>
      <c r="G108" s="109"/>
      <c r="H108" s="109"/>
      <c r="I108" s="109"/>
      <c r="J108" s="109"/>
      <c r="K108" s="53"/>
      <c r="L108" s="53"/>
      <c r="M108" s="158"/>
      <c r="N108" s="158"/>
      <c r="O108" s="53"/>
      <c r="P108" s="7"/>
    </row>
    <row r="109" spans="1:16" ht="15.75" x14ac:dyDescent="0.25">
      <c r="A109" s="53"/>
      <c r="B109" s="433" t="s">
        <v>348</v>
      </c>
      <c r="C109" s="434"/>
      <c r="D109" s="435"/>
      <c r="E109" s="436"/>
      <c r="F109" s="435"/>
      <c r="G109" s="436"/>
      <c r="H109" s="435"/>
      <c r="I109" s="436"/>
      <c r="J109" s="435"/>
      <c r="K109" s="437"/>
      <c r="L109" s="53"/>
      <c r="M109" s="158"/>
      <c r="N109" s="158"/>
      <c r="O109" s="53"/>
      <c r="P109" s="7"/>
    </row>
    <row r="110" spans="1:16" ht="15.75" x14ac:dyDescent="0.25">
      <c r="A110" s="53"/>
      <c r="B110" s="106"/>
      <c r="C110" s="80"/>
      <c r="D110" s="85"/>
      <c r="E110" s="85"/>
      <c r="F110" s="85"/>
      <c r="G110" s="85"/>
      <c r="H110" s="85"/>
      <c r="I110" s="85"/>
      <c r="J110" s="85"/>
      <c r="K110" s="81"/>
      <c r="L110" s="53"/>
      <c r="M110" s="158"/>
      <c r="N110" s="158"/>
      <c r="O110" s="53"/>
      <c r="P110" s="7"/>
    </row>
    <row r="111" spans="1:16" ht="15.75" x14ac:dyDescent="0.25">
      <c r="A111" s="53"/>
      <c r="B111" s="106" t="s">
        <v>349</v>
      </c>
      <c r="C111" s="80"/>
      <c r="D111" s="626">
        <f>SUM(BOF_Tier_1,BOF_Adj_Tier_1)</f>
        <v>0</v>
      </c>
      <c r="E111" s="85"/>
      <c r="F111" s="626">
        <f>SUM(BOF_Tier_2,BOF_Adj_Tier_2,AOF_Tier_2)</f>
        <v>0</v>
      </c>
      <c r="G111" s="85"/>
      <c r="H111" s="626">
        <f>SUM(BOF_Tier_3,BOF_Adj_Tier_3,AOF_Tier_3)</f>
        <v>0</v>
      </c>
      <c r="I111" s="85"/>
      <c r="J111" s="626">
        <f>SUM(BOF_Total,BOF_Adj_Total,AOF_Total)</f>
        <v>0</v>
      </c>
      <c r="K111" s="81"/>
      <c r="L111" s="53"/>
      <c r="M111" s="158"/>
      <c r="N111" s="158"/>
      <c r="O111" s="53"/>
      <c r="P111" s="7"/>
    </row>
    <row r="112" spans="1:16" ht="16.5" thickBot="1" x14ac:dyDescent="0.3">
      <c r="A112" s="53"/>
      <c r="B112" s="110"/>
      <c r="C112" s="93"/>
      <c r="D112" s="134"/>
      <c r="E112" s="134"/>
      <c r="F112" s="134"/>
      <c r="G112" s="134"/>
      <c r="H112" s="134"/>
      <c r="I112" s="134"/>
      <c r="J112" s="134"/>
      <c r="K112" s="94"/>
      <c r="L112" s="53"/>
      <c r="M112" s="158"/>
      <c r="N112" s="158"/>
      <c r="O112" s="53"/>
      <c r="P112" s="7"/>
    </row>
    <row r="113" spans="1:16" ht="16.5" thickBot="1" x14ac:dyDescent="0.3">
      <c r="A113" s="53"/>
      <c r="B113" s="53"/>
      <c r="C113" s="53"/>
      <c r="D113" s="53"/>
      <c r="E113" s="53"/>
      <c r="F113" s="53"/>
      <c r="G113" s="53"/>
      <c r="H113" s="53"/>
      <c r="I113" s="53"/>
      <c r="J113" s="53"/>
      <c r="K113" s="53"/>
      <c r="L113" s="53"/>
      <c r="M113" s="158"/>
      <c r="N113" s="158"/>
      <c r="O113" s="53"/>
      <c r="P113" s="7"/>
    </row>
    <row r="114" spans="1:16" ht="15.75" x14ac:dyDescent="0.25">
      <c r="A114" s="53"/>
      <c r="B114" s="433" t="s">
        <v>350</v>
      </c>
      <c r="C114" s="434"/>
      <c r="D114" s="435"/>
      <c r="E114" s="436"/>
      <c r="F114" s="435"/>
      <c r="G114" s="436"/>
      <c r="H114" s="435"/>
      <c r="I114" s="436"/>
      <c r="J114" s="435"/>
      <c r="K114" s="437"/>
      <c r="L114" s="53"/>
      <c r="M114" s="53"/>
      <c r="N114" s="53"/>
      <c r="O114" s="53"/>
      <c r="P114" s="7"/>
    </row>
    <row r="115" spans="1:16" ht="15.75" x14ac:dyDescent="0.25">
      <c r="A115" s="53"/>
      <c r="B115" s="106"/>
      <c r="C115" s="80"/>
      <c r="D115" s="85"/>
      <c r="E115" s="85"/>
      <c r="F115" s="85"/>
      <c r="G115" s="85"/>
      <c r="H115" s="85"/>
      <c r="I115" s="85"/>
      <c r="J115" s="85"/>
      <c r="K115" s="81"/>
      <c r="L115" s="53"/>
      <c r="M115" s="53"/>
      <c r="N115" s="53"/>
      <c r="O115" s="53"/>
      <c r="P115" s="7"/>
    </row>
    <row r="116" spans="1:16" ht="15.75" x14ac:dyDescent="0.25">
      <c r="A116" s="53"/>
      <c r="B116" s="106" t="s">
        <v>349</v>
      </c>
      <c r="C116" s="80"/>
      <c r="D116" s="626">
        <f>D111</f>
        <v>0</v>
      </c>
      <c r="E116" s="85"/>
      <c r="F116" s="626">
        <f>F111</f>
        <v>0</v>
      </c>
      <c r="G116" s="85"/>
      <c r="H116" s="637">
        <v>0</v>
      </c>
      <c r="I116" s="85"/>
      <c r="J116" s="626">
        <f>D116+F116</f>
        <v>0</v>
      </c>
      <c r="K116" s="81"/>
      <c r="L116" s="53"/>
      <c r="M116" s="53"/>
      <c r="N116" s="53"/>
      <c r="O116" s="53"/>
      <c r="P116" s="7"/>
    </row>
    <row r="117" spans="1:16" ht="16.5" thickBot="1" x14ac:dyDescent="0.3">
      <c r="A117" s="53"/>
      <c r="B117" s="110"/>
      <c r="C117" s="93"/>
      <c r="D117" s="134"/>
      <c r="E117" s="134"/>
      <c r="F117" s="134"/>
      <c r="G117" s="134"/>
      <c r="H117" s="134"/>
      <c r="I117" s="134"/>
      <c r="J117" s="134"/>
      <c r="K117" s="94"/>
      <c r="L117" s="53"/>
      <c r="M117" s="53"/>
      <c r="N117" s="53"/>
      <c r="O117" s="53"/>
      <c r="P117" s="7"/>
    </row>
    <row r="118" spans="1:16" ht="16.5" thickBot="1" x14ac:dyDescent="0.3">
      <c r="A118" s="53"/>
      <c r="B118" s="53"/>
      <c r="C118" s="53"/>
      <c r="D118" s="109"/>
      <c r="E118" s="109"/>
      <c r="F118" s="109"/>
      <c r="G118" s="109"/>
      <c r="H118" s="109"/>
      <c r="I118" s="109"/>
      <c r="J118" s="109"/>
      <c r="K118" s="53"/>
      <c r="L118" s="53"/>
      <c r="M118" s="53"/>
      <c r="N118" s="53"/>
      <c r="O118" s="53"/>
      <c r="P118" s="7"/>
    </row>
    <row r="119" spans="1:16" ht="15.75" x14ac:dyDescent="0.25">
      <c r="A119" s="53"/>
      <c r="B119" s="433" t="s">
        <v>351</v>
      </c>
      <c r="C119" s="434"/>
      <c r="D119" s="435"/>
      <c r="E119" s="436"/>
      <c r="F119" s="435"/>
      <c r="G119" s="436"/>
      <c r="H119" s="435"/>
      <c r="I119" s="436"/>
      <c r="J119" s="435"/>
      <c r="K119" s="437"/>
      <c r="L119" s="53"/>
      <c r="M119" s="53"/>
      <c r="N119" s="53"/>
      <c r="O119" s="53"/>
      <c r="P119" s="7"/>
    </row>
    <row r="120" spans="1:16" ht="15.75" x14ac:dyDescent="0.25">
      <c r="A120" s="53"/>
      <c r="B120" s="106"/>
      <c r="C120" s="80"/>
      <c r="D120" s="85"/>
      <c r="E120" s="85"/>
      <c r="F120" s="85"/>
      <c r="G120" s="85"/>
      <c r="H120" s="85"/>
      <c r="I120" s="85"/>
      <c r="J120" s="85"/>
      <c r="K120" s="81"/>
      <c r="L120" s="53"/>
      <c r="M120" s="53"/>
      <c r="N120" s="53"/>
      <c r="O120" s="53"/>
      <c r="P120" s="7"/>
    </row>
    <row r="121" spans="1:16" ht="15.75" x14ac:dyDescent="0.25">
      <c r="A121" s="53"/>
      <c r="B121" s="106" t="s">
        <v>349</v>
      </c>
      <c r="C121" s="80"/>
      <c r="D121" s="626">
        <f>(D111-SUM(D58,D66,D70,D74))+MAX(0,(MIN((D111-SUM(D58,D66,D70,D74))*0.25,SUM(D58,D66,D70,D74))))</f>
        <v>0</v>
      </c>
      <c r="E121" s="85"/>
      <c r="F121" s="626">
        <f>MAX(0,MIN(0.5*'SCR Summary'!SCR_10,(D111-D121)+F111))</f>
        <v>0</v>
      </c>
      <c r="G121" s="85"/>
      <c r="H121" s="626">
        <f>MAX(0,MIN(0.5*'SCR Summary'!SCR_10-F121,0.15*'SCR Summary'!SCR_10,H111))</f>
        <v>0</v>
      </c>
      <c r="I121" s="85"/>
      <c r="J121" s="626">
        <f>SUM(D121,F121,H121)</f>
        <v>0</v>
      </c>
      <c r="K121" s="81"/>
      <c r="L121" s="53"/>
      <c r="M121" s="53"/>
      <c r="N121" s="53"/>
      <c r="O121" s="53"/>
      <c r="P121" s="7"/>
    </row>
    <row r="122" spans="1:16" ht="16.5" thickBot="1" x14ac:dyDescent="0.3">
      <c r="A122" s="53"/>
      <c r="B122" s="110"/>
      <c r="C122" s="93"/>
      <c r="D122" s="134"/>
      <c r="E122" s="134"/>
      <c r="F122" s="134"/>
      <c r="G122" s="134"/>
      <c r="H122" s="134"/>
      <c r="I122" s="134"/>
      <c r="J122" s="134"/>
      <c r="K122" s="94"/>
      <c r="L122" s="53"/>
      <c r="M122" s="53"/>
      <c r="N122" s="53"/>
      <c r="O122" s="53"/>
      <c r="P122" s="7"/>
    </row>
    <row r="123" spans="1:16" ht="16.5" thickBot="1" x14ac:dyDescent="0.3">
      <c r="A123" s="53"/>
      <c r="B123" s="53"/>
      <c r="C123" s="53"/>
      <c r="D123" s="109"/>
      <c r="E123" s="109"/>
      <c r="F123" s="109"/>
      <c r="G123" s="109"/>
      <c r="H123" s="109"/>
      <c r="I123" s="109"/>
      <c r="J123" s="109"/>
      <c r="K123" s="53"/>
      <c r="L123" s="53"/>
      <c r="M123" s="53"/>
      <c r="N123" s="53"/>
      <c r="O123" s="53"/>
      <c r="P123" s="7"/>
    </row>
    <row r="124" spans="1:16" ht="15.75" x14ac:dyDescent="0.25">
      <c r="A124" s="53"/>
      <c r="B124" s="433" t="s">
        <v>352</v>
      </c>
      <c r="C124" s="434"/>
      <c r="D124" s="435"/>
      <c r="E124" s="436"/>
      <c r="F124" s="435"/>
      <c r="G124" s="436"/>
      <c r="H124" s="435"/>
      <c r="I124" s="436"/>
      <c r="J124" s="435"/>
      <c r="K124" s="437"/>
      <c r="L124" s="53"/>
      <c r="M124" s="53"/>
      <c r="N124" s="53"/>
      <c r="O124" s="53"/>
      <c r="P124" s="7"/>
    </row>
    <row r="125" spans="1:16" ht="15.75" x14ac:dyDescent="0.25">
      <c r="A125" s="53"/>
      <c r="B125" s="106"/>
      <c r="C125" s="80"/>
      <c r="D125" s="85"/>
      <c r="E125" s="85"/>
      <c r="F125" s="85"/>
      <c r="G125" s="85"/>
      <c r="H125" s="85"/>
      <c r="I125" s="85"/>
      <c r="J125" s="85"/>
      <c r="K125" s="81"/>
      <c r="L125" s="53"/>
      <c r="M125" s="53"/>
      <c r="N125" s="53"/>
      <c r="O125" s="53"/>
      <c r="P125" s="7"/>
    </row>
    <row r="126" spans="1:16" ht="15.75" x14ac:dyDescent="0.25">
      <c r="A126" s="53"/>
      <c r="B126" s="106" t="s">
        <v>349</v>
      </c>
      <c r="C126" s="80"/>
      <c r="D126" s="626">
        <f>D121</f>
        <v>0</v>
      </c>
      <c r="E126" s="85"/>
      <c r="F126" s="626">
        <f>MAX(0,MIN(0.2*MCR,(D111-D121)+F116))</f>
        <v>0</v>
      </c>
      <c r="G126" s="85"/>
      <c r="H126" s="637">
        <v>0</v>
      </c>
      <c r="I126" s="85"/>
      <c r="J126" s="626">
        <f>D126+F126+H126</f>
        <v>0</v>
      </c>
      <c r="K126" s="81"/>
      <c r="L126" s="53"/>
      <c r="M126" s="53"/>
      <c r="N126" s="53"/>
      <c r="O126" s="53"/>
      <c r="P126" s="7"/>
    </row>
    <row r="127" spans="1:16" ht="16.5" thickBot="1" x14ac:dyDescent="0.3">
      <c r="A127" s="53"/>
      <c r="B127" s="110"/>
      <c r="C127" s="93"/>
      <c r="D127" s="134"/>
      <c r="E127" s="134"/>
      <c r="F127" s="134"/>
      <c r="G127" s="134"/>
      <c r="H127" s="134"/>
      <c r="I127" s="134"/>
      <c r="J127" s="134"/>
      <c r="K127" s="94"/>
      <c r="L127" s="53"/>
      <c r="M127" s="158"/>
      <c r="N127" s="158"/>
      <c r="O127" s="53"/>
      <c r="P127" s="7"/>
    </row>
    <row r="128" spans="1:16" ht="15.75" x14ac:dyDescent="0.25">
      <c r="A128" s="53"/>
      <c r="B128" s="53"/>
      <c r="C128" s="53"/>
      <c r="D128" s="53"/>
      <c r="E128" s="53"/>
      <c r="F128" s="53"/>
      <c r="G128" s="53"/>
      <c r="H128" s="53"/>
      <c r="I128" s="53"/>
      <c r="J128" s="53"/>
      <c r="K128" s="53"/>
      <c r="L128" s="53"/>
      <c r="M128" s="158"/>
      <c r="N128" s="158"/>
      <c r="O128" s="53"/>
      <c r="P128" s="7"/>
    </row>
    <row r="129" spans="1:16" ht="16.5" thickBot="1" x14ac:dyDescent="0.3">
      <c r="A129" s="53"/>
      <c r="B129" s="53"/>
      <c r="C129" s="53"/>
      <c r="D129" s="53"/>
      <c r="E129" s="53"/>
      <c r="F129" s="53"/>
      <c r="G129" s="53"/>
      <c r="H129" s="53"/>
      <c r="I129" s="53"/>
      <c r="J129" s="53"/>
      <c r="K129" s="53"/>
      <c r="L129" s="53"/>
      <c r="M129" s="158"/>
      <c r="N129" s="158"/>
      <c r="O129" s="53"/>
      <c r="P129" s="7"/>
    </row>
    <row r="130" spans="1:16" ht="16.5" thickBot="1" x14ac:dyDescent="0.3">
      <c r="A130" s="53"/>
      <c r="B130" s="126" t="s">
        <v>353</v>
      </c>
      <c r="C130" s="194"/>
      <c r="D130" s="195" t="s">
        <v>335</v>
      </c>
      <c r="E130" s="196"/>
      <c r="F130" s="195" t="s">
        <v>336</v>
      </c>
      <c r="G130" s="196"/>
      <c r="H130" s="195" t="s">
        <v>337</v>
      </c>
      <c r="I130" s="196"/>
      <c r="J130" s="195" t="s">
        <v>169</v>
      </c>
      <c r="K130" s="166"/>
      <c r="L130" s="53"/>
      <c r="M130" s="158"/>
      <c r="N130" s="158"/>
      <c r="O130" s="53"/>
      <c r="P130" s="7"/>
    </row>
    <row r="131" spans="1:16" ht="15.75" x14ac:dyDescent="0.25">
      <c r="A131" s="53"/>
      <c r="B131" s="106"/>
      <c r="C131" s="80"/>
      <c r="D131" s="85"/>
      <c r="E131" s="85"/>
      <c r="F131" s="85"/>
      <c r="G131" s="85"/>
      <c r="H131" s="85"/>
      <c r="I131" s="85"/>
      <c r="J131" s="85"/>
      <c r="K131" s="81"/>
      <c r="L131" s="53"/>
      <c r="M131" s="158"/>
      <c r="N131" s="158"/>
      <c r="O131" s="53"/>
      <c r="P131" s="7"/>
    </row>
    <row r="132" spans="1:16" ht="15.75" x14ac:dyDescent="0.25">
      <c r="A132" s="53"/>
      <c r="B132" s="107" t="s">
        <v>354</v>
      </c>
      <c r="C132" s="621"/>
      <c r="D132" s="627"/>
      <c r="E132" s="628"/>
      <c r="F132" s="627"/>
      <c r="G132" s="628"/>
      <c r="H132" s="627"/>
      <c r="I132" s="628"/>
      <c r="J132" s="627"/>
      <c r="K132" s="623"/>
      <c r="L132" s="53"/>
      <c r="M132" s="158"/>
      <c r="N132" s="158"/>
      <c r="O132" s="53"/>
      <c r="P132" s="7"/>
    </row>
    <row r="133" spans="1:16" ht="15.75" x14ac:dyDescent="0.25">
      <c r="A133" s="53"/>
      <c r="B133" s="106"/>
      <c r="C133" s="80"/>
      <c r="D133" s="85"/>
      <c r="E133" s="85"/>
      <c r="F133" s="85"/>
      <c r="G133" s="85"/>
      <c r="H133" s="85"/>
      <c r="I133" s="85"/>
      <c r="J133" s="85"/>
      <c r="K133" s="81"/>
      <c r="L133" s="53"/>
      <c r="M133" s="158"/>
      <c r="N133" s="158"/>
      <c r="O133" s="53"/>
      <c r="P133" s="7"/>
    </row>
    <row r="134" spans="1:16" ht="15.75" x14ac:dyDescent="0.25">
      <c r="A134" s="53"/>
      <c r="B134" s="106" t="s">
        <v>169</v>
      </c>
      <c r="C134" s="80"/>
      <c r="D134" s="625">
        <v>0</v>
      </c>
      <c r="E134" s="85"/>
      <c r="F134" s="624">
        <v>0</v>
      </c>
      <c r="G134" s="85"/>
      <c r="H134" s="624">
        <v>0</v>
      </c>
      <c r="I134" s="85"/>
      <c r="J134" s="626">
        <f>SUM(D134,F134,H134)</f>
        <v>0</v>
      </c>
      <c r="K134" s="81"/>
      <c r="L134" s="53"/>
      <c r="M134" s="158"/>
      <c r="N134" s="158"/>
      <c r="O134" s="334" t="str">
        <f t="shared" ref="O134" si="10">IF(OR(D134="",F134="",H134=""),"Incomplete","Complete")</f>
        <v>Complete</v>
      </c>
      <c r="P134" s="7"/>
    </row>
    <row r="135" spans="1:16" ht="15.75" x14ac:dyDescent="0.25">
      <c r="A135" s="53"/>
      <c r="B135" s="106"/>
      <c r="C135" s="80"/>
      <c r="D135" s="85"/>
      <c r="E135" s="85"/>
      <c r="F135" s="85"/>
      <c r="G135" s="85"/>
      <c r="H135" s="85"/>
      <c r="I135" s="85"/>
      <c r="J135" s="85"/>
      <c r="K135" s="81"/>
      <c r="L135" s="53"/>
      <c r="M135" s="158"/>
      <c r="N135" s="158"/>
      <c r="O135" s="53"/>
      <c r="P135" s="7"/>
    </row>
    <row r="136" spans="1:16" ht="15.75" x14ac:dyDescent="0.25">
      <c r="A136" s="53"/>
      <c r="B136" s="107" t="s">
        <v>355</v>
      </c>
      <c r="C136" s="621"/>
      <c r="D136" s="627"/>
      <c r="E136" s="628"/>
      <c r="F136" s="627"/>
      <c r="G136" s="628"/>
      <c r="H136" s="627"/>
      <c r="I136" s="628"/>
      <c r="J136" s="627"/>
      <c r="K136" s="623"/>
      <c r="L136" s="53"/>
      <c r="M136" s="158"/>
      <c r="N136" s="158"/>
      <c r="O136" s="53"/>
      <c r="P136" s="7"/>
    </row>
    <row r="137" spans="1:16" ht="15.75" x14ac:dyDescent="0.25">
      <c r="A137" s="53"/>
      <c r="B137" s="106"/>
      <c r="C137" s="80"/>
      <c r="D137" s="85"/>
      <c r="E137" s="85"/>
      <c r="F137" s="85"/>
      <c r="G137" s="85"/>
      <c r="H137" s="85"/>
      <c r="I137" s="85"/>
      <c r="J137" s="85"/>
      <c r="K137" s="81"/>
      <c r="L137" s="53"/>
      <c r="M137" s="158"/>
      <c r="N137" s="158"/>
      <c r="O137" s="53"/>
      <c r="P137" s="7"/>
    </row>
    <row r="138" spans="1:16" ht="15.75" x14ac:dyDescent="0.25">
      <c r="A138" s="53"/>
      <c r="B138" s="172" t="s">
        <v>356</v>
      </c>
      <c r="C138" s="80"/>
      <c r="D138" s="625">
        <v>0</v>
      </c>
      <c r="E138" s="85"/>
      <c r="F138" s="624">
        <v>0</v>
      </c>
      <c r="G138" s="85"/>
      <c r="H138" s="624">
        <v>0</v>
      </c>
      <c r="I138" s="85"/>
      <c r="J138" s="626">
        <f>SUM(D138,F138,H138)</f>
        <v>0</v>
      </c>
      <c r="K138" s="81"/>
      <c r="L138" s="53"/>
      <c r="M138" s="158"/>
      <c r="N138" s="158"/>
      <c r="O138" s="334" t="str">
        <f t="shared" ref="O138:O139" si="11">IF(OR(D138="",F138="",H138=""),"Incomplete","Complete")</f>
        <v>Complete</v>
      </c>
      <c r="P138" s="7"/>
    </row>
    <row r="139" spans="1:16" ht="15.75" x14ac:dyDescent="0.25">
      <c r="A139" s="53"/>
      <c r="B139" s="172" t="s">
        <v>357</v>
      </c>
      <c r="C139" s="80"/>
      <c r="D139" s="625">
        <v>0</v>
      </c>
      <c r="E139" s="85"/>
      <c r="F139" s="624">
        <v>0</v>
      </c>
      <c r="G139" s="85"/>
      <c r="H139" s="624">
        <v>0</v>
      </c>
      <c r="I139" s="85"/>
      <c r="J139" s="626">
        <f>SUM(D139,F139,H139)</f>
        <v>0</v>
      </c>
      <c r="K139" s="81"/>
      <c r="L139" s="53"/>
      <c r="M139" s="158"/>
      <c r="N139" s="158"/>
      <c r="O139" s="334" t="str">
        <f t="shared" si="11"/>
        <v>Complete</v>
      </c>
      <c r="P139" s="7"/>
    </row>
    <row r="140" spans="1:16" ht="15.75" x14ac:dyDescent="0.25">
      <c r="A140" s="53"/>
      <c r="B140" s="106"/>
      <c r="C140" s="80"/>
      <c r="D140" s="85"/>
      <c r="E140" s="85"/>
      <c r="F140" s="85"/>
      <c r="G140" s="85"/>
      <c r="H140" s="85"/>
      <c r="I140" s="85"/>
      <c r="J140" s="85"/>
      <c r="K140" s="81"/>
      <c r="L140" s="53"/>
      <c r="M140" s="158"/>
      <c r="N140" s="158"/>
      <c r="O140" s="53"/>
      <c r="P140" s="7"/>
    </row>
    <row r="141" spans="1:16" ht="15.75" x14ac:dyDescent="0.25">
      <c r="A141" s="53"/>
      <c r="B141" s="106" t="s">
        <v>169</v>
      </c>
      <c r="C141" s="80"/>
      <c r="D141" s="637">
        <f>SUM(D138:D139)</f>
        <v>0</v>
      </c>
      <c r="E141" s="85"/>
      <c r="F141" s="626">
        <f>SUM(F138:F139)</f>
        <v>0</v>
      </c>
      <c r="G141" s="85"/>
      <c r="H141" s="626">
        <f>SUM(H138:H139)</f>
        <v>0</v>
      </c>
      <c r="I141" s="85"/>
      <c r="J141" s="626">
        <f>SUM(J138:J139)</f>
        <v>0</v>
      </c>
      <c r="K141" s="81"/>
      <c r="L141" s="53"/>
      <c r="M141" s="158"/>
      <c r="N141" s="158"/>
      <c r="O141" s="53"/>
      <c r="P141" s="7"/>
    </row>
    <row r="142" spans="1:16" ht="15.75" x14ac:dyDescent="0.25">
      <c r="A142" s="53"/>
      <c r="B142" s="106"/>
      <c r="C142" s="80"/>
      <c r="D142" s="85"/>
      <c r="E142" s="85"/>
      <c r="F142" s="85"/>
      <c r="G142" s="85"/>
      <c r="H142" s="85"/>
      <c r="I142" s="85"/>
      <c r="J142" s="85"/>
      <c r="K142" s="81"/>
      <c r="L142" s="53"/>
      <c r="M142" s="158"/>
      <c r="N142" s="158"/>
      <c r="O142" s="53"/>
      <c r="P142" s="7"/>
    </row>
    <row r="143" spans="1:16" ht="15.75" x14ac:dyDescent="0.25">
      <c r="A143" s="53"/>
      <c r="B143" s="107" t="s">
        <v>358</v>
      </c>
      <c r="C143" s="719"/>
      <c r="D143" s="720"/>
      <c r="E143" s="721"/>
      <c r="F143" s="720"/>
      <c r="G143" s="721"/>
      <c r="H143" s="720"/>
      <c r="I143" s="721"/>
      <c r="J143" s="720"/>
      <c r="K143" s="734"/>
      <c r="L143" s="53"/>
      <c r="M143" s="158"/>
      <c r="N143" s="158"/>
      <c r="O143" s="53"/>
      <c r="P143" s="7"/>
    </row>
    <row r="144" spans="1:16" ht="15.75" x14ac:dyDescent="0.25">
      <c r="A144" s="53"/>
      <c r="B144" s="106"/>
      <c r="C144" s="80"/>
      <c r="D144" s="85"/>
      <c r="E144" s="85"/>
      <c r="F144" s="85"/>
      <c r="G144" s="85"/>
      <c r="H144" s="85"/>
      <c r="I144" s="85"/>
      <c r="J144" s="85"/>
      <c r="K144" s="81"/>
      <c r="L144" s="53"/>
      <c r="M144" s="158"/>
      <c r="N144" s="158"/>
      <c r="O144" s="53"/>
      <c r="P144" s="7"/>
    </row>
    <row r="145" spans="1:16" ht="15.75" x14ac:dyDescent="0.25">
      <c r="A145" s="53"/>
      <c r="B145" s="106" t="s">
        <v>332</v>
      </c>
      <c r="C145" s="80"/>
      <c r="D145" s="717">
        <v>0</v>
      </c>
      <c r="E145" s="85"/>
      <c r="F145" s="730">
        <v>0</v>
      </c>
      <c r="G145" s="85"/>
      <c r="H145" s="730">
        <v>0</v>
      </c>
      <c r="I145" s="85"/>
      <c r="J145" s="718">
        <f>SUM(D145,F145,H145)</f>
        <v>0</v>
      </c>
      <c r="K145" s="81"/>
      <c r="L145" s="53"/>
      <c r="M145" s="158"/>
      <c r="N145" s="158"/>
      <c r="O145" s="334" t="str">
        <f t="shared" ref="O145" si="12">IF(OR(D145="",F145="",H145=""),"Incomplete","Complete")</f>
        <v>Complete</v>
      </c>
      <c r="P145" s="7"/>
    </row>
    <row r="146" spans="1:16" ht="15.75" x14ac:dyDescent="0.25">
      <c r="A146" s="53"/>
      <c r="B146" s="106"/>
      <c r="C146" s="80"/>
      <c r="D146" s="85"/>
      <c r="E146" s="85"/>
      <c r="F146" s="85"/>
      <c r="G146" s="85"/>
      <c r="H146" s="85"/>
      <c r="I146" s="85"/>
      <c r="J146" s="85"/>
      <c r="K146" s="81"/>
      <c r="L146" s="53"/>
      <c r="M146" s="158"/>
      <c r="N146" s="158"/>
      <c r="O146" s="53"/>
      <c r="P146" s="7"/>
    </row>
    <row r="147" spans="1:16" ht="15.75" x14ac:dyDescent="0.25">
      <c r="A147" s="53"/>
      <c r="B147" s="107" t="s">
        <v>359</v>
      </c>
      <c r="C147" s="719"/>
      <c r="D147" s="720"/>
      <c r="E147" s="721"/>
      <c r="F147" s="720"/>
      <c r="G147" s="721"/>
      <c r="H147" s="720"/>
      <c r="I147" s="721"/>
      <c r="J147" s="720"/>
      <c r="K147" s="734"/>
      <c r="L147" s="53"/>
      <c r="M147" s="158"/>
      <c r="N147" s="158"/>
      <c r="O147" s="53"/>
      <c r="P147" s="7"/>
    </row>
    <row r="148" spans="1:16" ht="15.75" x14ac:dyDescent="0.25">
      <c r="A148" s="53"/>
      <c r="B148" s="106"/>
      <c r="C148" s="80"/>
      <c r="D148" s="85"/>
      <c r="E148" s="85"/>
      <c r="F148" s="85"/>
      <c r="G148" s="85"/>
      <c r="H148" s="85"/>
      <c r="I148" s="85"/>
      <c r="J148" s="85"/>
      <c r="K148" s="81"/>
      <c r="L148" s="53"/>
      <c r="M148" s="158"/>
      <c r="N148" s="158"/>
      <c r="O148" s="53"/>
      <c r="P148" s="7"/>
    </row>
    <row r="149" spans="1:16" ht="15.75" x14ac:dyDescent="0.25">
      <c r="A149" s="53"/>
      <c r="B149" s="106" t="s">
        <v>209</v>
      </c>
      <c r="C149" s="80"/>
      <c r="D149" s="735">
        <f>SUM(D134,D141,D145,)</f>
        <v>0</v>
      </c>
      <c r="E149" s="85"/>
      <c r="F149" s="718">
        <f>SUM(F134,F141,F145,)</f>
        <v>0</v>
      </c>
      <c r="G149" s="85"/>
      <c r="H149" s="718">
        <f>SUM(H134,H141,H145,)</f>
        <v>0</v>
      </c>
      <c r="I149" s="85"/>
      <c r="J149" s="718">
        <f>SUM(J134,J141,J145,)</f>
        <v>0</v>
      </c>
      <c r="K149" s="81"/>
      <c r="L149" s="53"/>
      <c r="M149" s="158"/>
      <c r="N149" s="158"/>
      <c r="O149" s="53"/>
      <c r="P149" s="7"/>
    </row>
    <row r="150" spans="1:16" ht="16.5" thickBot="1" x14ac:dyDescent="0.3">
      <c r="A150" s="53"/>
      <c r="B150" s="110"/>
      <c r="C150" s="93"/>
      <c r="D150" s="93"/>
      <c r="E150" s="93"/>
      <c r="F150" s="93"/>
      <c r="G150" s="93"/>
      <c r="H150" s="93"/>
      <c r="I150" s="93"/>
      <c r="J150" s="93"/>
      <c r="K150" s="94"/>
      <c r="L150" s="53"/>
      <c r="M150" s="158"/>
      <c r="N150" s="158"/>
      <c r="O150" s="53"/>
      <c r="P150" s="7"/>
    </row>
    <row r="151" spans="1:16" ht="15.75" x14ac:dyDescent="0.25">
      <c r="A151" s="53"/>
      <c r="B151" s="53"/>
      <c r="C151" s="53"/>
      <c r="D151" s="53"/>
      <c r="E151" s="53"/>
      <c r="F151" s="53"/>
      <c r="G151" s="53"/>
      <c r="H151" s="53"/>
      <c r="I151" s="53"/>
      <c r="J151" s="53"/>
      <c r="K151" s="53"/>
      <c r="L151" s="53"/>
      <c r="M151" s="158"/>
      <c r="N151" s="158"/>
      <c r="O151" s="53"/>
      <c r="P151" s="7"/>
    </row>
    <row r="152" spans="1:16" ht="15.75" x14ac:dyDescent="0.25">
      <c r="A152" s="53"/>
      <c r="B152" s="53"/>
      <c r="C152" s="53"/>
      <c r="D152" s="53"/>
      <c r="E152" s="53"/>
      <c r="F152" s="53"/>
      <c r="G152" s="53"/>
      <c r="H152" s="53"/>
      <c r="I152" s="53"/>
      <c r="J152" s="53"/>
      <c r="K152" s="53"/>
      <c r="L152" s="53"/>
      <c r="M152" s="158"/>
      <c r="N152" s="158"/>
      <c r="O152" s="53"/>
      <c r="P152" s="7"/>
    </row>
    <row r="153" spans="1:16" ht="15.75" x14ac:dyDescent="0.25">
      <c r="A153" s="53"/>
      <c r="B153" s="53"/>
      <c r="C153" s="53"/>
      <c r="D153" s="53"/>
      <c r="E153" s="53"/>
      <c r="F153" s="53"/>
      <c r="G153" s="53"/>
      <c r="H153" s="53"/>
      <c r="I153" s="53"/>
      <c r="J153" s="53"/>
      <c r="K153" s="53"/>
      <c r="L153" s="53"/>
      <c r="M153" s="158"/>
      <c r="N153" s="158"/>
      <c r="O153" s="53"/>
      <c r="P153" s="7"/>
    </row>
    <row r="154" spans="1:16" ht="15.75" x14ac:dyDescent="0.25">
      <c r="A154" s="53"/>
      <c r="B154" s="53"/>
      <c r="C154" s="53"/>
      <c r="D154" s="53"/>
      <c r="E154" s="53"/>
      <c r="F154" s="53"/>
      <c r="G154" s="53"/>
      <c r="H154" s="53"/>
      <c r="I154" s="53"/>
      <c r="J154" s="53"/>
      <c r="K154" s="53"/>
      <c r="L154" s="53"/>
      <c r="M154" s="158"/>
      <c r="N154" s="158"/>
      <c r="O154" s="53"/>
      <c r="P154" s="7"/>
    </row>
  </sheetData>
  <sheetProtection algorithmName="SHA-512" hashValue="GI2UEnEv0NmStm2/cp3/jtFJKK5wwBXsRfJ99DYr3FEMyfeRP9mYvSIMi9c+mO/PHndMhfOXHCehTPhCl0NG2A==" saltValue="h8o83ukfg5ZY+bwSH1cgpQ==" spinCount="100000" sheet="1" objects="1" scenarios="1"/>
  <customSheetViews>
    <customSheetView guid="{5F9ED89D-ECFA-4459-A055-6360C65F3370}" scale="85" fitToPage="1" hiddenRows="1" hiddenColumns="1" topLeftCell="A79">
      <selection activeCell="D9" sqref="D9"/>
      <pageMargins left="0" right="0" top="0" bottom="0" header="0" footer="0"/>
      <pageSetup paperSize="9" scale="53" orientation="portrait" r:id="rId1"/>
      <headerFooter>
        <oddFooter>&amp;CDRAFT - FOR DISCUSSION PURPOSES ONLY</oddFooter>
      </headerFooter>
    </customSheetView>
  </customSheetViews>
  <conditionalFormatting sqref="M1:N37 M38 M41:N85 M88:N154">
    <cfRule type="cellIs" dxfId="688" priority="44" operator="equal">
      <formula>"ZERO"</formula>
    </cfRule>
    <cfRule type="cellIs" dxfId="687" priority="46" operator="equal">
      <formula>"ERROR"</formula>
    </cfRule>
    <cfRule type="cellIs" dxfId="686" priority="45" operator="equal">
      <formula>"OK"</formula>
    </cfRule>
  </conditionalFormatting>
  <conditionalFormatting sqref="N38:N40">
    <cfRule type="cellIs" dxfId="685" priority="26" operator="equal">
      <formula>"OK"</formula>
    </cfRule>
    <cfRule type="cellIs" dxfId="684" priority="27" operator="equal">
      <formula>"ERROR"</formula>
    </cfRule>
    <cfRule type="cellIs" dxfId="683" priority="25" operator="equal">
      <formula>"ZERO"</formula>
    </cfRule>
  </conditionalFormatting>
  <conditionalFormatting sqref="O4">
    <cfRule type="cellIs" dxfId="682" priority="1" operator="equal">
      <formula>"Complete"</formula>
    </cfRule>
    <cfRule type="cellIs" dxfId="681" priority="2" operator="equal">
      <formula>"Incomplete"</formula>
    </cfRule>
  </conditionalFormatting>
  <conditionalFormatting sqref="O9:O10">
    <cfRule type="cellIs" dxfId="680" priority="39" operator="equal">
      <formula>"Incomplete"</formula>
    </cfRule>
    <cfRule type="cellIs" dxfId="679" priority="38" operator="equal">
      <formula>"Complete"</formula>
    </cfRule>
  </conditionalFormatting>
  <conditionalFormatting sqref="O16:O18">
    <cfRule type="cellIs" dxfId="678" priority="37" operator="equal">
      <formula>"Incomplete"</formula>
    </cfRule>
    <cfRule type="cellIs" dxfId="677" priority="36" operator="equal">
      <formula>"Complete"</formula>
    </cfRule>
  </conditionalFormatting>
  <conditionalFormatting sqref="O24">
    <cfRule type="cellIs" dxfId="676" priority="35" operator="equal">
      <formula>"Incomplete"</formula>
    </cfRule>
    <cfRule type="cellIs" dxfId="675" priority="34" operator="equal">
      <formula>"Complete"</formula>
    </cfRule>
  </conditionalFormatting>
  <conditionalFormatting sqref="O28">
    <cfRule type="cellIs" dxfId="674" priority="33" operator="equal">
      <formula>"Incomplete"</formula>
    </cfRule>
    <cfRule type="cellIs" dxfId="673" priority="32" operator="equal">
      <formula>"Complete"</formula>
    </cfRule>
  </conditionalFormatting>
  <conditionalFormatting sqref="O32">
    <cfRule type="cellIs" dxfId="672" priority="31" operator="equal">
      <formula>"Incomplete"</formula>
    </cfRule>
    <cfRule type="cellIs" dxfId="671" priority="30" operator="equal">
      <formula>"Complete"</formula>
    </cfRule>
  </conditionalFormatting>
  <conditionalFormatting sqref="O36:O40">
    <cfRule type="cellIs" dxfId="670" priority="29" operator="equal">
      <formula>"Incomplete"</formula>
    </cfRule>
    <cfRule type="cellIs" dxfId="669" priority="28" operator="equal">
      <formula>"Complete"</formula>
    </cfRule>
  </conditionalFormatting>
  <conditionalFormatting sqref="O46">
    <cfRule type="cellIs" dxfId="668" priority="24" operator="equal">
      <formula>"Incomplete"</formula>
    </cfRule>
    <cfRule type="cellIs" dxfId="667" priority="23" operator="equal">
      <formula>"Complete"</formula>
    </cfRule>
  </conditionalFormatting>
  <conditionalFormatting sqref="O50">
    <cfRule type="cellIs" dxfId="666" priority="21" operator="equal">
      <formula>"Complete"</formula>
    </cfRule>
    <cfRule type="cellIs" dxfId="665" priority="22" operator="equal">
      <formula>"Incomplete"</formula>
    </cfRule>
  </conditionalFormatting>
  <conditionalFormatting sqref="O54:O56">
    <cfRule type="cellIs" dxfId="664" priority="20" operator="equal">
      <formula>"Incomplete"</formula>
    </cfRule>
    <cfRule type="cellIs" dxfId="663" priority="19" operator="equal">
      <formula>"Complete"</formula>
    </cfRule>
  </conditionalFormatting>
  <conditionalFormatting sqref="O62:O64">
    <cfRule type="cellIs" dxfId="662" priority="18" operator="equal">
      <formula>"Incomplete"</formula>
    </cfRule>
    <cfRule type="cellIs" dxfId="661" priority="17" operator="equal">
      <formula>"Complete"</formula>
    </cfRule>
  </conditionalFormatting>
  <conditionalFormatting sqref="O70">
    <cfRule type="cellIs" dxfId="660" priority="16" operator="equal">
      <formula>"Incomplete"</formula>
    </cfRule>
    <cfRule type="cellIs" dxfId="659" priority="15" operator="equal">
      <formula>"Complete"</formula>
    </cfRule>
  </conditionalFormatting>
  <conditionalFormatting sqref="O74">
    <cfRule type="cellIs" dxfId="658" priority="14" operator="equal">
      <formula>"Incomplete"</formula>
    </cfRule>
    <cfRule type="cellIs" dxfId="657" priority="13" operator="equal">
      <formula>"Complete"</formula>
    </cfRule>
  </conditionalFormatting>
  <conditionalFormatting sqref="O86:O87">
    <cfRule type="cellIs" dxfId="656" priority="12" operator="equal">
      <formula>"Incomplete"</formula>
    </cfRule>
    <cfRule type="cellIs" dxfId="655" priority="11" operator="equal">
      <formula>"Complete"</formula>
    </cfRule>
  </conditionalFormatting>
  <conditionalFormatting sqref="O100">
    <cfRule type="cellIs" dxfId="654" priority="10" operator="equal">
      <formula>"Incomplete"</formula>
    </cfRule>
    <cfRule type="cellIs" dxfId="653" priority="9" operator="equal">
      <formula>"Complete"</formula>
    </cfRule>
  </conditionalFormatting>
  <conditionalFormatting sqref="O134">
    <cfRule type="cellIs" dxfId="652" priority="8" operator="equal">
      <formula>"Incomplete"</formula>
    </cfRule>
    <cfRule type="cellIs" dxfId="651" priority="7" operator="equal">
      <formula>"Complete"</formula>
    </cfRule>
  </conditionalFormatting>
  <conditionalFormatting sqref="O138:O139">
    <cfRule type="cellIs" dxfId="650" priority="6" operator="equal">
      <formula>"Incomplete"</formula>
    </cfRule>
    <cfRule type="cellIs" dxfId="649" priority="5" operator="equal">
      <formula>"Complete"</formula>
    </cfRule>
  </conditionalFormatting>
  <conditionalFormatting sqref="O145">
    <cfRule type="cellIs" dxfId="648" priority="4" operator="equal">
      <formula>"Incomplete"</formula>
    </cfRule>
    <cfRule type="cellIs" dxfId="647" priority="3" operator="equal">
      <formula>"Complete"</formula>
    </cfRule>
  </conditionalFormatting>
  <dataValidations disablePrompts="1" count="10">
    <dataValidation allowBlank="1" showInputMessage="1" showErrorMessage="1" prompt="Basic own funds must meet the eligibility requirements and basic own-fund requirements in the Regulations to be included here._x000a__x000a_Ancillary own-funds which have been approved by the Authority can be included at the bottom of the table._x000a__x000a_" sqref="B5" xr:uid="{00000000-0002-0000-0C00-000000000000}"/>
    <dataValidation allowBlank="1" showInputMessage="1" showErrorMessage="1" prompt="Differences arising between the accounting and regulatory balance sheet that relate to items such as own shares and forseeable dividends, distributions and charges. Also includes changes in own-fund tiers. " sqref="B40" xr:uid="{00000000-0002-0000-0C00-000001000000}"/>
    <dataValidation allowBlank="1" showInputMessage="1" showErrorMessage="1" prompt="Only for use by a cell that has secondary liability against the core of the PCC in accordance with section 17 of the Protected Cell Companies Act 2004." sqref="B98" xr:uid="{00000000-0002-0000-0C00-000002000000}"/>
    <dataValidation allowBlank="1" showInputMessage="1" showErrorMessage="1" prompt="If the template is in respect of a cell receiving own-funds from its core, these amounts should be positive. _x000a__x000a_If the template is in respect of a core allocating its own-funds to its cells, these amounts should be negative." sqref="B100" xr:uid="{00000000-0002-0000-0C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J6" xr:uid="{00000000-0002-0000-0C00-000004000000}"/>
    <dataValidation allowBlank="1" showInputMessage="1" showErrorMessage="1" prompt="Tier 1 requirements are set out in the regulations." sqref="D5" xr:uid="{00000000-0002-0000-0C00-000005000000}"/>
    <dataValidation allowBlank="1" showInputMessage="1" showErrorMessage="1" prompt="Tier 2 requirements are set out in the Regulations." sqref="F5" xr:uid="{00000000-0002-0000-0C00-000006000000}"/>
    <dataValidation allowBlank="1" showInputMessage="1" showErrorMessage="1" prompt="Tier 3 requirements are set out in the Regulations." sqref="H5" xr:uid="{00000000-0002-0000-0C00-000007000000}"/>
    <dataValidation allowBlank="1" showInputMessage="1" showErrorMessage="1" prompt="That meet the requirements to be an eligible basic own fund" sqref="B72" xr:uid="{00000000-0002-0000-0C00-000008000000}"/>
    <dataValidation allowBlank="1" showInputMessage="1" showErrorMessage="1" prompt="Must be approved by the Authority before being included in this tab._x000a__x000a_The requirements for ancillary own funds are set out in the Regulations." sqref="B130" xr:uid="{00000000-0002-0000-0C00-000009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00B050"/>
  </sheetPr>
  <dimension ref="A1:AJ53"/>
  <sheetViews>
    <sheetView workbookViewId="0"/>
  </sheetViews>
  <sheetFormatPr defaultColWidth="0" defaultRowHeight="14.25" zeroHeight="1" x14ac:dyDescent="0.2"/>
  <cols>
    <col min="1" max="1" width="1.875" customWidth="1"/>
    <col min="2" max="2" width="39" bestFit="1" customWidth="1"/>
    <col min="3" max="3" width="1.875" customWidth="1"/>
    <col min="4" max="4" width="18.875" customWidth="1"/>
    <col min="5" max="5" width="1.875" customWidth="1"/>
    <col min="6" max="6" width="18.625" customWidth="1"/>
    <col min="7" max="7" width="1.875" customWidth="1"/>
    <col min="8" max="8" width="18.875" customWidth="1"/>
    <col min="9" max="9" width="1.875" customWidth="1"/>
    <col min="10" max="10" width="18.625" customWidth="1"/>
    <col min="11" max="11" width="1.875" customWidth="1"/>
    <col min="12" max="12" width="19.125" customWidth="1"/>
    <col min="13" max="13" width="1.875" customWidth="1"/>
    <col min="14" max="14" width="18.875" customWidth="1"/>
    <col min="15" max="15" width="1.875" customWidth="1"/>
    <col min="16" max="16" width="19.125" customWidth="1"/>
    <col min="17" max="17" width="1.875" customWidth="1"/>
    <col min="18" max="18" width="18.875" customWidth="1"/>
    <col min="19" max="19" width="1.875" customWidth="1"/>
    <col min="20" max="20" width="18.625" customWidth="1"/>
    <col min="21" max="21" width="1.875" customWidth="1"/>
    <col min="22" max="22" width="18.875" customWidth="1"/>
    <col min="23" max="23" width="1.875" customWidth="1"/>
    <col min="24" max="24" width="19.375" customWidth="1"/>
    <col min="25" max="25" width="1.875" customWidth="1"/>
    <col min="26" max="26" width="18.625" customWidth="1"/>
    <col min="27" max="27" width="1.875" customWidth="1"/>
    <col min="28" max="28" width="19" customWidth="1"/>
    <col min="29" max="29" width="1.875" customWidth="1"/>
    <col min="30" max="30" width="18.875" customWidth="1"/>
    <col min="31" max="31" width="1.875" customWidth="1"/>
    <col min="32" max="32" width="18.625" customWidth="1"/>
    <col min="33" max="34" width="1.875" customWidth="1"/>
    <col min="35" max="35" width="10.375" customWidth="1"/>
    <col min="36" max="36" width="1.875" customWidth="1"/>
  </cols>
  <sheetData>
    <row r="1" spans="1:36" ht="15.75" x14ac:dyDescent="0.25">
      <c r="A1" s="59">
        <v>1</v>
      </c>
      <c r="B1" s="59"/>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59"/>
      <c r="AI1" s="60"/>
      <c r="AJ1" s="59"/>
    </row>
    <row r="2" spans="1:36" ht="46.5" customHeight="1" x14ac:dyDescent="0.25">
      <c r="A2" s="60"/>
      <c r="B2" s="60"/>
      <c r="C2" s="60"/>
      <c r="D2" s="60"/>
      <c r="E2" s="60"/>
      <c r="F2" s="52" t="s">
        <v>44</v>
      </c>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1"/>
      <c r="AJ2" s="60"/>
    </row>
    <row r="3" spans="1:36" ht="16.5" thickBot="1" x14ac:dyDescent="0.3">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row>
    <row r="4" spans="1:36" ht="16.5" thickBot="1" x14ac:dyDescent="0.3">
      <c r="A4" s="53"/>
      <c r="B4" s="53" t="s">
        <v>360</v>
      </c>
      <c r="C4" s="53"/>
      <c r="D4" s="198" t="s">
        <v>361</v>
      </c>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row>
    <row r="5" spans="1:36" ht="15.75" x14ac:dyDescent="0.25">
      <c r="A5" s="53"/>
      <c r="B5" s="53" t="s">
        <v>362</v>
      </c>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row>
    <row r="6" spans="1:36" ht="15.75" x14ac:dyDescent="0.25">
      <c r="A6" s="53"/>
      <c r="B6" s="53" t="s">
        <v>363</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row>
    <row r="7" spans="1:36" ht="34.5" customHeight="1" thickBot="1" x14ac:dyDescent="0.3">
      <c r="A7" s="53"/>
      <c r="B7" s="843" t="s">
        <v>364</v>
      </c>
      <c r="C7" s="843"/>
      <c r="D7" s="843"/>
      <c r="E7" s="843"/>
      <c r="F7" s="843"/>
      <c r="G7" s="843"/>
      <c r="H7" s="843"/>
      <c r="I7" s="843"/>
      <c r="J7" s="843"/>
      <c r="K7" s="843"/>
      <c r="L7" s="843"/>
      <c r="M7" s="843"/>
      <c r="N7" s="843"/>
      <c r="O7" s="843"/>
      <c r="P7" s="843"/>
      <c r="Q7" s="843"/>
      <c r="R7" s="843"/>
      <c r="S7" s="843"/>
      <c r="T7" s="843"/>
      <c r="U7" s="53"/>
      <c r="V7" s="53"/>
      <c r="W7" s="53"/>
      <c r="X7" s="53"/>
      <c r="Y7" s="53"/>
      <c r="Z7" s="53"/>
      <c r="AA7" s="53"/>
      <c r="AB7" s="53"/>
      <c r="AC7" s="53"/>
      <c r="AD7" s="53"/>
      <c r="AE7" s="53"/>
      <c r="AF7" s="53"/>
      <c r="AG7" s="53"/>
      <c r="AH7" s="53"/>
      <c r="AI7" s="334" t="str">
        <f>IF(D4="No","Complete",IF(COUNTIF(AI11:AI42,"Incomplete")&gt;0,"Incomplete","Complete"))</f>
        <v>Complete</v>
      </c>
      <c r="AJ7" s="53"/>
    </row>
    <row r="8" spans="1:36" ht="31.5" x14ac:dyDescent="0.25">
      <c r="A8" s="53"/>
      <c r="B8" s="176" t="s">
        <v>365</v>
      </c>
      <c r="C8" s="135"/>
      <c r="D8" s="366" t="s">
        <v>366</v>
      </c>
      <c r="E8" s="135"/>
      <c r="F8" s="366" t="s">
        <v>367</v>
      </c>
      <c r="G8" s="135"/>
      <c r="H8" s="366" t="s">
        <v>368</v>
      </c>
      <c r="I8" s="135"/>
      <c r="J8" s="366" t="s">
        <v>369</v>
      </c>
      <c r="K8" s="135"/>
      <c r="L8" s="366" t="s">
        <v>370</v>
      </c>
      <c r="M8" s="135"/>
      <c r="N8" s="366" t="s">
        <v>371</v>
      </c>
      <c r="O8" s="135"/>
      <c r="P8" s="366" t="s">
        <v>372</v>
      </c>
      <c r="Q8" s="135"/>
      <c r="R8" s="366" t="s">
        <v>373</v>
      </c>
      <c r="S8" s="135"/>
      <c r="T8" s="366" t="s">
        <v>374</v>
      </c>
      <c r="U8" s="135"/>
      <c r="V8" s="366" t="s">
        <v>375</v>
      </c>
      <c r="W8" s="135"/>
      <c r="X8" s="366" t="s">
        <v>376</v>
      </c>
      <c r="Y8" s="135"/>
      <c r="Z8" s="69" t="s">
        <v>377</v>
      </c>
      <c r="AA8" s="135"/>
      <c r="AB8" s="366" t="s">
        <v>378</v>
      </c>
      <c r="AC8" s="135"/>
      <c r="AD8" s="69" t="s">
        <v>379</v>
      </c>
      <c r="AE8" s="135"/>
      <c r="AF8" s="69" t="s">
        <v>380</v>
      </c>
      <c r="AG8" s="138"/>
      <c r="AH8" s="53"/>
      <c r="AI8" s="53"/>
      <c r="AJ8" s="53"/>
    </row>
    <row r="9" spans="1:36" ht="16.5" thickBot="1" x14ac:dyDescent="0.3">
      <c r="A9" s="53"/>
      <c r="B9" s="182"/>
      <c r="C9" s="140"/>
      <c r="D9" s="75" t="s">
        <v>164</v>
      </c>
      <c r="E9" s="140"/>
      <c r="F9" s="75" t="s">
        <v>164</v>
      </c>
      <c r="G9" s="140"/>
      <c r="H9" s="75" t="s">
        <v>164</v>
      </c>
      <c r="I9" s="140"/>
      <c r="J9" s="75" t="s">
        <v>164</v>
      </c>
      <c r="K9" s="140"/>
      <c r="L9" s="75" t="s">
        <v>164</v>
      </c>
      <c r="M9" s="140"/>
      <c r="N9" s="75" t="s">
        <v>164</v>
      </c>
      <c r="O9" s="140"/>
      <c r="P9" s="75" t="s">
        <v>164</v>
      </c>
      <c r="Q9" s="140"/>
      <c r="R9" s="75" t="s">
        <v>164</v>
      </c>
      <c r="S9" s="140"/>
      <c r="T9" s="75" t="s">
        <v>164</v>
      </c>
      <c r="U9" s="140"/>
      <c r="V9" s="75" t="s">
        <v>164</v>
      </c>
      <c r="W9" s="140"/>
      <c r="X9" s="75" t="s">
        <v>164</v>
      </c>
      <c r="Y9" s="140"/>
      <c r="Z9" s="75" t="s">
        <v>164</v>
      </c>
      <c r="AA9" s="140"/>
      <c r="AB9" s="199"/>
      <c r="AC9" s="140"/>
      <c r="AD9" s="75" t="s">
        <v>164</v>
      </c>
      <c r="AE9" s="140"/>
      <c r="AF9" s="75" t="s">
        <v>164</v>
      </c>
      <c r="AG9" s="77"/>
      <c r="AH9" s="53"/>
      <c r="AI9" s="53"/>
      <c r="AJ9" s="53"/>
    </row>
    <row r="10" spans="1:36" ht="15.75" x14ac:dyDescent="0.25">
      <c r="A10" s="53"/>
      <c r="B10" s="106"/>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1"/>
      <c r="AH10" s="53"/>
      <c r="AI10" s="53"/>
      <c r="AJ10" s="53"/>
    </row>
    <row r="11" spans="1:36" ht="15.75" x14ac:dyDescent="0.25">
      <c r="A11" s="53"/>
      <c r="B11" s="172" t="s">
        <v>381</v>
      </c>
      <c r="C11" s="80"/>
      <c r="D11" s="624">
        <v>0</v>
      </c>
      <c r="E11" s="85"/>
      <c r="F11" s="624">
        <v>0</v>
      </c>
      <c r="G11" s="85"/>
      <c r="H11" s="624">
        <v>0</v>
      </c>
      <c r="I11" s="85"/>
      <c r="J11" s="624">
        <v>0</v>
      </c>
      <c r="K11" s="85"/>
      <c r="L11" s="624">
        <v>0</v>
      </c>
      <c r="M11" s="85"/>
      <c r="N11" s="624">
        <v>0</v>
      </c>
      <c r="O11" s="85"/>
      <c r="P11" s="624">
        <v>0</v>
      </c>
      <c r="Q11" s="85"/>
      <c r="R11" s="624">
        <v>0</v>
      </c>
      <c r="S11" s="85"/>
      <c r="T11" s="624">
        <v>0</v>
      </c>
      <c r="U11" s="85"/>
      <c r="V11" s="624">
        <v>0</v>
      </c>
      <c r="W11" s="85"/>
      <c r="X11" s="624">
        <v>0</v>
      </c>
      <c r="Y11" s="85"/>
      <c r="Z11" s="624">
        <v>0</v>
      </c>
      <c r="AA11" s="85"/>
      <c r="AB11" s="85"/>
      <c r="AC11" s="85"/>
      <c r="AD11" s="626">
        <f>SUM(D11,F11,H11,J11,L11,N11,P11,R11,T11,V11,X11,Z11)</f>
        <v>0</v>
      </c>
      <c r="AE11" s="85"/>
      <c r="AF11" s="626">
        <f>SUM(D11,F11,H11,J11,L11,N11,P11,R11,T11,V11,X11,Z11)</f>
        <v>0</v>
      </c>
      <c r="AG11" s="81"/>
      <c r="AH11" s="53"/>
      <c r="AI11" s="334" t="str">
        <f>IF(D4="No","Complete",IF(OR(D11="",F11="",H11="",J11="",L11="",N11="",P11="",R11="",T11="",V11="",X11="",Z11=""),"Incomplete","Complete"))</f>
        <v>Complete</v>
      </c>
      <c r="AJ11" s="53"/>
    </row>
    <row r="12" spans="1:36" ht="15.75" x14ac:dyDescent="0.25">
      <c r="A12" s="53"/>
      <c r="B12" s="172" t="s">
        <v>382</v>
      </c>
      <c r="C12" s="80"/>
      <c r="D12" s="624">
        <v>0</v>
      </c>
      <c r="E12" s="85"/>
      <c r="F12" s="624">
        <v>0</v>
      </c>
      <c r="G12" s="85"/>
      <c r="H12" s="624">
        <v>0</v>
      </c>
      <c r="I12" s="85"/>
      <c r="J12" s="624">
        <v>0</v>
      </c>
      <c r="K12" s="85"/>
      <c r="L12" s="624">
        <v>0</v>
      </c>
      <c r="M12" s="85"/>
      <c r="N12" s="624">
        <v>0</v>
      </c>
      <c r="O12" s="85"/>
      <c r="P12" s="624">
        <v>0</v>
      </c>
      <c r="Q12" s="85"/>
      <c r="R12" s="624">
        <v>0</v>
      </c>
      <c r="S12" s="85"/>
      <c r="T12" s="624">
        <v>0</v>
      </c>
      <c r="U12" s="85"/>
      <c r="V12" s="624">
        <v>0</v>
      </c>
      <c r="W12" s="85"/>
      <c r="X12" s="624">
        <v>0</v>
      </c>
      <c r="Y12" s="85"/>
      <c r="Z12" s="624">
        <v>0</v>
      </c>
      <c r="AA12" s="85"/>
      <c r="AB12" s="85"/>
      <c r="AC12" s="85"/>
      <c r="AD12" s="626">
        <f>SUM(D12,F12,H12,J12,L12,N12,P12,R12,T12,V12,X12,Z12)</f>
        <v>0</v>
      </c>
      <c r="AE12" s="85"/>
      <c r="AF12" s="626">
        <f>SUM(D12,F12,H12,J12,L12,N12,P12,R12,T12,V12,X12,Z12)</f>
        <v>0</v>
      </c>
      <c r="AG12" s="81"/>
      <c r="AH12" s="53"/>
      <c r="AI12" s="334" t="str">
        <f t="shared" ref="AI12:AI15" si="0">IF(D5="No","Complete",IF(OR(D12="",F12="",H12="",J12="",L12="",N12="",P12="",R12="",T12="",V12="",X12="",Z12=""),"Incomplete","Complete"))</f>
        <v>Complete</v>
      </c>
      <c r="AJ12" s="53"/>
    </row>
    <row r="13" spans="1:36" ht="15.75" x14ac:dyDescent="0.25">
      <c r="A13" s="53"/>
      <c r="B13" s="172" t="s">
        <v>383</v>
      </c>
      <c r="C13" s="80"/>
      <c r="D13" s="624">
        <v>0</v>
      </c>
      <c r="E13" s="85"/>
      <c r="F13" s="624">
        <v>0</v>
      </c>
      <c r="G13" s="85"/>
      <c r="H13" s="624">
        <v>0</v>
      </c>
      <c r="I13" s="85"/>
      <c r="J13" s="624">
        <v>0</v>
      </c>
      <c r="K13" s="85"/>
      <c r="L13" s="624">
        <v>0</v>
      </c>
      <c r="M13" s="85"/>
      <c r="N13" s="624">
        <v>0</v>
      </c>
      <c r="O13" s="85"/>
      <c r="P13" s="624">
        <v>0</v>
      </c>
      <c r="Q13" s="85"/>
      <c r="R13" s="624">
        <v>0</v>
      </c>
      <c r="S13" s="85"/>
      <c r="T13" s="624">
        <v>0</v>
      </c>
      <c r="U13" s="85"/>
      <c r="V13" s="624">
        <v>0</v>
      </c>
      <c r="W13" s="85"/>
      <c r="X13" s="624">
        <v>0</v>
      </c>
      <c r="Y13" s="85"/>
      <c r="Z13" s="624">
        <v>0</v>
      </c>
      <c r="AA13" s="85"/>
      <c r="AB13" s="85"/>
      <c r="AC13" s="85"/>
      <c r="AD13" s="626">
        <f>SUM(D13,F13,H13,J13,L13,N13,P13,R13,T13,V13,X13,Z13)</f>
        <v>0</v>
      </c>
      <c r="AE13" s="85"/>
      <c r="AF13" s="626">
        <f>SUM(D13,F13,H13,J13,L13,N13,P13,R13,T13,V13,X13,Z13)</f>
        <v>0</v>
      </c>
      <c r="AG13" s="81"/>
      <c r="AH13" s="53"/>
      <c r="AI13" s="334" t="str">
        <f t="shared" si="0"/>
        <v>Complete</v>
      </c>
      <c r="AJ13" s="53"/>
    </row>
    <row r="14" spans="1:36" ht="15.75" x14ac:dyDescent="0.25">
      <c r="A14" s="53"/>
      <c r="B14" s="172" t="s">
        <v>384</v>
      </c>
      <c r="C14" s="80"/>
      <c r="D14" s="624">
        <v>0</v>
      </c>
      <c r="E14" s="85"/>
      <c r="F14" s="624">
        <v>0</v>
      </c>
      <c r="G14" s="85"/>
      <c r="H14" s="624">
        <v>0</v>
      </c>
      <c r="I14" s="85"/>
      <c r="J14" s="624">
        <v>0</v>
      </c>
      <c r="K14" s="85"/>
      <c r="L14" s="624">
        <v>0</v>
      </c>
      <c r="M14" s="85"/>
      <c r="N14" s="624">
        <v>0</v>
      </c>
      <c r="O14" s="85"/>
      <c r="P14" s="624">
        <v>0</v>
      </c>
      <c r="Q14" s="85"/>
      <c r="R14" s="624">
        <v>0</v>
      </c>
      <c r="S14" s="85"/>
      <c r="T14" s="624">
        <v>0</v>
      </c>
      <c r="U14" s="85"/>
      <c r="V14" s="624">
        <v>0</v>
      </c>
      <c r="W14" s="85"/>
      <c r="X14" s="624">
        <v>0</v>
      </c>
      <c r="Y14" s="85"/>
      <c r="Z14" s="624">
        <v>0</v>
      </c>
      <c r="AA14" s="85"/>
      <c r="AB14" s="85"/>
      <c r="AC14" s="85"/>
      <c r="AD14" s="626">
        <f>SUM(D14,F14,H14,J14,L14,N14,P14,R14,T14,V14,X14,Z14)</f>
        <v>0</v>
      </c>
      <c r="AE14" s="85"/>
      <c r="AF14" s="626">
        <f>SUM(D14,F14,H14,J14,L14,N14,P14,R14,T14,V14,X14,Z14)</f>
        <v>0</v>
      </c>
      <c r="AG14" s="81"/>
      <c r="AH14" s="53"/>
      <c r="AI14" s="334" t="str">
        <f t="shared" si="0"/>
        <v>Complete</v>
      </c>
      <c r="AJ14" s="53"/>
    </row>
    <row r="15" spans="1:36" ht="15.75" x14ac:dyDescent="0.25">
      <c r="A15" s="53"/>
      <c r="B15" s="172" t="s">
        <v>385</v>
      </c>
      <c r="C15" s="153"/>
      <c r="D15" s="624">
        <v>0</v>
      </c>
      <c r="E15" s="200"/>
      <c r="F15" s="624">
        <v>0</v>
      </c>
      <c r="G15" s="200"/>
      <c r="H15" s="624">
        <v>0</v>
      </c>
      <c r="I15" s="200"/>
      <c r="J15" s="624">
        <v>0</v>
      </c>
      <c r="K15" s="200"/>
      <c r="L15" s="624">
        <v>0</v>
      </c>
      <c r="M15" s="200"/>
      <c r="N15" s="624">
        <v>0</v>
      </c>
      <c r="O15" s="200"/>
      <c r="P15" s="624">
        <v>0</v>
      </c>
      <c r="Q15" s="200"/>
      <c r="R15" s="624">
        <v>0</v>
      </c>
      <c r="S15" s="200"/>
      <c r="T15" s="624">
        <v>0</v>
      </c>
      <c r="U15" s="200"/>
      <c r="V15" s="624">
        <v>0</v>
      </c>
      <c r="W15" s="200"/>
      <c r="X15" s="624">
        <v>0</v>
      </c>
      <c r="Y15" s="200"/>
      <c r="Z15" s="624">
        <v>0</v>
      </c>
      <c r="AA15" s="200"/>
      <c r="AB15" s="200"/>
      <c r="AC15" s="200"/>
      <c r="AD15" s="626">
        <f>SUM(D15,F15,H15,J15,L15,N15,P15,R15,T15,V15,X15,Z15)</f>
        <v>0</v>
      </c>
      <c r="AE15" s="200"/>
      <c r="AF15" s="626">
        <f>SUM(D15,F15,H15,J15,L15,N15,P15,R15,T15,V15,X15,Z15)</f>
        <v>0</v>
      </c>
      <c r="AG15" s="81"/>
      <c r="AH15" s="53"/>
      <c r="AI15" s="334" t="str">
        <f t="shared" si="0"/>
        <v>Complete</v>
      </c>
      <c r="AJ15" s="53"/>
    </row>
    <row r="16" spans="1:36" ht="15.75" x14ac:dyDescent="0.25">
      <c r="A16" s="53"/>
      <c r="B16" s="106"/>
      <c r="C16" s="80"/>
      <c r="D16" s="201"/>
      <c r="E16" s="85"/>
      <c r="F16" s="201"/>
      <c r="G16" s="85"/>
      <c r="H16" s="201"/>
      <c r="I16" s="85"/>
      <c r="J16" s="201"/>
      <c r="K16" s="85"/>
      <c r="L16" s="201"/>
      <c r="M16" s="85"/>
      <c r="N16" s="201"/>
      <c r="O16" s="85"/>
      <c r="P16" s="201"/>
      <c r="Q16" s="85"/>
      <c r="R16" s="201"/>
      <c r="S16" s="85"/>
      <c r="T16" s="201"/>
      <c r="U16" s="85"/>
      <c r="V16" s="201"/>
      <c r="W16" s="85"/>
      <c r="X16" s="201"/>
      <c r="Y16" s="85"/>
      <c r="Z16" s="201"/>
      <c r="AA16" s="85"/>
      <c r="AB16" s="85"/>
      <c r="AC16" s="85"/>
      <c r="AD16" s="201"/>
      <c r="AE16" s="85"/>
      <c r="AF16" s="201"/>
      <c r="AG16" s="81"/>
      <c r="AH16" s="53"/>
      <c r="AI16" s="53"/>
      <c r="AJ16" s="53"/>
    </row>
    <row r="17" spans="1:36" ht="15.75" x14ac:dyDescent="0.25">
      <c r="A17" s="53"/>
      <c r="B17" s="106" t="s">
        <v>386</v>
      </c>
      <c r="C17" s="80"/>
      <c r="D17" s="626">
        <f>SUM(D11:D15)</f>
        <v>0</v>
      </c>
      <c r="E17" s="85"/>
      <c r="F17" s="626">
        <f>SUM(F11:F15)</f>
        <v>0</v>
      </c>
      <c r="G17" s="85"/>
      <c r="H17" s="626">
        <f>SUM(H11:H15)</f>
        <v>0</v>
      </c>
      <c r="I17" s="85"/>
      <c r="J17" s="626">
        <f>SUM(J11:J15)</f>
        <v>0</v>
      </c>
      <c r="K17" s="85"/>
      <c r="L17" s="626">
        <f>SUM(L11:L15)</f>
        <v>0</v>
      </c>
      <c r="M17" s="85"/>
      <c r="N17" s="626">
        <f>SUM(N11:N15)</f>
        <v>0</v>
      </c>
      <c r="O17" s="85"/>
      <c r="P17" s="626">
        <f>SUM(P11:P15)</f>
        <v>0</v>
      </c>
      <c r="Q17" s="85"/>
      <c r="R17" s="626">
        <f>SUM(R11:R15)</f>
        <v>0</v>
      </c>
      <c r="S17" s="85"/>
      <c r="T17" s="626">
        <f>SUM(T11:T15)</f>
        <v>0</v>
      </c>
      <c r="U17" s="85"/>
      <c r="V17" s="626">
        <f>SUM(V11:V15)</f>
        <v>0</v>
      </c>
      <c r="W17" s="85"/>
      <c r="X17" s="626">
        <f>SUM(X11:X15)</f>
        <v>0</v>
      </c>
      <c r="Y17" s="85"/>
      <c r="Z17" s="626">
        <f>SUM(Z11:Z15)</f>
        <v>0</v>
      </c>
      <c r="AA17" s="85"/>
      <c r="AB17" s="85"/>
      <c r="AC17" s="85"/>
      <c r="AD17" s="626">
        <f>SUM(AD11:AD15)</f>
        <v>0</v>
      </c>
      <c r="AE17" s="85"/>
      <c r="AF17" s="626">
        <f>SUM(AF11:AF15)</f>
        <v>0</v>
      </c>
      <c r="AG17" s="81"/>
      <c r="AH17" s="53"/>
      <c r="AI17" s="66"/>
      <c r="AJ17" s="53"/>
    </row>
    <row r="18" spans="1:36" ht="15.75" x14ac:dyDescent="0.25">
      <c r="A18" s="53"/>
      <c r="B18" s="106"/>
      <c r="C18" s="80"/>
      <c r="D18" s="201"/>
      <c r="E18" s="85"/>
      <c r="F18" s="201"/>
      <c r="G18" s="85"/>
      <c r="H18" s="201"/>
      <c r="I18" s="85"/>
      <c r="J18" s="201"/>
      <c r="K18" s="85"/>
      <c r="L18" s="201"/>
      <c r="M18" s="85"/>
      <c r="N18" s="201"/>
      <c r="O18" s="85"/>
      <c r="P18" s="201"/>
      <c r="Q18" s="85"/>
      <c r="R18" s="201"/>
      <c r="S18" s="85"/>
      <c r="T18" s="201"/>
      <c r="U18" s="85"/>
      <c r="V18" s="201"/>
      <c r="W18" s="85"/>
      <c r="X18" s="201"/>
      <c r="Y18" s="85"/>
      <c r="Z18" s="201"/>
      <c r="AA18" s="85"/>
      <c r="AB18" s="85"/>
      <c r="AC18" s="85"/>
      <c r="AD18" s="201"/>
      <c r="AE18" s="85"/>
      <c r="AF18" s="201"/>
      <c r="AG18" s="81"/>
      <c r="AH18" s="53"/>
      <c r="AI18" s="53"/>
      <c r="AJ18" s="53"/>
    </row>
    <row r="19" spans="1:36" ht="15.75" x14ac:dyDescent="0.25">
      <c r="A19" s="53"/>
      <c r="B19" s="172" t="s">
        <v>387</v>
      </c>
      <c r="C19" s="153"/>
      <c r="D19" s="626">
        <f t="array" ref="D19">SQRT(MMULT(MMULT(TRANSPOSE(D11:D14),Corr_10),D11:D14))-SUM(D11:D14)</f>
        <v>0</v>
      </c>
      <c r="E19" s="200"/>
      <c r="F19" s="626">
        <f t="array" ref="F19">SQRT(MMULT(MMULT(TRANSPOSE(F11:F14),Corr_10),F11:F14))-SUM(F11:F14)</f>
        <v>0</v>
      </c>
      <c r="G19" s="200"/>
      <c r="H19" s="626">
        <f t="array" ref="H19">SQRT(MMULT(MMULT(TRANSPOSE(H11:H14),Corr_10),H11:H14))-SUM(H11:H14)</f>
        <v>0</v>
      </c>
      <c r="I19" s="200"/>
      <c r="J19" s="626">
        <f t="array" ref="J19">SQRT(MMULT(MMULT(TRANSPOSE(J11:J14),Corr_10),J11:J14))-SUM(J11:J14)</f>
        <v>0</v>
      </c>
      <c r="K19" s="200"/>
      <c r="L19" s="626">
        <f t="array" ref="L19">SQRT(MMULT(MMULT(TRANSPOSE(L11:L14),Corr_10),L11:L14))-SUM(L11:L14)</f>
        <v>0</v>
      </c>
      <c r="M19" s="200"/>
      <c r="N19" s="626">
        <f t="array" ref="N19">SQRT(MMULT(MMULT(TRANSPOSE(N11:N14),Corr_10),N11:N14))-SUM(N11:N14)</f>
        <v>0</v>
      </c>
      <c r="O19" s="200"/>
      <c r="P19" s="626">
        <f t="array" ref="P19">SQRT(MMULT(MMULT(TRANSPOSE(P11:P14),Corr_10),P11:P14))-SUM(P11:P14)</f>
        <v>0</v>
      </c>
      <c r="Q19" s="200"/>
      <c r="R19" s="626">
        <f t="array" ref="R19">SQRT(MMULT(MMULT(TRANSPOSE(R11:R14),Corr_10),R11:R14))-SUM(R11:R14)</f>
        <v>0</v>
      </c>
      <c r="S19" s="200"/>
      <c r="T19" s="626">
        <f t="array" ref="T19">SQRT(MMULT(MMULT(TRANSPOSE(T11:T14),Corr_10),T11:T14))-SUM(T11:T14)</f>
        <v>0</v>
      </c>
      <c r="U19" s="200"/>
      <c r="V19" s="626">
        <f t="array" ref="V19">SQRT(MMULT(MMULT(TRANSPOSE(V11:V14),Corr_10),V11:V14))-SUM(V11:V14)</f>
        <v>0</v>
      </c>
      <c r="W19" s="200"/>
      <c r="X19" s="626">
        <f t="array" ref="X19">SQRT(MMULT(MMULT(TRANSPOSE(X11:X14),Corr_10),X11:X14))-SUM(X11:X14)</f>
        <v>0</v>
      </c>
      <c r="Y19" s="200"/>
      <c r="Z19" s="626">
        <f t="array" ref="Z19">SQRT(MMULT(MMULT(TRANSPOSE(Z11:Z14),Corr_10),Z11:Z14))-SUM(Z11:Z14)</f>
        <v>0</v>
      </c>
      <c r="AA19" s="200"/>
      <c r="AB19" s="200"/>
      <c r="AC19" s="200"/>
      <c r="AD19" s="626">
        <f t="array" ref="AD19">SQRT(MMULT(MMULT(TRANSPOSE(AD11:AD14),Corr_10),AD11:AD14))-SUM(AD11:AD14)</f>
        <v>0</v>
      </c>
      <c r="AE19" s="200"/>
      <c r="AF19" s="626">
        <f>SUM(D19,F19,H19,J19,L19,N19,P19,R19,T19,V19,X19,Z19)</f>
        <v>0</v>
      </c>
      <c r="AG19" s="81"/>
      <c r="AH19" s="53"/>
      <c r="AI19" s="66"/>
      <c r="AJ19" s="53"/>
    </row>
    <row r="20" spans="1:36" ht="15.75" x14ac:dyDescent="0.25">
      <c r="A20" s="53"/>
      <c r="B20" s="106"/>
      <c r="C20" s="80"/>
      <c r="D20" s="201"/>
      <c r="E20" s="85"/>
      <c r="F20" s="201"/>
      <c r="G20" s="85"/>
      <c r="H20" s="201"/>
      <c r="I20" s="85"/>
      <c r="J20" s="201"/>
      <c r="K20" s="85"/>
      <c r="L20" s="201"/>
      <c r="M20" s="85"/>
      <c r="N20" s="201"/>
      <c r="O20" s="85"/>
      <c r="P20" s="201"/>
      <c r="Q20" s="85"/>
      <c r="R20" s="201"/>
      <c r="S20" s="85"/>
      <c r="T20" s="201"/>
      <c r="U20" s="85"/>
      <c r="V20" s="201"/>
      <c r="W20" s="85"/>
      <c r="X20" s="201"/>
      <c r="Y20" s="85"/>
      <c r="Z20" s="201"/>
      <c r="AA20" s="85"/>
      <c r="AB20" s="85"/>
      <c r="AC20" s="85"/>
      <c r="AD20" s="201"/>
      <c r="AE20" s="85"/>
      <c r="AF20" s="201"/>
      <c r="AG20" s="81"/>
      <c r="AH20" s="53"/>
      <c r="AI20" s="53"/>
      <c r="AJ20" s="53"/>
    </row>
    <row r="21" spans="1:36" ht="15.75" x14ac:dyDescent="0.25">
      <c r="A21" s="53"/>
      <c r="B21" s="202" t="s">
        <v>388</v>
      </c>
      <c r="C21" s="80"/>
      <c r="D21" s="626">
        <f>IF(ISERROR(SUM(D17,D19)),0,SUM(D17,D19))</f>
        <v>0</v>
      </c>
      <c r="E21" s="85"/>
      <c r="F21" s="626">
        <f>IF(ISERROR(SUM(F17,F19)),0,SUM(F17,F19))</f>
        <v>0</v>
      </c>
      <c r="G21" s="85"/>
      <c r="H21" s="626">
        <f>IF(ISERROR(SUM(H17,H19)),0,SUM(H17,H19))</f>
        <v>0</v>
      </c>
      <c r="I21" s="85"/>
      <c r="J21" s="626">
        <f>IF(ISERROR(SUM(J17,J19)),0,SUM(J17,J19))</f>
        <v>0</v>
      </c>
      <c r="K21" s="85"/>
      <c r="L21" s="626">
        <f>IF(ISERROR(SUM(L17,L19)),0,SUM(L17,L19))</f>
        <v>0</v>
      </c>
      <c r="M21" s="85"/>
      <c r="N21" s="626">
        <f>IF(ISERROR(SUM(N17,N19)),0,SUM(N17,N19))</f>
        <v>0</v>
      </c>
      <c r="O21" s="85"/>
      <c r="P21" s="626">
        <f>IF(ISERROR(SUM(P17,P19)),0,SUM(P17,P19))</f>
        <v>0</v>
      </c>
      <c r="Q21" s="85"/>
      <c r="R21" s="626">
        <f>IF(ISERROR(SUM(R17,R19)),0,SUM(R17,R19))</f>
        <v>0</v>
      </c>
      <c r="S21" s="85"/>
      <c r="T21" s="626">
        <f>IF(ISERROR(SUM(T17,T19)),0,SUM(T17,T19))</f>
        <v>0</v>
      </c>
      <c r="U21" s="85"/>
      <c r="V21" s="626">
        <f>IF(ISERROR(SUM(V17,V19)),0,SUM(V17,V19))</f>
        <v>0</v>
      </c>
      <c r="W21" s="85"/>
      <c r="X21" s="626">
        <f>IF(ISERROR(SUM(X17,X19)),0,SUM(X17,X19))</f>
        <v>0</v>
      </c>
      <c r="Y21" s="85"/>
      <c r="Z21" s="626">
        <f>IF(ISERROR(SUM(Z17,Z19)),0,SUM(Z17,Z19))</f>
        <v>0</v>
      </c>
      <c r="AA21" s="85"/>
      <c r="AB21" s="85"/>
      <c r="AC21" s="85"/>
      <c r="AD21" s="626">
        <f>AD19+AD17</f>
        <v>0</v>
      </c>
      <c r="AE21" s="85"/>
      <c r="AF21" s="626">
        <f>IF(ISERROR(SUM(AF17,AF19)),0,SUM(AF17,AF19))</f>
        <v>0</v>
      </c>
      <c r="AG21" s="81"/>
      <c r="AH21" s="53"/>
      <c r="AI21" s="53"/>
      <c r="AJ21" s="53"/>
    </row>
    <row r="22" spans="1:36" ht="15.75" x14ac:dyDescent="0.25">
      <c r="A22" s="53"/>
      <c r="B22" s="106"/>
      <c r="C22" s="80"/>
      <c r="D22" s="201"/>
      <c r="E22" s="85"/>
      <c r="F22" s="201"/>
      <c r="G22" s="85"/>
      <c r="H22" s="201"/>
      <c r="I22" s="85"/>
      <c r="J22" s="201"/>
      <c r="K22" s="85"/>
      <c r="L22" s="201"/>
      <c r="M22" s="85"/>
      <c r="N22" s="201"/>
      <c r="O22" s="85"/>
      <c r="P22" s="201"/>
      <c r="Q22" s="85"/>
      <c r="R22" s="201"/>
      <c r="S22" s="85"/>
      <c r="T22" s="201"/>
      <c r="U22" s="85"/>
      <c r="V22" s="201"/>
      <c r="W22" s="85"/>
      <c r="X22" s="201"/>
      <c r="Y22" s="85"/>
      <c r="Z22" s="201"/>
      <c r="AA22" s="85"/>
      <c r="AB22" s="85"/>
      <c r="AC22" s="85"/>
      <c r="AD22" s="201"/>
      <c r="AE22" s="85"/>
      <c r="AF22" s="201"/>
      <c r="AG22" s="81"/>
      <c r="AH22" s="53"/>
      <c r="AI22" s="53"/>
      <c r="AJ22" s="53"/>
    </row>
    <row r="23" spans="1:36" ht="15.75" x14ac:dyDescent="0.25">
      <c r="A23" s="53"/>
      <c r="B23" s="172" t="s">
        <v>389</v>
      </c>
      <c r="C23" s="80"/>
      <c r="D23" s="642"/>
      <c r="E23" s="85"/>
      <c r="F23" s="642"/>
      <c r="G23" s="85"/>
      <c r="H23" s="642"/>
      <c r="I23" s="85"/>
      <c r="J23" s="642"/>
      <c r="K23" s="85"/>
      <c r="L23" s="642"/>
      <c r="M23" s="85"/>
      <c r="N23" s="642"/>
      <c r="O23" s="85"/>
      <c r="P23" s="642"/>
      <c r="Q23" s="85"/>
      <c r="R23" s="642"/>
      <c r="S23" s="85"/>
      <c r="T23" s="642"/>
      <c r="U23" s="85"/>
      <c r="V23" s="642"/>
      <c r="W23" s="85"/>
      <c r="X23" s="642"/>
      <c r="Y23" s="85"/>
      <c r="Z23" s="642"/>
      <c r="AA23" s="85"/>
      <c r="AB23" s="85"/>
      <c r="AC23" s="85"/>
      <c r="AD23" s="642"/>
      <c r="AE23" s="85"/>
      <c r="AF23" s="642"/>
      <c r="AG23" s="81"/>
      <c r="AH23" s="53"/>
      <c r="AI23" s="66"/>
      <c r="AJ23" s="53"/>
    </row>
    <row r="24" spans="1:36" ht="15.75" x14ac:dyDescent="0.25">
      <c r="A24" s="53"/>
      <c r="B24" s="106"/>
      <c r="C24" s="80"/>
      <c r="D24" s="201"/>
      <c r="E24" s="85"/>
      <c r="F24" s="201"/>
      <c r="G24" s="85"/>
      <c r="H24" s="201"/>
      <c r="I24" s="85"/>
      <c r="J24" s="201"/>
      <c r="K24" s="85"/>
      <c r="L24" s="201"/>
      <c r="M24" s="85"/>
      <c r="N24" s="201"/>
      <c r="O24" s="85"/>
      <c r="P24" s="201"/>
      <c r="Q24" s="85"/>
      <c r="R24" s="201"/>
      <c r="S24" s="85"/>
      <c r="T24" s="201"/>
      <c r="U24" s="85"/>
      <c r="V24" s="201"/>
      <c r="W24" s="85"/>
      <c r="X24" s="201"/>
      <c r="Y24" s="85"/>
      <c r="Z24" s="201"/>
      <c r="AA24" s="85"/>
      <c r="AB24" s="85"/>
      <c r="AC24" s="85"/>
      <c r="AD24" s="201"/>
      <c r="AE24" s="85"/>
      <c r="AF24" s="201"/>
      <c r="AG24" s="81"/>
      <c r="AH24" s="53"/>
      <c r="AI24" s="53"/>
      <c r="AJ24" s="53"/>
    </row>
    <row r="25" spans="1:36" ht="15.75" x14ac:dyDescent="0.25">
      <c r="A25" s="53"/>
      <c r="B25" s="172" t="s">
        <v>390</v>
      </c>
      <c r="C25" s="80"/>
      <c r="D25" s="642"/>
      <c r="E25" s="85"/>
      <c r="F25" s="642"/>
      <c r="G25" s="85"/>
      <c r="H25" s="642"/>
      <c r="I25" s="85"/>
      <c r="J25" s="642"/>
      <c r="K25" s="85"/>
      <c r="L25" s="642"/>
      <c r="M25" s="85"/>
      <c r="N25" s="642"/>
      <c r="O25" s="85"/>
      <c r="P25" s="642"/>
      <c r="Q25" s="85"/>
      <c r="R25" s="642"/>
      <c r="S25" s="85"/>
      <c r="T25" s="642"/>
      <c r="U25" s="85"/>
      <c r="V25" s="642"/>
      <c r="W25" s="85"/>
      <c r="X25" s="642"/>
      <c r="Y25" s="85"/>
      <c r="Z25" s="642"/>
      <c r="AA25" s="85"/>
      <c r="AB25" s="85"/>
      <c r="AC25" s="85"/>
      <c r="AD25" s="626">
        <f>'SCR Summary'!Adj_Reg_10</f>
        <v>0</v>
      </c>
      <c r="AE25" s="85"/>
      <c r="AF25" s="626">
        <f>AD25</f>
        <v>0</v>
      </c>
      <c r="AG25" s="81"/>
      <c r="AH25" s="53"/>
      <c r="AI25" s="66"/>
      <c r="AJ25" s="53"/>
    </row>
    <row r="26" spans="1:36" ht="16.5" thickBot="1" x14ac:dyDescent="0.3">
      <c r="A26" s="53"/>
      <c r="B26" s="106"/>
      <c r="C26" s="80"/>
      <c r="D26" s="201"/>
      <c r="E26" s="85"/>
      <c r="F26" s="201"/>
      <c r="G26" s="85"/>
      <c r="H26" s="201"/>
      <c r="I26" s="85"/>
      <c r="J26" s="201"/>
      <c r="K26" s="85"/>
      <c r="L26" s="201"/>
      <c r="M26" s="85"/>
      <c r="N26" s="201"/>
      <c r="O26" s="85"/>
      <c r="P26" s="201"/>
      <c r="Q26" s="85"/>
      <c r="R26" s="201"/>
      <c r="S26" s="85"/>
      <c r="T26" s="201"/>
      <c r="U26" s="85"/>
      <c r="V26" s="201"/>
      <c r="W26" s="85"/>
      <c r="X26" s="201"/>
      <c r="Y26" s="85"/>
      <c r="Z26" s="201"/>
      <c r="AA26" s="85"/>
      <c r="AB26" s="201"/>
      <c r="AC26" s="85"/>
      <c r="AD26" s="201"/>
      <c r="AE26" s="85"/>
      <c r="AF26" s="201"/>
      <c r="AG26" s="81"/>
      <c r="AH26" s="53"/>
      <c r="AI26" s="53"/>
      <c r="AJ26" s="53"/>
    </row>
    <row r="27" spans="1:36" ht="16.5" thickBot="1" x14ac:dyDescent="0.3">
      <c r="A27" s="53"/>
      <c r="B27" s="203" t="s">
        <v>391</v>
      </c>
      <c r="C27" s="153"/>
      <c r="D27" s="204">
        <f>SUM(D21,D25)</f>
        <v>0</v>
      </c>
      <c r="E27" s="200"/>
      <c r="F27" s="204">
        <f>SUM(F21,F25)</f>
        <v>0</v>
      </c>
      <c r="G27" s="200"/>
      <c r="H27" s="204">
        <f>SUM(H21,H25)</f>
        <v>0</v>
      </c>
      <c r="I27" s="200"/>
      <c r="J27" s="204">
        <f>SUM(J21,J25)</f>
        <v>0</v>
      </c>
      <c r="K27" s="200"/>
      <c r="L27" s="204">
        <f>SUM(L21,L25)</f>
        <v>0</v>
      </c>
      <c r="M27" s="200"/>
      <c r="N27" s="204">
        <f>SUM(N21,N25)</f>
        <v>0</v>
      </c>
      <c r="O27" s="200"/>
      <c r="P27" s="204">
        <f>SUM(P21,P25)</f>
        <v>0</v>
      </c>
      <c r="Q27" s="200"/>
      <c r="R27" s="204">
        <f>SUM(R21,R25)</f>
        <v>0</v>
      </c>
      <c r="S27" s="200"/>
      <c r="T27" s="204">
        <f>SUM(T21,T25)</f>
        <v>0</v>
      </c>
      <c r="U27" s="200"/>
      <c r="V27" s="204">
        <f>SUM(V21,V25)</f>
        <v>0</v>
      </c>
      <c r="W27" s="200"/>
      <c r="X27" s="204">
        <f>SUM(X21,X25)</f>
        <v>0</v>
      </c>
      <c r="Y27" s="200"/>
      <c r="Z27" s="204">
        <f>SUM(Z21,Z25)</f>
        <v>0</v>
      </c>
      <c r="AA27" s="200"/>
      <c r="AB27" s="204">
        <f>SUM(D27,F27,H27,J27,L27,N27,P27,R27,T27,V27,X27,Z27)</f>
        <v>0</v>
      </c>
      <c r="AC27" s="200"/>
      <c r="AD27" s="204">
        <f>SUM(AD21,AD23,AD25)</f>
        <v>0</v>
      </c>
      <c r="AE27" s="200"/>
      <c r="AF27" s="204">
        <f>SUM(AF21,AF23,AF25)</f>
        <v>0</v>
      </c>
      <c r="AG27" s="81"/>
      <c r="AH27" s="53"/>
      <c r="AI27" s="66"/>
      <c r="AJ27" s="53"/>
    </row>
    <row r="28" spans="1:36" ht="16.5" thickBot="1" x14ac:dyDescent="0.3">
      <c r="A28" s="53"/>
      <c r="B28" s="110"/>
      <c r="C28" s="93"/>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94"/>
      <c r="AH28" s="53"/>
      <c r="AI28" s="53"/>
      <c r="AJ28" s="53"/>
    </row>
    <row r="29" spans="1:36" ht="15.75" x14ac:dyDescent="0.25">
      <c r="A29" s="53"/>
      <c r="B29" s="53"/>
      <c r="C29" s="53"/>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53"/>
      <c r="AH29" s="53"/>
      <c r="AI29" s="53"/>
      <c r="AJ29" s="53"/>
    </row>
    <row r="30" spans="1:36" ht="16.5" thickBot="1" x14ac:dyDescent="0.3">
      <c r="A30" s="53"/>
      <c r="B30" s="53"/>
      <c r="C30" s="53"/>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53"/>
      <c r="AH30" s="53"/>
      <c r="AI30" s="53"/>
      <c r="AJ30" s="53"/>
    </row>
    <row r="31" spans="1:36" ht="32.25" thickBot="1" x14ac:dyDescent="0.3">
      <c r="A31" s="53"/>
      <c r="B31" s="163" t="s">
        <v>42</v>
      </c>
      <c r="C31" s="164"/>
      <c r="D31" s="205"/>
      <c r="E31" s="206"/>
      <c r="F31" s="205"/>
      <c r="G31" s="206"/>
      <c r="H31" s="205"/>
      <c r="I31" s="206"/>
      <c r="J31" s="205"/>
      <c r="K31" s="206"/>
      <c r="L31" s="205"/>
      <c r="M31" s="206"/>
      <c r="N31" s="205"/>
      <c r="O31" s="206"/>
      <c r="P31" s="205"/>
      <c r="Q31" s="206"/>
      <c r="R31" s="205"/>
      <c r="S31" s="206"/>
      <c r="T31" s="205"/>
      <c r="U31" s="206"/>
      <c r="V31" s="205"/>
      <c r="W31" s="206"/>
      <c r="X31" s="205"/>
      <c r="Y31" s="206"/>
      <c r="Z31" s="205"/>
      <c r="AA31" s="206"/>
      <c r="AB31" s="205" t="s">
        <v>392</v>
      </c>
      <c r="AC31" s="206"/>
      <c r="AD31" s="367" t="s">
        <v>379</v>
      </c>
      <c r="AE31" s="194"/>
      <c r="AF31" s="367" t="s">
        <v>393</v>
      </c>
      <c r="AG31" s="166"/>
      <c r="AH31" s="53"/>
      <c r="AI31" s="53"/>
      <c r="AJ31" s="53"/>
    </row>
    <row r="32" spans="1:36" ht="15.75" x14ac:dyDescent="0.25">
      <c r="A32" s="53"/>
      <c r="B32" s="106"/>
      <c r="C32" s="80"/>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1"/>
      <c r="AH32" s="53"/>
      <c r="AI32" s="53"/>
      <c r="AJ32" s="53"/>
    </row>
    <row r="33" spans="1:36" ht="15.75" x14ac:dyDescent="0.25">
      <c r="A33" s="53"/>
      <c r="B33" s="172" t="s">
        <v>335</v>
      </c>
      <c r="C33" s="80"/>
      <c r="D33" s="624">
        <v>0</v>
      </c>
      <c r="E33" s="85"/>
      <c r="F33" s="624">
        <v>0</v>
      </c>
      <c r="G33" s="85"/>
      <c r="H33" s="624">
        <v>0</v>
      </c>
      <c r="I33" s="85"/>
      <c r="J33" s="624">
        <v>0</v>
      </c>
      <c r="K33" s="85"/>
      <c r="L33" s="624">
        <v>0</v>
      </c>
      <c r="M33" s="85"/>
      <c r="N33" s="624">
        <v>0</v>
      </c>
      <c r="O33" s="85"/>
      <c r="P33" s="624">
        <v>0</v>
      </c>
      <c r="Q33" s="85"/>
      <c r="R33" s="624">
        <v>0</v>
      </c>
      <c r="S33" s="85"/>
      <c r="T33" s="624">
        <v>0</v>
      </c>
      <c r="U33" s="85"/>
      <c r="V33" s="624">
        <v>0</v>
      </c>
      <c r="W33" s="85"/>
      <c r="X33" s="624">
        <v>0</v>
      </c>
      <c r="Y33" s="85"/>
      <c r="Z33" s="624">
        <v>0</v>
      </c>
      <c r="AA33" s="85"/>
      <c r="AB33" s="85"/>
      <c r="AC33" s="85"/>
      <c r="AD33" s="626">
        <f>SUM(D33,F33,H33,J33,L33,N33,P33,R33,T33,V33,X33,Z33)</f>
        <v>0</v>
      </c>
      <c r="AE33" s="85"/>
      <c r="AF33" s="626">
        <f>AD33-SUM(D41,F41,H41,J41,L41,N41,P41,R41,T41,V41,X41)</f>
        <v>0</v>
      </c>
      <c r="AG33" s="81"/>
      <c r="AH33" s="53"/>
      <c r="AI33" s="334" t="str">
        <f>IF(OR(D33="",F33="",H33="",J33="",L33="",N33="",P33="",R33="",T33="",V33="",X33="",Z33=""),"Incomplete","Complete")</f>
        <v>Complete</v>
      </c>
      <c r="AJ33" s="53"/>
    </row>
    <row r="34" spans="1:36" ht="15.75" x14ac:dyDescent="0.25">
      <c r="A34" s="53"/>
      <c r="B34" s="172" t="s">
        <v>394</v>
      </c>
      <c r="C34" s="80"/>
      <c r="D34" s="624">
        <v>0</v>
      </c>
      <c r="E34" s="85"/>
      <c r="F34" s="624">
        <v>0</v>
      </c>
      <c r="G34" s="85"/>
      <c r="H34" s="624">
        <v>0</v>
      </c>
      <c r="I34" s="85"/>
      <c r="J34" s="624">
        <v>0</v>
      </c>
      <c r="K34" s="85"/>
      <c r="L34" s="624">
        <v>0</v>
      </c>
      <c r="M34" s="85"/>
      <c r="N34" s="624">
        <v>0</v>
      </c>
      <c r="O34" s="85"/>
      <c r="P34" s="624">
        <v>0</v>
      </c>
      <c r="Q34" s="85"/>
      <c r="R34" s="624">
        <v>0</v>
      </c>
      <c r="S34" s="85"/>
      <c r="T34" s="624">
        <v>0</v>
      </c>
      <c r="U34" s="85"/>
      <c r="V34" s="624">
        <v>0</v>
      </c>
      <c r="W34" s="85"/>
      <c r="X34" s="624">
        <v>0</v>
      </c>
      <c r="Y34" s="85"/>
      <c r="Z34" s="624">
        <v>0</v>
      </c>
      <c r="AA34" s="85"/>
      <c r="AB34" s="85"/>
      <c r="AC34" s="85"/>
      <c r="AD34" s="626">
        <f t="shared" ref="AD34:AD35" si="1">SUM(D34,F34,H34,J34,L34,N34,P34,R34,T34,V34,X34,Z34)</f>
        <v>0</v>
      </c>
      <c r="AE34" s="85"/>
      <c r="AF34" s="626">
        <f>AD34</f>
        <v>0</v>
      </c>
      <c r="AG34" s="81"/>
      <c r="AH34" s="53"/>
      <c r="AI34" s="334" t="str">
        <f t="shared" ref="AI34" si="2">IF(OR(D34="",F34="",H34="",J34="",L34="",N34="",P34="",R34="",T34="",V34="",X34="",Z34=""),"Incomplete","Complete")</f>
        <v>Complete</v>
      </c>
      <c r="AJ34" s="53"/>
    </row>
    <row r="35" spans="1:36" ht="15.75" x14ac:dyDescent="0.25">
      <c r="A35" s="53"/>
      <c r="B35" s="172" t="s">
        <v>395</v>
      </c>
      <c r="C35" s="80"/>
      <c r="D35" s="624">
        <v>0</v>
      </c>
      <c r="E35" s="85"/>
      <c r="F35" s="624">
        <v>0</v>
      </c>
      <c r="G35" s="85"/>
      <c r="H35" s="624">
        <v>0</v>
      </c>
      <c r="I35" s="85"/>
      <c r="J35" s="624">
        <v>0</v>
      </c>
      <c r="K35" s="85"/>
      <c r="L35" s="624">
        <v>0</v>
      </c>
      <c r="M35" s="85"/>
      <c r="N35" s="624">
        <v>0</v>
      </c>
      <c r="O35" s="85"/>
      <c r="P35" s="624">
        <v>0</v>
      </c>
      <c r="Q35" s="85"/>
      <c r="R35" s="624">
        <v>0</v>
      </c>
      <c r="S35" s="85"/>
      <c r="T35" s="624">
        <v>0</v>
      </c>
      <c r="U35" s="85"/>
      <c r="V35" s="624">
        <v>0</v>
      </c>
      <c r="W35" s="85"/>
      <c r="X35" s="624">
        <v>0</v>
      </c>
      <c r="Y35" s="85"/>
      <c r="Z35" s="624">
        <v>0</v>
      </c>
      <c r="AA35" s="85"/>
      <c r="AB35" s="85"/>
      <c r="AC35" s="85"/>
      <c r="AD35" s="626">
        <f t="shared" si="1"/>
        <v>0</v>
      </c>
      <c r="AE35" s="85"/>
      <c r="AF35" s="626">
        <f>AD35</f>
        <v>0</v>
      </c>
      <c r="AG35" s="81"/>
      <c r="AH35" s="53"/>
      <c r="AI35" s="334" t="str">
        <f>IF(OR(D35="",F35="",H35="",J35="",L35="",N35="",P35="",R35="",T35="",V35="",X35="",Z35=""),"Incomplete","Complete")</f>
        <v>Complete</v>
      </c>
      <c r="AJ35" s="53"/>
    </row>
    <row r="36" spans="1:36" ht="16.5" thickBot="1" x14ac:dyDescent="0.3">
      <c r="A36" s="53"/>
      <c r="B36" s="172"/>
      <c r="C36" s="80"/>
      <c r="D36" s="201"/>
      <c r="E36" s="85"/>
      <c r="F36" s="201"/>
      <c r="G36" s="85"/>
      <c r="H36" s="201"/>
      <c r="I36" s="85"/>
      <c r="J36" s="201"/>
      <c r="K36" s="85"/>
      <c r="L36" s="201"/>
      <c r="M36" s="85"/>
      <c r="N36" s="201"/>
      <c r="O36" s="85"/>
      <c r="P36" s="201"/>
      <c r="Q36" s="85"/>
      <c r="R36" s="201"/>
      <c r="S36" s="85"/>
      <c r="T36" s="201"/>
      <c r="U36" s="85"/>
      <c r="V36" s="201"/>
      <c r="W36" s="85"/>
      <c r="X36" s="201"/>
      <c r="Y36" s="85"/>
      <c r="Z36" s="201"/>
      <c r="AA36" s="85"/>
      <c r="AB36" s="85"/>
      <c r="AC36" s="85"/>
      <c r="AD36" s="201"/>
      <c r="AE36" s="85"/>
      <c r="AF36" s="201"/>
      <c r="AG36" s="81"/>
      <c r="AH36" s="53"/>
      <c r="AI36" s="53"/>
      <c r="AJ36" s="53"/>
    </row>
    <row r="37" spans="1:36" ht="16.5" thickBot="1" x14ac:dyDescent="0.3">
      <c r="A37" s="53"/>
      <c r="B37" s="203" t="s">
        <v>392</v>
      </c>
      <c r="C37" s="80"/>
      <c r="D37" s="204">
        <f>SUM(D33:D35)</f>
        <v>0</v>
      </c>
      <c r="E37" s="85"/>
      <c r="F37" s="204">
        <f>SUM(F33:F35)</f>
        <v>0</v>
      </c>
      <c r="G37" s="85"/>
      <c r="H37" s="204">
        <f>SUM(H33:H35)</f>
        <v>0</v>
      </c>
      <c r="I37" s="85"/>
      <c r="J37" s="204">
        <f>SUM(J33:J35)</f>
        <v>0</v>
      </c>
      <c r="K37" s="85"/>
      <c r="L37" s="204">
        <f>SUM(L33:L35)</f>
        <v>0</v>
      </c>
      <c r="M37" s="85"/>
      <c r="N37" s="204">
        <f>SUM(N33:N35)</f>
        <v>0</v>
      </c>
      <c r="O37" s="85"/>
      <c r="P37" s="204">
        <f>SUM(P33:P35)</f>
        <v>0</v>
      </c>
      <c r="Q37" s="85"/>
      <c r="R37" s="204">
        <f>SUM(R33:R35)</f>
        <v>0</v>
      </c>
      <c r="S37" s="85"/>
      <c r="T37" s="204">
        <f>SUM(T33:T35)</f>
        <v>0</v>
      </c>
      <c r="U37" s="85"/>
      <c r="V37" s="204">
        <f>SUM(V33:V35)</f>
        <v>0</v>
      </c>
      <c r="W37" s="85"/>
      <c r="X37" s="204">
        <f>SUM(X33:X35)</f>
        <v>0</v>
      </c>
      <c r="Y37" s="85"/>
      <c r="Z37" s="204">
        <f>SUM(Z33:Z35)</f>
        <v>0</v>
      </c>
      <c r="AA37" s="85"/>
      <c r="AB37" s="204">
        <f>SUM(D37,F37,H37,J37,L37,N37,P37,R37,T37,V37,X37,Z37)-SUM(D41,F41,H41,J41,L41,N41,P41,R41,T41,V41,X41)</f>
        <v>0</v>
      </c>
      <c r="AC37" s="85"/>
      <c r="AD37" s="204">
        <f>SUM(AD33:AD35)</f>
        <v>0</v>
      </c>
      <c r="AE37" s="85"/>
      <c r="AF37" s="204">
        <f>SUM(AF33:AF35)</f>
        <v>0</v>
      </c>
      <c r="AG37" s="81"/>
      <c r="AH37" s="53"/>
      <c r="AI37" s="66"/>
      <c r="AJ37" s="53"/>
    </row>
    <row r="38" spans="1:36" ht="16.5" thickBot="1" x14ac:dyDescent="0.3">
      <c r="A38" s="53"/>
      <c r="B38" s="106"/>
      <c r="C38" s="80"/>
      <c r="D38" s="201"/>
      <c r="E38" s="85"/>
      <c r="F38" s="201"/>
      <c r="G38" s="85"/>
      <c r="H38" s="201"/>
      <c r="I38" s="85"/>
      <c r="J38" s="201"/>
      <c r="K38" s="85"/>
      <c r="L38" s="201"/>
      <c r="M38" s="85"/>
      <c r="N38" s="201"/>
      <c r="O38" s="85"/>
      <c r="P38" s="201"/>
      <c r="Q38" s="85"/>
      <c r="R38" s="201"/>
      <c r="S38" s="85"/>
      <c r="T38" s="201"/>
      <c r="U38" s="85"/>
      <c r="V38" s="201"/>
      <c r="W38" s="85"/>
      <c r="X38" s="201"/>
      <c r="Y38" s="85"/>
      <c r="Z38" s="201"/>
      <c r="AA38" s="85"/>
      <c r="AB38" s="201"/>
      <c r="AC38" s="85"/>
      <c r="AD38" s="201"/>
      <c r="AE38" s="85"/>
      <c r="AF38" s="201"/>
      <c r="AG38" s="81"/>
      <c r="AH38" s="53"/>
      <c r="AI38" s="53"/>
      <c r="AJ38" s="53"/>
    </row>
    <row r="39" spans="1:36" ht="16.5" thickBot="1" x14ac:dyDescent="0.3">
      <c r="A39" s="53"/>
      <c r="B39" s="203" t="s">
        <v>396</v>
      </c>
      <c r="C39" s="80"/>
      <c r="D39" s="208" t="str">
        <f>IF(D27&lt;&gt;0,D37/D27,"N/A")</f>
        <v>N/A</v>
      </c>
      <c r="E39" s="209"/>
      <c r="F39" s="208" t="str">
        <f>IF(F27&lt;&gt;0,F37/F27,"N/A")</f>
        <v>N/A</v>
      </c>
      <c r="G39" s="209"/>
      <c r="H39" s="208" t="str">
        <f>IF(H27&lt;&gt;0,H37/H27,"N/A")</f>
        <v>N/A</v>
      </c>
      <c r="I39" s="209"/>
      <c r="J39" s="208" t="str">
        <f>IF(J27&lt;&gt;0,J37/J27,"N/A")</f>
        <v>N/A</v>
      </c>
      <c r="K39" s="209"/>
      <c r="L39" s="208" t="str">
        <f>IF(L27&lt;&gt;0,L37/L27,"N/A")</f>
        <v>N/A</v>
      </c>
      <c r="M39" s="209"/>
      <c r="N39" s="208" t="str">
        <f>IF(N27&lt;&gt;0,N37/N27,"N/A")</f>
        <v>N/A</v>
      </c>
      <c r="O39" s="209"/>
      <c r="P39" s="208" t="str">
        <f>IF(P27&lt;&gt;0,P37/P27,"N/A")</f>
        <v>N/A</v>
      </c>
      <c r="Q39" s="209"/>
      <c r="R39" s="208" t="str">
        <f>IF(R27&lt;&gt;0,R37/R27,"N/A")</f>
        <v>N/A</v>
      </c>
      <c r="S39" s="209"/>
      <c r="T39" s="208" t="str">
        <f>IF(T27&lt;&gt;0,T37/T27,"N/A")</f>
        <v>N/A</v>
      </c>
      <c r="U39" s="209"/>
      <c r="V39" s="208" t="str">
        <f>IF(V27&lt;&gt;0,V37/V27,"N/A")</f>
        <v>N/A</v>
      </c>
      <c r="W39" s="209"/>
      <c r="X39" s="208" t="str">
        <f>IF(X27&lt;&gt;0,X37/X27,"N/A")</f>
        <v>N/A</v>
      </c>
      <c r="Y39" s="209"/>
      <c r="Z39" s="208" t="str">
        <f>IF(Z27&lt;&gt;0,Z37/Z27,"N/A")</f>
        <v>N/A</v>
      </c>
      <c r="AA39" s="209"/>
      <c r="AB39" s="208" t="str">
        <f>IF(AB27&lt;&gt;0,AB37/AB27,"N/A")</f>
        <v>N/A</v>
      </c>
      <c r="AC39" s="209"/>
      <c r="AD39" s="208" t="str">
        <f>IF(AD27&lt;&gt;0,AD37/AD27,"N/A")</f>
        <v>N/A</v>
      </c>
      <c r="AE39" s="209"/>
      <c r="AF39" s="208" t="str">
        <f>IF(AF27&lt;&gt;0,AF37/AF27,"N/A")</f>
        <v>N/A</v>
      </c>
      <c r="AG39" s="81"/>
      <c r="AH39" s="53"/>
      <c r="AI39" s="66"/>
      <c r="AJ39" s="53"/>
    </row>
    <row r="40" spans="1:36" ht="16.5" thickBot="1" x14ac:dyDescent="0.3">
      <c r="A40" s="53"/>
      <c r="B40" s="106"/>
      <c r="C40" s="80"/>
      <c r="D40" s="201"/>
      <c r="E40" s="85"/>
      <c r="F40" s="201"/>
      <c r="G40" s="85"/>
      <c r="H40" s="201"/>
      <c r="I40" s="85"/>
      <c r="J40" s="201"/>
      <c r="K40" s="85"/>
      <c r="L40" s="201"/>
      <c r="M40" s="85"/>
      <c r="N40" s="201"/>
      <c r="O40" s="85"/>
      <c r="P40" s="201"/>
      <c r="Q40" s="85"/>
      <c r="R40" s="201"/>
      <c r="S40" s="85"/>
      <c r="T40" s="201"/>
      <c r="U40" s="85"/>
      <c r="V40" s="201"/>
      <c r="W40" s="85"/>
      <c r="X40" s="201"/>
      <c r="Y40" s="85"/>
      <c r="Z40" s="201"/>
      <c r="AA40" s="85"/>
      <c r="AB40" s="201"/>
      <c r="AC40" s="85"/>
      <c r="AD40" s="201"/>
      <c r="AE40" s="85"/>
      <c r="AF40" s="201"/>
      <c r="AG40" s="81"/>
      <c r="AH40" s="53"/>
      <c r="AI40" s="53"/>
      <c r="AJ40" s="53"/>
    </row>
    <row r="41" spans="1:36" ht="15.75" customHeight="1" thickBot="1" x14ac:dyDescent="0.3">
      <c r="A41" s="53"/>
      <c r="B41" s="203" t="s">
        <v>397</v>
      </c>
      <c r="C41" s="80"/>
      <c r="D41" s="204">
        <f>MAX(0,D37-D27)</f>
        <v>0</v>
      </c>
      <c r="E41" s="85"/>
      <c r="F41" s="204">
        <f>MAX(0,F37-F27)</f>
        <v>0</v>
      </c>
      <c r="G41" s="85"/>
      <c r="H41" s="204">
        <f>MAX(0,H37-H27)</f>
        <v>0</v>
      </c>
      <c r="I41" s="85"/>
      <c r="J41" s="204">
        <f>MAX(0,J37-J27)</f>
        <v>0</v>
      </c>
      <c r="K41" s="85"/>
      <c r="L41" s="204">
        <f>MAX(0,L37-L27)</f>
        <v>0</v>
      </c>
      <c r="M41" s="85"/>
      <c r="N41" s="204">
        <f>MAX(0,N37-N27)</f>
        <v>0</v>
      </c>
      <c r="O41" s="85"/>
      <c r="P41" s="204">
        <f>MAX(0,P37-P27)</f>
        <v>0</v>
      </c>
      <c r="Q41" s="85"/>
      <c r="R41" s="204">
        <f>MAX(0,R37-R27)</f>
        <v>0</v>
      </c>
      <c r="S41" s="85"/>
      <c r="T41" s="204">
        <f>MAX(0,T37-T27)</f>
        <v>0</v>
      </c>
      <c r="U41" s="85"/>
      <c r="V41" s="204">
        <f>MAX(0,V37-V27)</f>
        <v>0</v>
      </c>
      <c r="W41" s="85"/>
      <c r="X41" s="204">
        <f>MAX(0,X37-X27)</f>
        <v>0</v>
      </c>
      <c r="Y41" s="85"/>
      <c r="Z41" s="201"/>
      <c r="AA41" s="201"/>
      <c r="AB41" s="201"/>
      <c r="AC41" s="85"/>
      <c r="AD41" s="201"/>
      <c r="AE41" s="85"/>
      <c r="AF41" s="201"/>
      <c r="AG41" s="81"/>
      <c r="AH41" s="53"/>
      <c r="AI41" s="66"/>
      <c r="AJ41" s="53"/>
    </row>
    <row r="42" spans="1:36" ht="16.5" thickBot="1" x14ac:dyDescent="0.3">
      <c r="A42" s="53"/>
      <c r="B42" s="110"/>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4"/>
      <c r="AH42" s="53"/>
      <c r="AI42" s="53"/>
      <c r="AJ42" s="53"/>
    </row>
    <row r="43" spans="1:36" ht="15.75"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row>
    <row r="44" spans="1:36" ht="15.75"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row>
    <row r="45" spans="1:36" ht="33.75" customHeight="1" x14ac:dyDescent="0.25">
      <c r="A45" s="53"/>
      <c r="B45" s="842"/>
      <c r="C45" s="842"/>
      <c r="D45" s="842"/>
      <c r="E45" s="842"/>
      <c r="F45" s="842"/>
      <c r="G45" s="842"/>
      <c r="H45" s="842"/>
      <c r="I45" s="842"/>
      <c r="J45" s="842"/>
      <c r="K45" s="842"/>
      <c r="L45" s="842"/>
      <c r="M45" s="842"/>
      <c r="N45" s="842"/>
      <c r="O45" s="842"/>
      <c r="P45" s="842"/>
      <c r="Q45" s="53"/>
      <c r="R45" s="53"/>
      <c r="S45" s="53"/>
      <c r="T45" s="53"/>
      <c r="U45" s="53"/>
      <c r="V45" s="53"/>
      <c r="W45" s="53"/>
      <c r="X45" s="53"/>
      <c r="Y45" s="53"/>
      <c r="Z45" s="53"/>
      <c r="AA45" s="53"/>
      <c r="AB45" s="53"/>
      <c r="AC45" s="53"/>
      <c r="AD45" s="53"/>
      <c r="AE45" s="53"/>
      <c r="AF45" s="53"/>
      <c r="AG45" s="53"/>
      <c r="AH45" s="53"/>
      <c r="AI45" s="53"/>
      <c r="AJ45" s="53"/>
    </row>
    <row r="46" spans="1:36" ht="15.75"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row>
    <row r="47" spans="1:36" ht="15.75"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row>
    <row r="48" spans="1:36" ht="15.75"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row>
    <row r="49" spans="1:36" ht="15.75"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row>
    <row r="50" spans="1:36" ht="15.75"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row>
    <row r="51" spans="1:36" ht="15.75"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row>
    <row r="52" spans="1:36" ht="15.75"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row>
    <row r="53" spans="1:36" ht="15.75"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row>
  </sheetData>
  <sheetProtection algorithmName="SHA-512" hashValue="raWSsn8pLlevie8JswkxDlYoXe4DHR+TLpD2S4YCDVM2Yx8whhzJc4aVzKjhhHbC5iqdgxXwxlOVFrVJihRzsg==" saltValue="AjEYNVzlwCgCrXP/eJggqA==" spinCount="100000" sheet="1" objects="1" scenarios="1"/>
  <mergeCells count="2">
    <mergeCell ref="B45:P45"/>
    <mergeCell ref="B7:T7"/>
  </mergeCells>
  <conditionalFormatting sqref="AI1:AI6 AI8:AI10 AI16:AI32">
    <cfRule type="cellIs" dxfId="646" priority="18" operator="equal">
      <formula>"ZERO"</formula>
    </cfRule>
  </conditionalFormatting>
  <conditionalFormatting sqref="AI1:AI6 AI8:AI10">
    <cfRule type="cellIs" dxfId="645" priority="21" operator="equal">
      <formula>"OK"</formula>
    </cfRule>
    <cfRule type="cellIs" dxfId="644" priority="22" operator="equal">
      <formula>"ERROR"</formula>
    </cfRule>
  </conditionalFormatting>
  <conditionalFormatting sqref="AI7">
    <cfRule type="cellIs" dxfId="643" priority="9" operator="equal">
      <formula>"Complete"</formula>
    </cfRule>
    <cfRule type="cellIs" dxfId="642" priority="10" operator="equal">
      <formula>"Incomplete"</formula>
    </cfRule>
  </conditionalFormatting>
  <conditionalFormatting sqref="AI11:AI15">
    <cfRule type="cellIs" dxfId="641" priority="1" operator="equal">
      <formula>"Complete"</formula>
    </cfRule>
    <cfRule type="cellIs" dxfId="640" priority="2" operator="equal">
      <formula>"Incomplete"</formula>
    </cfRule>
  </conditionalFormatting>
  <conditionalFormatting sqref="AI16:AI32">
    <cfRule type="cellIs" dxfId="639" priority="19" operator="equal">
      <formula>"OK"</formula>
    </cfRule>
    <cfRule type="cellIs" dxfId="638" priority="20" operator="equal">
      <formula>"ERROR"</formula>
    </cfRule>
  </conditionalFormatting>
  <conditionalFormatting sqref="AI33:AI35">
    <cfRule type="cellIs" dxfId="637" priority="3" operator="equal">
      <formula>"Complete"</formula>
    </cfRule>
    <cfRule type="cellIs" dxfId="636" priority="4" operator="equal">
      <formula>"Incomplete"</formula>
    </cfRule>
  </conditionalFormatting>
  <conditionalFormatting sqref="AI36:AI53">
    <cfRule type="cellIs" dxfId="635" priority="15" operator="equal">
      <formula>"ZERO"</formula>
    </cfRule>
    <cfRule type="cellIs" dxfId="634" priority="16" operator="equal">
      <formula>"OK"</formula>
    </cfRule>
    <cfRule type="cellIs" dxfId="633" priority="17" operator="equal">
      <formula>"ERROR"</formula>
    </cfRule>
  </conditionalFormatting>
  <conditionalFormatting sqref="AI39">
    <cfRule type="cellIs" dxfId="632" priority="11" operator="equal">
      <formula>"INSOLVENT"</formula>
    </cfRule>
  </conditionalFormatting>
  <dataValidations count="8">
    <dataValidation allowBlank="1" showErrorMessage="1" prompt="For use by FSA" sqref="D25:AF25" xr:uid="{00000000-0002-0000-0D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9 F9 H9 J9 L9 N9 P9 R9 T9 V9 X9 Z9 AD9 AF9" xr:uid="{00000000-0002-0000-0D00-000001000000}"/>
    <dataValidation allowBlank="1" showErrorMessage="1" prompt="For class 3-9 or 11 insurers only (i.e. not applicable to class 12 insurers)" sqref="B23" xr:uid="{00000000-0002-0000-0D00-000002000000}"/>
    <dataValidation allowBlank="1" showInputMessage="1" showErrorMessage="1" prompt="Only allows for the diversification benefit within each sub-fund (i.e. not between sub-funds)." sqref="AF19" xr:uid="{00000000-0002-0000-0D00-000003000000}"/>
    <dataValidation allowBlank="1" showErrorMessage="1" promptTitle="SCR" prompt="See TS 2.2.1.1. for the calculation of the SCR." sqref="C27" xr:uid="{00000000-0002-0000-0D00-000004000000}"/>
    <dataValidation allowBlank="1" showErrorMessage="1" promptTitle="Diversification" prompt="See TS 2.2.2.2. for the correlation matrix used to calculated the diversified SCR, hence the diversification benefit." sqref="C19" xr:uid="{00000000-0002-0000-0D00-000005000000}"/>
    <dataValidation allowBlank="1" showErrorMessage="1" promptTitle="SCR Intangibles" prompt="See TS 2.5.2.1. for the calculation of the capital requirement for intangible asset risk." sqref="C15" xr:uid="{00000000-0002-0000-0D00-000006000000}"/>
    <dataValidation type="list" allowBlank="1" showInputMessage="1" showErrorMessage="1" sqref="D4" xr:uid="{00000000-0002-0000-0D00-000007000000}">
      <formula1>"Yes, No"</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1">
    <tabColor rgb="FF00B050"/>
    <pageSetUpPr fitToPage="1"/>
  </sheetPr>
  <dimension ref="A1:AG35"/>
  <sheetViews>
    <sheetView workbookViewId="0"/>
  </sheetViews>
  <sheetFormatPr defaultColWidth="0" defaultRowHeight="14.25" zeroHeight="1" x14ac:dyDescent="0.2"/>
  <cols>
    <col min="1" max="1" width="1.875" customWidth="1"/>
    <col min="2" max="2" width="24" customWidth="1"/>
    <col min="3" max="3" width="1.875" customWidth="1"/>
    <col min="4" max="4" width="19.375" customWidth="1"/>
    <col min="5" max="5" width="1.875" customWidth="1"/>
    <col min="6" max="6" width="19" customWidth="1"/>
    <col min="7" max="7" width="1.875" customWidth="1"/>
    <col min="8" max="8" width="18.625" customWidth="1"/>
    <col min="9" max="10" width="1.875" customWidth="1"/>
    <col min="11" max="11" width="19.125" customWidth="1"/>
    <col min="12" max="12" width="2" customWidth="1"/>
    <col min="13" max="13" width="12.125" customWidth="1"/>
    <col min="14" max="14" width="3.125" customWidth="1"/>
    <col min="15" max="15" width="13.375" customWidth="1"/>
    <col min="16" max="16" width="1.875" customWidth="1"/>
    <col min="17" max="17" width="10.125" customWidth="1"/>
    <col min="18" max="18" width="2.5" customWidth="1"/>
    <col min="19" max="19" width="5.125" customWidth="1"/>
    <col min="20" max="20" width="11.625" customWidth="1"/>
    <col min="21" max="33" width="9" hidden="1"/>
  </cols>
  <sheetData>
    <row r="1" spans="1:20" ht="15.75" x14ac:dyDescent="0.25">
      <c r="A1" s="59">
        <v>1</v>
      </c>
      <c r="B1" s="59"/>
      <c r="C1" s="60"/>
      <c r="D1" s="60"/>
      <c r="E1" s="60"/>
      <c r="F1" s="60"/>
      <c r="G1" s="60"/>
      <c r="H1" s="60"/>
      <c r="I1" s="60"/>
      <c r="J1" s="60"/>
      <c r="K1" s="60"/>
      <c r="L1" s="60"/>
      <c r="M1" s="60"/>
      <c r="N1" s="60"/>
      <c r="O1" s="60"/>
      <c r="P1" s="59"/>
      <c r="Q1" s="59"/>
      <c r="R1" s="210"/>
      <c r="S1" s="59"/>
      <c r="T1" s="59"/>
    </row>
    <row r="2" spans="1:20" ht="30.75" customHeight="1" x14ac:dyDescent="0.25">
      <c r="A2" s="60"/>
      <c r="B2" s="60"/>
      <c r="C2" s="60"/>
      <c r="D2" s="60"/>
      <c r="E2" s="60"/>
      <c r="F2" s="52" t="s">
        <v>46</v>
      </c>
      <c r="G2" s="60"/>
      <c r="H2" s="60"/>
      <c r="I2" s="60"/>
      <c r="J2" s="60"/>
      <c r="K2" s="60"/>
      <c r="L2" s="60"/>
      <c r="M2" s="60"/>
      <c r="N2" s="60"/>
      <c r="O2" s="60"/>
      <c r="P2" s="60"/>
      <c r="Q2" s="60"/>
      <c r="R2" s="61"/>
      <c r="S2" s="60"/>
      <c r="T2" s="60"/>
    </row>
    <row r="3" spans="1:20" ht="15.75" x14ac:dyDescent="0.25">
      <c r="A3" s="53"/>
      <c r="B3" s="53"/>
      <c r="C3" s="53"/>
      <c r="D3" s="53"/>
      <c r="E3" s="53"/>
      <c r="F3" s="53"/>
      <c r="G3" s="53"/>
      <c r="H3" s="53"/>
      <c r="I3" s="53"/>
      <c r="J3" s="53"/>
      <c r="K3" s="53"/>
      <c r="L3" s="53"/>
      <c r="M3" s="53"/>
      <c r="N3" s="53"/>
      <c r="O3" s="53"/>
      <c r="P3" s="53"/>
      <c r="Q3" s="53"/>
      <c r="R3" s="211"/>
      <c r="S3" s="53"/>
      <c r="T3" s="53"/>
    </row>
    <row r="4" spans="1:20" ht="16.5" thickBot="1" x14ac:dyDescent="0.3">
      <c r="A4" s="53"/>
      <c r="B4" s="120"/>
      <c r="C4" s="53"/>
      <c r="D4" s="53"/>
      <c r="E4" s="53"/>
      <c r="F4" s="53"/>
      <c r="G4" s="53"/>
      <c r="H4" s="53"/>
      <c r="I4" s="53"/>
      <c r="J4" s="53"/>
      <c r="K4" s="53"/>
      <c r="L4" s="53"/>
      <c r="M4" s="53"/>
      <c r="N4" s="53"/>
      <c r="O4" s="53"/>
      <c r="P4" s="53"/>
      <c r="Q4" s="53"/>
      <c r="R4" s="211"/>
      <c r="S4" s="53"/>
      <c r="T4" s="334" t="str">
        <f>IF(COUNTIF(T8:T35,"Incomplete")&gt;0,"Incomplete","Complete")</f>
        <v>Complete</v>
      </c>
    </row>
    <row r="5" spans="1:20" ht="15" customHeight="1" x14ac:dyDescent="0.25">
      <c r="A5" s="53"/>
      <c r="B5" s="176" t="s">
        <v>398</v>
      </c>
      <c r="C5" s="212"/>
      <c r="D5" s="366" t="s">
        <v>399</v>
      </c>
      <c r="E5" s="358"/>
      <c r="F5" s="366" t="s">
        <v>400</v>
      </c>
      <c r="G5" s="358"/>
      <c r="H5" s="366" t="s">
        <v>42</v>
      </c>
      <c r="I5" s="146"/>
      <c r="J5" s="230"/>
      <c r="K5" s="230"/>
      <c r="L5" s="60"/>
      <c r="M5" s="60"/>
      <c r="N5" s="53"/>
      <c r="O5" s="53"/>
      <c r="P5" s="53"/>
      <c r="Q5" s="53"/>
      <c r="R5" s="211"/>
      <c r="S5" s="53"/>
      <c r="T5" s="53"/>
    </row>
    <row r="6" spans="1:20" ht="15" customHeight="1" thickBot="1" x14ac:dyDescent="0.3">
      <c r="A6" s="53"/>
      <c r="B6" s="182"/>
      <c r="C6" s="213"/>
      <c r="D6" s="75" t="s">
        <v>164</v>
      </c>
      <c r="E6" s="364"/>
      <c r="F6" s="75" t="s">
        <v>164</v>
      </c>
      <c r="G6" s="364"/>
      <c r="H6" s="75" t="s">
        <v>164</v>
      </c>
      <c r="I6" s="149"/>
      <c r="J6" s="230"/>
      <c r="K6" s="230"/>
      <c r="L6" s="60"/>
      <c r="M6" s="60"/>
      <c r="N6" s="53"/>
      <c r="O6" s="53"/>
      <c r="P6" s="53"/>
      <c r="Q6" s="53"/>
      <c r="R6" s="211"/>
      <c r="S6" s="53"/>
      <c r="T6" s="53"/>
    </row>
    <row r="7" spans="1:20" ht="6" customHeight="1" x14ac:dyDescent="0.25">
      <c r="A7" s="53"/>
      <c r="B7" s="106"/>
      <c r="C7" s="150"/>
      <c r="D7" s="80"/>
      <c r="E7" s="80"/>
      <c r="F7" s="80"/>
      <c r="G7" s="80"/>
      <c r="H7" s="80"/>
      <c r="I7" s="81"/>
      <c r="J7" s="53"/>
      <c r="K7" s="53"/>
      <c r="L7" s="53"/>
      <c r="M7" s="53"/>
      <c r="N7" s="53"/>
      <c r="O7" s="53"/>
      <c r="P7" s="53"/>
      <c r="Q7" s="53"/>
      <c r="R7" s="211"/>
      <c r="S7" s="53"/>
      <c r="T7" s="53"/>
    </row>
    <row r="8" spans="1:20" ht="15" customHeight="1" x14ac:dyDescent="0.25">
      <c r="A8" s="53"/>
      <c r="B8" s="106" t="s">
        <v>401</v>
      </c>
      <c r="C8" s="150"/>
      <c r="D8" s="759">
        <v>0</v>
      </c>
      <c r="E8" s="85"/>
      <c r="F8" s="759">
        <v>0</v>
      </c>
      <c r="G8" s="85"/>
      <c r="H8" s="626">
        <f>D8-F8</f>
        <v>0</v>
      </c>
      <c r="I8" s="81"/>
      <c r="J8" s="53"/>
      <c r="K8" s="292"/>
      <c r="L8" s="292"/>
      <c r="M8" s="292"/>
      <c r="N8" s="292"/>
      <c r="O8" s="53"/>
      <c r="P8" s="53"/>
      <c r="Q8" s="53"/>
      <c r="R8" s="158"/>
      <c r="S8" s="53"/>
      <c r="T8" s="334" t="str">
        <f>IF(OR(D8="",F8=""),"Incomplete","Complete")</f>
        <v>Complete</v>
      </c>
    </row>
    <row r="9" spans="1:20" ht="6" customHeight="1" thickBot="1" x14ac:dyDescent="0.3">
      <c r="A9" s="53"/>
      <c r="B9" s="106"/>
      <c r="C9" s="150"/>
      <c r="D9" s="85"/>
      <c r="E9" s="85"/>
      <c r="F9" s="85"/>
      <c r="G9" s="85"/>
      <c r="H9" s="85"/>
      <c r="I9" s="81"/>
      <c r="J9" s="53"/>
      <c r="K9" s="53"/>
      <c r="L9" s="53"/>
      <c r="M9" s="53"/>
      <c r="N9" s="53"/>
      <c r="O9" s="53"/>
      <c r="P9" s="53"/>
      <c r="Q9" s="53"/>
      <c r="R9" s="211"/>
      <c r="S9" s="53"/>
      <c r="T9" s="53"/>
    </row>
    <row r="10" spans="1:20" ht="15.75" x14ac:dyDescent="0.25">
      <c r="A10" s="53"/>
      <c r="B10" s="214" t="s">
        <v>402</v>
      </c>
      <c r="C10" s="366"/>
      <c r="D10" s="215" t="s">
        <v>399</v>
      </c>
      <c r="E10" s="216"/>
      <c r="F10" s="215" t="s">
        <v>400</v>
      </c>
      <c r="G10" s="216"/>
      <c r="H10" s="366" t="s">
        <v>42</v>
      </c>
      <c r="I10" s="366"/>
      <c r="J10" s="366"/>
      <c r="K10" s="366" t="s">
        <v>391</v>
      </c>
      <c r="L10" s="138"/>
      <c r="M10" s="53"/>
      <c r="N10" s="53"/>
      <c r="O10" s="53"/>
      <c r="P10" s="53"/>
      <c r="Q10" s="53"/>
      <c r="R10" s="211"/>
      <c r="S10" s="53"/>
      <c r="T10" s="53"/>
    </row>
    <row r="11" spans="1:20" ht="16.5" thickBot="1" x14ac:dyDescent="0.3">
      <c r="A11" s="53"/>
      <c r="B11" s="217"/>
      <c r="C11" s="199"/>
      <c r="D11" s="75" t="s">
        <v>164</v>
      </c>
      <c r="E11" s="218"/>
      <c r="F11" s="75" t="s">
        <v>164</v>
      </c>
      <c r="G11" s="218"/>
      <c r="H11" s="75" t="s">
        <v>164</v>
      </c>
      <c r="I11" s="199"/>
      <c r="J11" s="199"/>
      <c r="K11" s="75" t="s">
        <v>164</v>
      </c>
      <c r="L11" s="77"/>
      <c r="M11" s="53"/>
      <c r="N11" s="53"/>
      <c r="O11" s="53"/>
      <c r="P11" s="53"/>
      <c r="Q11" s="53"/>
      <c r="R11" s="211"/>
      <c r="S11" s="53"/>
      <c r="T11" s="53"/>
    </row>
    <row r="12" spans="1:20" ht="6" customHeight="1" x14ac:dyDescent="0.25">
      <c r="A12" s="53"/>
      <c r="B12" s="106"/>
      <c r="C12" s="150"/>
      <c r="D12" s="85"/>
      <c r="E12" s="85"/>
      <c r="F12" s="85"/>
      <c r="G12" s="85"/>
      <c r="H12" s="85"/>
      <c r="I12" s="80"/>
      <c r="J12" s="150"/>
      <c r="K12" s="80"/>
      <c r="L12" s="81"/>
      <c r="M12" s="53"/>
      <c r="N12" s="53"/>
      <c r="O12" s="53"/>
      <c r="P12" s="53"/>
      <c r="Q12" s="53"/>
      <c r="R12" s="211"/>
      <c r="S12" s="53"/>
      <c r="T12" s="53"/>
    </row>
    <row r="13" spans="1:20" ht="15.75" x14ac:dyDescent="0.25">
      <c r="A13" s="53"/>
      <c r="B13" s="219" t="s">
        <v>403</v>
      </c>
      <c r="C13" s="150"/>
      <c r="D13" s="759">
        <v>0</v>
      </c>
      <c r="E13" s="85"/>
      <c r="F13" s="759">
        <v>0</v>
      </c>
      <c r="G13" s="85"/>
      <c r="H13" s="626">
        <f>$D13-$F13</f>
        <v>0</v>
      </c>
      <c r="I13" s="80"/>
      <c r="J13" s="150"/>
      <c r="K13" s="626">
        <f>MAX(0,-(H13-$H$8))</f>
        <v>0</v>
      </c>
      <c r="L13" s="81"/>
      <c r="M13" s="53"/>
      <c r="N13" s="53"/>
      <c r="O13" s="53"/>
      <c r="P13" s="53"/>
      <c r="Q13" s="53"/>
      <c r="R13" s="158"/>
      <c r="S13" s="53"/>
      <c r="T13" s="334" t="str">
        <f>IF(OR(D13="",F13=""),"Incomplete","Complete")</f>
        <v>Complete</v>
      </c>
    </row>
    <row r="14" spans="1:20" ht="15.75" x14ac:dyDescent="0.25">
      <c r="A14" s="53"/>
      <c r="B14" s="219" t="s">
        <v>404</v>
      </c>
      <c r="C14" s="150"/>
      <c r="D14" s="759">
        <v>0</v>
      </c>
      <c r="E14" s="85"/>
      <c r="F14" s="759">
        <v>0</v>
      </c>
      <c r="G14" s="85"/>
      <c r="H14" s="626">
        <f>$D14-$F14</f>
        <v>0</v>
      </c>
      <c r="I14" s="80"/>
      <c r="J14" s="150"/>
      <c r="K14" s="626">
        <f>MAX(0,-(H14-$H$8))</f>
        <v>0</v>
      </c>
      <c r="L14" s="81"/>
      <c r="M14" s="53"/>
      <c r="N14" s="53"/>
      <c r="O14" s="53"/>
      <c r="P14" s="53"/>
      <c r="Q14" s="53"/>
      <c r="R14" s="158"/>
      <c r="S14" s="53"/>
      <c r="T14" s="334" t="str">
        <f>IF(OR(D14="",F14=""),"Incomplete","Complete")</f>
        <v>Complete</v>
      </c>
    </row>
    <row r="15" spans="1:20" ht="6" customHeight="1" thickBot="1" x14ac:dyDescent="0.3">
      <c r="A15" s="53"/>
      <c r="B15" s="110"/>
      <c r="C15" s="159"/>
      <c r="D15" s="134"/>
      <c r="E15" s="134"/>
      <c r="F15" s="134"/>
      <c r="G15" s="134"/>
      <c r="H15" s="134"/>
      <c r="I15" s="93"/>
      <c r="J15" s="159"/>
      <c r="K15" s="93"/>
      <c r="L15" s="94"/>
      <c r="M15" s="53"/>
      <c r="N15" s="53"/>
      <c r="O15" s="53"/>
      <c r="P15" s="53"/>
      <c r="Q15" s="53"/>
      <c r="R15" s="211"/>
      <c r="S15" s="53"/>
      <c r="T15" s="53"/>
    </row>
    <row r="16" spans="1:20" ht="15.75" x14ac:dyDescent="0.25">
      <c r="A16" s="53"/>
      <c r="B16" s="53"/>
      <c r="C16" s="53"/>
      <c r="D16" s="109"/>
      <c r="E16" s="109"/>
      <c r="F16" s="109"/>
      <c r="G16" s="109"/>
      <c r="H16" s="109"/>
      <c r="I16" s="53"/>
      <c r="J16" s="53"/>
      <c r="K16" s="53"/>
      <c r="L16" s="53"/>
      <c r="M16" s="53"/>
      <c r="N16" s="53"/>
      <c r="O16" s="53"/>
      <c r="P16" s="53"/>
      <c r="Q16" s="53"/>
      <c r="R16" s="211"/>
      <c r="S16" s="53"/>
      <c r="T16" s="53"/>
    </row>
    <row r="17" spans="1:20" ht="6" customHeight="1" thickBot="1" x14ac:dyDescent="0.3">
      <c r="A17" s="53"/>
      <c r="B17" s="53"/>
      <c r="C17" s="53"/>
      <c r="D17" s="109"/>
      <c r="E17" s="109"/>
      <c r="F17" s="109"/>
      <c r="G17" s="109"/>
      <c r="H17" s="109"/>
      <c r="I17" s="53"/>
      <c r="J17" s="53"/>
      <c r="K17" s="53"/>
      <c r="L17" s="53"/>
      <c r="M17" s="53"/>
      <c r="N17" s="53"/>
      <c r="O17" s="53"/>
      <c r="P17" s="53"/>
      <c r="Q17" s="53"/>
      <c r="R17" s="211"/>
      <c r="S17" s="53"/>
      <c r="T17" s="53"/>
    </row>
    <row r="18" spans="1:20" ht="15.75" x14ac:dyDescent="0.25">
      <c r="A18" s="53"/>
      <c r="B18" s="838" t="s">
        <v>405</v>
      </c>
      <c r="C18" s="844"/>
      <c r="D18" s="840" t="s">
        <v>406</v>
      </c>
      <c r="E18" s="852"/>
      <c r="F18" s="840" t="s">
        <v>407</v>
      </c>
      <c r="G18" s="852"/>
      <c r="H18" s="854" t="s">
        <v>42</v>
      </c>
      <c r="I18" s="849"/>
      <c r="J18" s="849"/>
      <c r="K18" s="135"/>
      <c r="L18" s="135"/>
      <c r="M18" s="135"/>
      <c r="N18" s="135"/>
      <c r="O18" s="135"/>
      <c r="P18" s="135"/>
      <c r="Q18" s="135"/>
      <c r="R18" s="846"/>
      <c r="S18" s="53"/>
      <c r="T18" s="53"/>
    </row>
    <row r="19" spans="1:20" ht="66.599999999999994" customHeight="1" x14ac:dyDescent="0.25">
      <c r="A19" s="53"/>
      <c r="B19" s="848"/>
      <c r="C19" s="845"/>
      <c r="D19" s="851"/>
      <c r="E19" s="853"/>
      <c r="F19" s="851"/>
      <c r="G19" s="853"/>
      <c r="H19" s="855"/>
      <c r="I19" s="850"/>
      <c r="J19" s="850"/>
      <c r="K19" s="220" t="s">
        <v>408</v>
      </c>
      <c r="L19" s="220"/>
      <c r="M19" s="171" t="s">
        <v>409</v>
      </c>
      <c r="N19" s="220"/>
      <c r="O19" s="171" t="s">
        <v>410</v>
      </c>
      <c r="P19" s="359"/>
      <c r="Q19" s="220" t="s">
        <v>391</v>
      </c>
      <c r="R19" s="847"/>
      <c r="S19" s="53"/>
      <c r="T19" s="53"/>
    </row>
    <row r="20" spans="1:20" ht="46.5" customHeight="1" thickBot="1" x14ac:dyDescent="0.3">
      <c r="A20" s="53"/>
      <c r="B20" s="221" t="s">
        <v>411</v>
      </c>
      <c r="C20" s="363"/>
      <c r="D20" s="75" t="s">
        <v>164</v>
      </c>
      <c r="E20" s="222"/>
      <c r="F20" s="75" t="s">
        <v>164</v>
      </c>
      <c r="G20" s="222"/>
      <c r="H20" s="75" t="s">
        <v>164</v>
      </c>
      <c r="I20" s="364"/>
      <c r="J20" s="364"/>
      <c r="K20" s="199"/>
      <c r="L20" s="199"/>
      <c r="M20" s="199"/>
      <c r="N20" s="199"/>
      <c r="O20" s="199"/>
      <c r="P20" s="364"/>
      <c r="Q20" s="75" t="s">
        <v>164</v>
      </c>
      <c r="R20" s="365"/>
      <c r="S20" s="53"/>
      <c r="T20" s="53"/>
    </row>
    <row r="21" spans="1:20" ht="6" customHeight="1" x14ac:dyDescent="0.25">
      <c r="A21" s="53"/>
      <c r="B21" s="106"/>
      <c r="C21" s="150"/>
      <c r="D21" s="85"/>
      <c r="E21" s="85"/>
      <c r="F21" s="85"/>
      <c r="G21" s="85"/>
      <c r="H21" s="85"/>
      <c r="I21" s="80"/>
      <c r="J21" s="150"/>
      <c r="K21" s="80"/>
      <c r="L21" s="80"/>
      <c r="M21" s="80"/>
      <c r="N21" s="80"/>
      <c r="O21" s="80"/>
      <c r="P21" s="80"/>
      <c r="Q21" s="80"/>
      <c r="R21" s="81"/>
      <c r="S21" s="53"/>
      <c r="T21" s="53"/>
    </row>
    <row r="22" spans="1:20" ht="15.75" x14ac:dyDescent="0.25">
      <c r="A22" s="53"/>
      <c r="B22" s="106" t="s">
        <v>412</v>
      </c>
      <c r="C22" s="150"/>
      <c r="D22" s="624">
        <v>0</v>
      </c>
      <c r="E22" s="85"/>
      <c r="F22" s="624">
        <v>0</v>
      </c>
      <c r="G22" s="85"/>
      <c r="H22" s="626">
        <f>ABS($D22-$F22)</f>
        <v>0</v>
      </c>
      <c r="I22" s="80"/>
      <c r="J22" s="150"/>
      <c r="K22" s="643">
        <v>0.12</v>
      </c>
      <c r="L22" s="80"/>
      <c r="M22" s="626">
        <f>$H22*K22</f>
        <v>0</v>
      </c>
      <c r="N22" s="80"/>
      <c r="O22" s="624">
        <v>0</v>
      </c>
      <c r="P22" s="80"/>
      <c r="Q22" s="626">
        <f>M22-O22</f>
        <v>0</v>
      </c>
      <c r="R22" s="81"/>
      <c r="S22" s="53"/>
      <c r="T22" s="334" t="str">
        <f>IF(OR(D22="",F22="",O22=""),"Incomplete","Complete")</f>
        <v>Complete</v>
      </c>
    </row>
    <row r="23" spans="1:20" ht="6" customHeight="1" thickBot="1" x14ac:dyDescent="0.3">
      <c r="A23" s="53"/>
      <c r="B23" s="110"/>
      <c r="C23" s="159"/>
      <c r="D23" s="134"/>
      <c r="E23" s="134"/>
      <c r="F23" s="134"/>
      <c r="G23" s="134"/>
      <c r="H23" s="134"/>
      <c r="I23" s="93"/>
      <c r="J23" s="159"/>
      <c r="K23" s="93"/>
      <c r="L23" s="93"/>
      <c r="M23" s="93"/>
      <c r="N23" s="93"/>
      <c r="O23" s="93"/>
      <c r="P23" s="93"/>
      <c r="Q23" s="93"/>
      <c r="R23" s="94"/>
      <c r="S23" s="53"/>
      <c r="T23" s="53"/>
    </row>
    <row r="24" spans="1:20" ht="15.75" x14ac:dyDescent="0.25">
      <c r="A24" s="53"/>
      <c r="B24" s="53"/>
      <c r="C24" s="53"/>
      <c r="D24" s="109"/>
      <c r="E24" s="109"/>
      <c r="F24" s="109"/>
      <c r="G24" s="109"/>
      <c r="H24" s="109"/>
      <c r="I24" s="53"/>
      <c r="J24" s="53"/>
      <c r="K24" s="53"/>
      <c r="L24" s="53"/>
      <c r="M24" s="53"/>
      <c r="N24" s="53"/>
      <c r="O24" s="53"/>
      <c r="P24" s="53"/>
      <c r="Q24" s="53"/>
      <c r="R24" s="211"/>
      <c r="S24" s="53"/>
      <c r="T24" s="53"/>
    </row>
    <row r="25" spans="1:20" ht="6" customHeight="1" x14ac:dyDescent="0.25">
      <c r="A25" s="53"/>
      <c r="B25" s="53"/>
      <c r="C25" s="53"/>
      <c r="D25" s="109"/>
      <c r="E25" s="109"/>
      <c r="F25" s="109"/>
      <c r="G25" s="109"/>
      <c r="H25" s="109"/>
      <c r="I25" s="53"/>
      <c r="J25" s="53"/>
      <c r="K25" s="53"/>
      <c r="L25" s="53"/>
      <c r="M25" s="53"/>
      <c r="N25" s="53"/>
      <c r="O25" s="53"/>
      <c r="P25" s="53"/>
      <c r="Q25" s="53"/>
      <c r="R25" s="211"/>
      <c r="S25" s="53"/>
      <c r="T25" s="53"/>
    </row>
    <row r="26" spans="1:20" ht="14.25" customHeight="1" thickBot="1" x14ac:dyDescent="0.3">
      <c r="A26" s="53"/>
      <c r="B26" s="120"/>
      <c r="C26" s="53"/>
      <c r="D26" s="109"/>
      <c r="E26" s="109"/>
      <c r="F26" s="109"/>
      <c r="G26" s="109"/>
      <c r="H26" s="109"/>
      <c r="I26" s="53"/>
      <c r="J26" s="53"/>
      <c r="K26" s="53"/>
      <c r="L26" s="53"/>
      <c r="M26" s="53"/>
      <c r="N26" s="53"/>
      <c r="O26" s="53"/>
      <c r="P26" s="53"/>
      <c r="Q26" s="53"/>
      <c r="R26" s="211"/>
      <c r="S26" s="53"/>
      <c r="T26" s="53"/>
    </row>
    <row r="27" spans="1:20" ht="15.75" x14ac:dyDescent="0.25">
      <c r="A27" s="53"/>
      <c r="B27" s="176" t="s">
        <v>413</v>
      </c>
      <c r="C27" s="212"/>
      <c r="D27" s="366" t="s">
        <v>391</v>
      </c>
      <c r="E27" s="223"/>
      <c r="F27" s="109"/>
      <c r="G27" s="109"/>
      <c r="H27" s="109"/>
      <c r="I27" s="53"/>
      <c r="J27" s="53"/>
      <c r="K27" s="53"/>
      <c r="L27" s="53"/>
      <c r="M27" s="53"/>
      <c r="N27" s="53"/>
      <c r="O27" s="53"/>
      <c r="P27" s="53"/>
      <c r="Q27" s="53"/>
      <c r="R27" s="211"/>
      <c r="S27" s="53"/>
      <c r="T27" s="53"/>
    </row>
    <row r="28" spans="1:20" ht="16.5" thickBot="1" x14ac:dyDescent="0.3">
      <c r="A28" s="53"/>
      <c r="B28" s="182"/>
      <c r="C28" s="213"/>
      <c r="D28" s="75" t="s">
        <v>164</v>
      </c>
      <c r="E28" s="224"/>
      <c r="F28" s="109"/>
      <c r="G28" s="109"/>
      <c r="H28" s="109"/>
      <c r="I28" s="53"/>
      <c r="J28" s="53"/>
      <c r="K28" s="53"/>
      <c r="L28" s="53"/>
      <c r="M28" s="53"/>
      <c r="N28" s="53"/>
      <c r="O28" s="53"/>
      <c r="P28" s="53"/>
      <c r="Q28" s="53"/>
      <c r="R28" s="211"/>
      <c r="S28" s="53"/>
      <c r="T28" s="53"/>
    </row>
    <row r="29" spans="1:20" ht="6" customHeight="1" x14ac:dyDescent="0.25">
      <c r="A29" s="53"/>
      <c r="B29" s="106"/>
      <c r="C29" s="150"/>
      <c r="D29" s="85"/>
      <c r="E29" s="108"/>
      <c r="F29" s="109"/>
      <c r="G29" s="109"/>
      <c r="H29" s="109"/>
      <c r="I29" s="53"/>
      <c r="J29" s="53"/>
      <c r="K29" s="53"/>
      <c r="L29" s="53"/>
      <c r="M29" s="53"/>
      <c r="N29" s="53"/>
      <c r="O29" s="53"/>
      <c r="P29" s="53"/>
      <c r="Q29" s="53"/>
      <c r="R29" s="211"/>
      <c r="S29" s="53"/>
      <c r="T29" s="53"/>
    </row>
    <row r="30" spans="1:20" ht="15.75" x14ac:dyDescent="0.25">
      <c r="A30" s="53"/>
      <c r="B30" s="107" t="s">
        <v>402</v>
      </c>
      <c r="C30" s="621"/>
      <c r="D30" s="627"/>
      <c r="E30" s="633"/>
      <c r="F30" s="109"/>
      <c r="G30" s="109"/>
      <c r="H30" s="109"/>
      <c r="I30" s="53"/>
      <c r="J30" s="53"/>
      <c r="K30" s="53"/>
      <c r="L30" s="53"/>
      <c r="M30" s="53"/>
      <c r="N30" s="53"/>
      <c r="O30" s="53"/>
      <c r="P30" s="53"/>
      <c r="Q30" s="53"/>
      <c r="R30" s="211"/>
      <c r="S30" s="53"/>
      <c r="T30" s="53"/>
    </row>
    <row r="31" spans="1:20" ht="6" customHeight="1" x14ac:dyDescent="0.25">
      <c r="A31" s="53"/>
      <c r="B31" s="106"/>
      <c r="C31" s="150"/>
      <c r="D31" s="85"/>
      <c r="E31" s="108"/>
      <c r="F31" s="109"/>
      <c r="G31" s="109"/>
      <c r="H31" s="109"/>
      <c r="I31" s="53"/>
      <c r="J31" s="53"/>
      <c r="K31" s="53"/>
      <c r="L31" s="53"/>
      <c r="M31" s="53"/>
      <c r="N31" s="53"/>
      <c r="O31" s="53"/>
      <c r="P31" s="53"/>
      <c r="Q31" s="53"/>
      <c r="R31" s="211"/>
      <c r="S31" s="53"/>
      <c r="T31" s="53"/>
    </row>
    <row r="32" spans="1:20" ht="15.75" x14ac:dyDescent="0.25">
      <c r="A32" s="53"/>
      <c r="B32" s="219" t="s">
        <v>414</v>
      </c>
      <c r="C32" s="150"/>
      <c r="D32" s="759">
        <v>0</v>
      </c>
      <c r="E32" s="108"/>
      <c r="F32" s="109"/>
      <c r="G32" s="109"/>
      <c r="H32" s="109"/>
      <c r="I32" s="53"/>
      <c r="J32" s="53"/>
      <c r="K32" s="53"/>
      <c r="L32" s="53"/>
      <c r="M32" s="53"/>
      <c r="N32" s="53"/>
      <c r="O32" s="53"/>
      <c r="P32" s="53"/>
      <c r="Q32" s="53"/>
      <c r="R32" s="158"/>
      <c r="S32" s="53"/>
      <c r="T32" s="334" t="str">
        <f>IF(OR(D32=""),"Incomplete","Complete")</f>
        <v>Complete</v>
      </c>
    </row>
    <row r="33" spans="1:20" ht="6" customHeight="1" thickBot="1" x14ac:dyDescent="0.3">
      <c r="A33" s="53"/>
      <c r="B33" s="110"/>
      <c r="C33" s="159"/>
      <c r="D33" s="134"/>
      <c r="E33" s="225"/>
      <c r="F33" s="109"/>
      <c r="G33" s="109"/>
      <c r="H33" s="109"/>
      <c r="I33" s="53"/>
      <c r="J33" s="53"/>
      <c r="K33" s="53"/>
      <c r="L33" s="53"/>
      <c r="M33" s="53"/>
      <c r="N33" s="53"/>
      <c r="O33" s="53"/>
      <c r="P33" s="53"/>
      <c r="Q33" s="53"/>
      <c r="R33" s="211"/>
      <c r="S33" s="53"/>
      <c r="T33" s="53"/>
    </row>
    <row r="34" spans="1:20" ht="15.75" x14ac:dyDescent="0.25">
      <c r="A34" s="53"/>
      <c r="B34" s="111"/>
      <c r="C34" s="53"/>
      <c r="D34" s="53"/>
      <c r="E34" s="53"/>
      <c r="F34" s="53"/>
      <c r="G34" s="53"/>
      <c r="H34" s="53"/>
      <c r="I34" s="53"/>
      <c r="J34" s="53"/>
      <c r="K34" s="53"/>
      <c r="L34" s="53"/>
      <c r="M34" s="53"/>
      <c r="N34" s="53"/>
      <c r="O34" s="53"/>
      <c r="P34" s="53"/>
      <c r="Q34" s="53"/>
      <c r="R34" s="211"/>
      <c r="S34" s="53"/>
      <c r="T34" s="53"/>
    </row>
    <row r="35" spans="1:20" ht="6" customHeight="1" x14ac:dyDescent="0.25">
      <c r="A35" s="53"/>
      <c r="B35" s="53"/>
      <c r="C35" s="53"/>
      <c r="D35" s="53"/>
      <c r="E35" s="53"/>
      <c r="F35" s="53"/>
      <c r="G35" s="53"/>
      <c r="H35" s="53"/>
      <c r="I35" s="53"/>
      <c r="J35" s="53"/>
      <c r="K35" s="53"/>
      <c r="L35" s="53"/>
      <c r="M35" s="53"/>
      <c r="N35" s="53"/>
      <c r="O35" s="53"/>
      <c r="P35" s="53"/>
      <c r="Q35" s="53"/>
      <c r="R35" s="211"/>
      <c r="S35" s="53"/>
      <c r="T35" s="53"/>
    </row>
  </sheetData>
  <sheetProtection algorithmName="SHA-512" hashValue="gJgv83IPCdWeEjj37IPDz69j7FOiUx3/wHNdxco+/9FYZyEwqRnRwRXrIFaDEA0g5kW2NFrRQsI+X8XlOZrAtQ==" saltValue="MnVGWDtLLzm0UyAp0cy9qQ==" spinCount="100000" sheet="1" objects="1" scenarios="1"/>
  <customSheetViews>
    <customSheetView guid="{5F9ED89D-ECFA-4459-A055-6360C65F3370}" scale="85" showGridLines="0" fitToPage="1" hiddenRows="1" hiddenColumns="1">
      <selection activeCell="D19" sqref="D19"/>
      <pageMargins left="0" right="0" top="0" bottom="0" header="0" footer="0"/>
      <pageSetup paperSize="9" scale="79" orientation="portrait" r:id="rId1"/>
      <headerFooter>
        <oddFooter>&amp;CDRAFT - FOR DISCUSSION PURPOSES ONLY</oddFooter>
      </headerFooter>
    </customSheetView>
  </customSheetViews>
  <mergeCells count="10">
    <mergeCell ref="C18:C19"/>
    <mergeCell ref="R18:R19"/>
    <mergeCell ref="B18:B19"/>
    <mergeCell ref="I18:I19"/>
    <mergeCell ref="J18:J19"/>
    <mergeCell ref="D18:D19"/>
    <mergeCell ref="E18:E19"/>
    <mergeCell ref="F18:F19"/>
    <mergeCell ref="G18:G19"/>
    <mergeCell ref="H18:H19"/>
  </mergeCells>
  <conditionalFormatting sqref="R1:R17">
    <cfRule type="cellIs" dxfId="631" priority="13" operator="equal">
      <formula>"OK"</formula>
    </cfRule>
    <cfRule type="cellIs" dxfId="630" priority="14" operator="equal">
      <formula>"ERROR"</formula>
    </cfRule>
  </conditionalFormatting>
  <conditionalFormatting sqref="R24:R35">
    <cfRule type="cellIs" dxfId="629" priority="17" operator="equal">
      <formula>"OK"</formula>
    </cfRule>
    <cfRule type="cellIs" dxfId="628" priority="18" operator="equal">
      <formula>"ERROR"</formula>
    </cfRule>
  </conditionalFormatting>
  <conditionalFormatting sqref="T4">
    <cfRule type="cellIs" dxfId="627" priority="11" operator="equal">
      <formula>"Complete"</formula>
    </cfRule>
    <cfRule type="cellIs" dxfId="626" priority="12" operator="equal">
      <formula>"Incomplete"</formula>
    </cfRule>
  </conditionalFormatting>
  <conditionalFormatting sqref="T8">
    <cfRule type="cellIs" dxfId="625" priority="9" operator="equal">
      <formula>"Complete"</formula>
    </cfRule>
    <cfRule type="cellIs" dxfId="624" priority="10" operator="equal">
      <formula>"Incomplete"</formula>
    </cfRule>
  </conditionalFormatting>
  <conditionalFormatting sqref="T13:T14">
    <cfRule type="cellIs" dxfId="623" priority="5" operator="equal">
      <formula>"Complete"</formula>
    </cfRule>
    <cfRule type="cellIs" dxfId="622" priority="6" operator="equal">
      <formula>"Incomplete"</formula>
    </cfRule>
  </conditionalFormatting>
  <conditionalFormatting sqref="T22">
    <cfRule type="cellIs" dxfId="621" priority="3" operator="equal">
      <formula>"Complete"</formula>
    </cfRule>
    <cfRule type="cellIs" dxfId="620" priority="4" operator="equal">
      <formula>"Incomplete"</formula>
    </cfRule>
  </conditionalFormatting>
  <conditionalFormatting sqref="T32">
    <cfRule type="cellIs" dxfId="619" priority="1" operator="equal">
      <formula>"Complete"</formula>
    </cfRule>
    <cfRule type="cellIs" dxfId="618" priority="2" operator="equal">
      <formula>"Incomplete"</formula>
    </cfRule>
  </conditionalFormatting>
  <dataValidations xWindow="132" yWindow="446" count="18">
    <dataValidation allowBlank="1" showErrorMessage="1" prompt="Input the values, from the regulatory Economic Balance Sheet, of assets and liabilities (including technical provisions) which are interest sensitive" sqref="B8" xr:uid="{00000000-0002-0000-0E00-000000000000}"/>
    <dataValidation allowBlank="1" showInputMessage="1" showErrorMessage="1" prompt="As determined in accordance with regulation 32." sqref="B6" xr:uid="{00000000-0002-0000-0E00-000001000000}"/>
    <dataValidation allowBlank="1" showInputMessage="1" showErrorMessage="1" prompt="Determined in accordance with regulation 37." sqref="B28" xr:uid="{00000000-0002-0000-0E00-000002000000}"/>
    <dataValidation allowBlank="1" showInputMessage="1" showErrorMessage="1" prompt="Input comes from cell H78 of the &quot;SCR&quot; worksheet of the NLT_Helper_Interest_Rate_Risk_All Classes (if used)." sqref="F8" xr:uid="{00000000-0002-0000-0E00-000003000000}"/>
    <dataValidation allowBlank="1" showInputMessage="1" showErrorMessage="1" prompt="Input comes from cell F78 of the &quot;SCR&quot; worksheet of the NLT_Helper_Interest_Rate_Risk_All Classes (if used)." sqref="D8" xr:uid="{00000000-0002-0000-0E00-000004000000}"/>
    <dataValidation allowBlank="1" showInputMessage="1" showErrorMessage="1" prompt="Input comes from cell F7 of the Concentration Risk tab of the NLT_Helper_Concentration_Risk_Class_12 workbook" sqref="D32" xr:uid="{00000000-0002-0000-0E00-000005000000}"/>
    <dataValidation allowBlank="1" showErrorMessage="1" prompt="Input the changed values of the assets and liabilities included in row 7, under the interest down shock scenario.  These may be estimated using the &quot;QIS5_NL_Interest_Rate_Risk_Helper&quot; helper sheet." sqref="B14" xr:uid="{00000000-0002-0000-0E00-000006000000}"/>
    <dataValidation allowBlank="1" showErrorMessage="1" prompt="Input the changed values of the assets and liabilities included in row 7, under the interest up shock scenario.  These may be estimated using the &quot;QIS5_NL_Interest_Rate_Risk_Helper&quot; helper sheet." sqref="B13" xr:uid="{00000000-0002-0000-0E00-000007000000}"/>
    <dataValidation allowBlank="1" showErrorMessage="1" prompt="If using the simplification, input the values, as per the Regulatory Balance Sheet, of all assets and liabilities (including technical provisions), which are denominated in currencies other than the reporting currency." sqref="B22" xr:uid="{00000000-0002-0000-0E00-000008000000}"/>
    <dataValidation allowBlank="1" showErrorMessage="1" prompt="Input the capital requirement for Concentration Risk, calculated as per TS(200) 2.5.10" sqref="B32" xr:uid="{00000000-0002-0000-0E00-000009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D20 F20 H20 Q20 D28 F11 D11 K11 H11" xr:uid="{00000000-0002-0000-0E00-00000A000000}"/>
    <dataValidation allowBlank="1" showErrorMessage="1" prompt="As determined in accordance with regulation 32." sqref="B5" xr:uid="{00000000-0002-0000-0E00-00000B000000}"/>
    <dataValidation allowBlank="1" showErrorMessage="1" prompt="Determined in accordance with regulation 35." sqref="B18:B19" xr:uid="{00000000-0002-0000-0E00-00000C000000}"/>
    <dataValidation allowBlank="1" showErrorMessage="1" prompt="Determined in accordance with regulation 37." sqref="B27" xr:uid="{00000000-0002-0000-0E00-00000D000000}"/>
    <dataValidation allowBlank="1" showInputMessage="1" showErrorMessage="1" prompt="Input comes from cell F84 of the &quot;SCR&quot; worksheet of the NLT_Helper_Interest_Rate_Risk_All Classes (if used)." sqref="D13 F13" xr:uid="{00000000-0002-0000-0E00-00000E000000}"/>
    <dataValidation allowBlank="1" showInputMessage="1" showErrorMessage="1" prompt="Input comes from cell F86 of the &quot;SCR&quot; worksheet of the NLT_Helper_Interest_Rate_Risk_All Classes (if used)." sqref="D14 F14" xr:uid="{00000000-0002-0000-0E00-00000F000000}"/>
    <dataValidation allowBlank="1" showErrorMessage="1" prompt="See TS(200) 2.5.8 for a description of the calculation of the Currency Risk _x000a_capital requirement." sqref="B20" xr:uid="{00000000-0002-0000-0E00-000010000000}"/>
    <dataValidation allowBlank="1" showInputMessage="1" showErrorMessage="1" prompt="Adjustment to reduce the SCR in column M to reflect the risk mitigation provided by derivative contracts.  This should be zero or positive if the insurer has currency derivatives and wishes to allow for the risk mitigation they provide." sqref="O19" xr:uid="{00000000-0002-0000-0E00-000011000000}"/>
  </dataValidations>
  <pageMargins left="0.70866141732283472" right="0.70866141732283472" top="0.74803149606299213" bottom="0.74803149606299213" header="0.31496062992125984" footer="0.31496062992125984"/>
  <pageSetup paperSize="9" scale="79" orientation="portrait" r:id="rId2"/>
  <headerFooter>
    <oddFooter>&amp;CDRAFT - FOR DISCUSSION PURPOSES ONLY</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00B050"/>
    <pageSetUpPr fitToPage="1"/>
  </sheetPr>
  <dimension ref="A1:Q38"/>
  <sheetViews>
    <sheetView workbookViewId="0"/>
  </sheetViews>
  <sheetFormatPr defaultColWidth="0" defaultRowHeight="14.25" zeroHeight="1" x14ac:dyDescent="0.2"/>
  <cols>
    <col min="1" max="2" width="1.875" customWidth="1"/>
    <col min="3" max="3" width="52.375" customWidth="1"/>
    <col min="4" max="4" width="1.875" customWidth="1"/>
    <col min="5" max="5" width="19.375" customWidth="1"/>
    <col min="6" max="6" width="1.875" customWidth="1"/>
    <col min="7" max="7" width="19" customWidth="1"/>
    <col min="8" max="8" width="1.875" customWidth="1"/>
    <col min="9" max="9" width="19.125" customWidth="1"/>
    <col min="10" max="12" width="1.875" customWidth="1"/>
    <col min="13" max="13" width="10.375" customWidth="1"/>
    <col min="14" max="14" width="1.875" customWidth="1"/>
    <col min="15" max="17" width="9" customWidth="1"/>
  </cols>
  <sheetData>
    <row r="1" spans="1:17" ht="15.75" x14ac:dyDescent="0.25">
      <c r="A1" s="59">
        <v>1</v>
      </c>
      <c r="B1" s="60"/>
      <c r="C1" s="60"/>
      <c r="D1" s="60"/>
      <c r="E1" s="60"/>
      <c r="F1" s="60"/>
      <c r="G1" s="59"/>
      <c r="H1" s="59"/>
      <c r="I1" s="60"/>
      <c r="J1" s="60"/>
      <c r="K1" s="59"/>
      <c r="L1" s="60"/>
      <c r="M1" s="60"/>
      <c r="N1" s="60"/>
      <c r="O1" s="60"/>
      <c r="P1" s="60"/>
      <c r="Q1" s="60"/>
    </row>
    <row r="2" spans="1:17" ht="16.5" customHeight="1" x14ac:dyDescent="0.25">
      <c r="A2" s="60"/>
      <c r="B2" s="60"/>
      <c r="C2" s="60"/>
      <c r="D2" s="60"/>
      <c r="E2" s="52"/>
      <c r="F2" s="60"/>
      <c r="G2" s="60"/>
      <c r="H2" s="60"/>
      <c r="I2" s="61"/>
      <c r="J2" s="61"/>
      <c r="K2" s="60"/>
      <c r="L2" s="60"/>
      <c r="M2" s="61"/>
      <c r="N2" s="60"/>
      <c r="O2" s="60"/>
      <c r="P2" s="60"/>
      <c r="Q2" s="60"/>
    </row>
    <row r="3" spans="1:17" ht="15.75" x14ac:dyDescent="0.25">
      <c r="A3" s="144"/>
      <c r="B3" s="53"/>
      <c r="C3" s="53"/>
      <c r="D3" s="53"/>
      <c r="E3" s="52" t="s">
        <v>48</v>
      </c>
      <c r="F3" s="53"/>
      <c r="G3" s="53"/>
      <c r="H3" s="53"/>
      <c r="I3" s="53"/>
      <c r="J3" s="53"/>
      <c r="K3" s="53"/>
      <c r="L3" s="53"/>
      <c r="M3" s="53"/>
      <c r="N3" s="53"/>
      <c r="O3" s="53"/>
      <c r="P3" s="53"/>
      <c r="Q3" s="53"/>
    </row>
    <row r="4" spans="1:17" ht="15.75" x14ac:dyDescent="0.25">
      <c r="A4" s="144"/>
      <c r="B4" s="226"/>
      <c r="C4" s="96"/>
      <c r="D4" s="226"/>
      <c r="E4" s="226"/>
      <c r="F4" s="226"/>
      <c r="G4" s="226"/>
      <c r="H4" s="226"/>
      <c r="I4" s="226"/>
      <c r="J4" s="226"/>
      <c r="K4" s="226"/>
      <c r="L4" s="226"/>
      <c r="M4" s="226"/>
      <c r="N4" s="53"/>
      <c r="O4" s="53"/>
      <c r="P4" s="53"/>
      <c r="Q4" s="53"/>
    </row>
    <row r="5" spans="1:17" ht="30" customHeight="1" x14ac:dyDescent="0.25">
      <c r="A5" s="144"/>
      <c r="B5" s="226"/>
      <c r="C5" s="856" t="s">
        <v>415</v>
      </c>
      <c r="D5" s="856"/>
      <c r="E5" s="856"/>
      <c r="F5" s="856"/>
      <c r="G5" s="856"/>
      <c r="H5" s="856"/>
      <c r="I5" s="856"/>
      <c r="J5" s="856"/>
      <c r="K5" s="856"/>
      <c r="L5" s="856"/>
      <c r="M5" s="226"/>
      <c r="N5" s="53"/>
      <c r="O5" s="53"/>
      <c r="P5" s="53"/>
      <c r="Q5" s="53"/>
    </row>
    <row r="6" spans="1:17" ht="16.5" thickBot="1" x14ac:dyDescent="0.3">
      <c r="A6" s="144"/>
      <c r="B6" s="226"/>
      <c r="C6" s="53"/>
      <c r="D6" s="226"/>
      <c r="E6" s="226"/>
      <c r="F6" s="226"/>
      <c r="G6" s="226"/>
      <c r="H6" s="226"/>
      <c r="I6" s="226"/>
      <c r="J6" s="226"/>
      <c r="K6" s="226"/>
      <c r="L6" s="226"/>
      <c r="M6" s="342" t="str">
        <f>IF(COUNTIF(M10:M38,"Incomplete")&gt;0,"Incomplete","Complete")</f>
        <v>Complete</v>
      </c>
      <c r="N6" s="53"/>
      <c r="O6" s="53"/>
      <c r="P6" s="53"/>
      <c r="Q6" s="53"/>
    </row>
    <row r="7" spans="1:17" ht="16.5" thickBot="1" x14ac:dyDescent="0.3">
      <c r="A7" s="144"/>
      <c r="B7" s="126"/>
      <c r="C7" s="127" t="s">
        <v>416</v>
      </c>
      <c r="D7" s="127"/>
      <c r="E7" s="127"/>
      <c r="F7" s="127"/>
      <c r="G7" s="127"/>
      <c r="H7" s="127"/>
      <c r="I7" s="127"/>
      <c r="J7" s="227"/>
      <c r="K7" s="226"/>
      <c r="L7" s="226"/>
      <c r="M7" s="226"/>
      <c r="N7" s="53"/>
      <c r="O7" s="53"/>
      <c r="P7" s="53"/>
      <c r="Q7" s="53"/>
    </row>
    <row r="8" spans="1:17" ht="6" customHeight="1" x14ac:dyDescent="0.25">
      <c r="A8" s="144"/>
      <c r="B8" s="106"/>
      <c r="C8" s="80"/>
      <c r="D8" s="80"/>
      <c r="E8" s="80"/>
      <c r="F8" s="80"/>
      <c r="G8" s="80"/>
      <c r="H8" s="80"/>
      <c r="I8" s="80"/>
      <c r="J8" s="81"/>
      <c r="K8" s="56"/>
      <c r="L8" s="53"/>
      <c r="M8" s="53"/>
      <c r="N8" s="53"/>
      <c r="O8" s="53"/>
      <c r="P8" s="53"/>
      <c r="Q8" s="53"/>
    </row>
    <row r="9" spans="1:17" ht="63" x14ac:dyDescent="0.25">
      <c r="A9" s="144"/>
      <c r="B9" s="228"/>
      <c r="C9" s="644" t="s">
        <v>417</v>
      </c>
      <c r="D9" s="644"/>
      <c r="E9" s="645" t="s">
        <v>418</v>
      </c>
      <c r="F9" s="644"/>
      <c r="G9" s="644" t="s">
        <v>408</v>
      </c>
      <c r="H9" s="644"/>
      <c r="I9" s="645" t="s">
        <v>419</v>
      </c>
      <c r="J9" s="646"/>
      <c r="K9" s="226"/>
      <c r="L9" s="226"/>
      <c r="M9" s="226"/>
      <c r="N9" s="53"/>
      <c r="O9" s="53"/>
      <c r="P9" s="53"/>
      <c r="Q9" s="53"/>
    </row>
    <row r="10" spans="1:17" ht="6" customHeight="1" x14ac:dyDescent="0.25">
      <c r="A10" s="144"/>
      <c r="B10" s="106"/>
      <c r="C10" s="80"/>
      <c r="D10" s="80"/>
      <c r="E10" s="80"/>
      <c r="F10" s="80"/>
      <c r="G10" s="80"/>
      <c r="H10" s="80"/>
      <c r="I10" s="80"/>
      <c r="J10" s="81"/>
      <c r="K10" s="56"/>
      <c r="L10" s="53"/>
      <c r="M10" s="53"/>
      <c r="N10" s="53"/>
      <c r="O10" s="53"/>
      <c r="P10" s="53"/>
      <c r="Q10" s="53"/>
    </row>
    <row r="11" spans="1:17" ht="15.75" x14ac:dyDescent="0.25">
      <c r="A11" s="144"/>
      <c r="B11" s="106"/>
      <c r="C11" s="229">
        <v>0</v>
      </c>
      <c r="D11" s="80"/>
      <c r="E11" s="647">
        <v>0</v>
      </c>
      <c r="F11" s="80"/>
      <c r="G11" s="648">
        <f>Data!D147</f>
        <v>4.0000000000000001E-3</v>
      </c>
      <c r="H11" s="80"/>
      <c r="I11" s="649">
        <v>1</v>
      </c>
      <c r="J11" s="81"/>
      <c r="K11" s="226"/>
      <c r="L11" s="226"/>
      <c r="M11" s="342" t="str">
        <f>IF(OR(E11="",I11="",I11&lt;0.99),"Incomplete","Complete")</f>
        <v>Complete</v>
      </c>
      <c r="N11" s="53"/>
      <c r="O11" s="53"/>
      <c r="P11" s="53"/>
      <c r="Q11" s="438"/>
    </row>
    <row r="12" spans="1:17" ht="15.75" x14ac:dyDescent="0.25">
      <c r="A12" s="144"/>
      <c r="B12" s="106"/>
      <c r="C12" s="229">
        <v>1</v>
      </c>
      <c r="D12" s="80"/>
      <c r="E12" s="647">
        <v>0</v>
      </c>
      <c r="F12" s="80"/>
      <c r="G12" s="648">
        <f>Data!E147</f>
        <v>5.0000000000000001E-3</v>
      </c>
      <c r="H12" s="80"/>
      <c r="I12" s="649">
        <v>1</v>
      </c>
      <c r="J12" s="81"/>
      <c r="K12" s="226"/>
      <c r="L12" s="226"/>
      <c r="M12" s="342" t="str">
        <f t="shared" ref="M12:M17" si="0">IF(OR(E12="",I12="",I12&lt;0.99),"Incomplete","Complete")</f>
        <v>Complete</v>
      </c>
      <c r="N12" s="53"/>
      <c r="O12" s="53"/>
      <c r="P12" s="53"/>
      <c r="Q12" s="438"/>
    </row>
    <row r="13" spans="1:17" ht="15.75" x14ac:dyDescent="0.25">
      <c r="A13" s="144"/>
      <c r="B13" s="106"/>
      <c r="C13" s="229">
        <v>2</v>
      </c>
      <c r="D13" s="80"/>
      <c r="E13" s="647">
        <v>0</v>
      </c>
      <c r="F13" s="80"/>
      <c r="G13" s="648">
        <f>Data!F147</f>
        <v>7.0000000000000001E-3</v>
      </c>
      <c r="H13" s="80"/>
      <c r="I13" s="649">
        <v>1</v>
      </c>
      <c r="J13" s="81"/>
      <c r="K13" s="226"/>
      <c r="L13" s="226"/>
      <c r="M13" s="342" t="str">
        <f t="shared" si="0"/>
        <v>Complete</v>
      </c>
      <c r="N13" s="53"/>
      <c r="O13" s="53"/>
      <c r="P13" s="53"/>
      <c r="Q13" s="438"/>
    </row>
    <row r="14" spans="1:17" ht="15.75" x14ac:dyDescent="0.25">
      <c r="A14" s="144"/>
      <c r="B14" s="106"/>
      <c r="C14" s="229">
        <v>3</v>
      </c>
      <c r="D14" s="80"/>
      <c r="E14" s="647">
        <v>0</v>
      </c>
      <c r="F14" s="80"/>
      <c r="G14" s="648">
        <f>Data!G147</f>
        <v>1.2E-2</v>
      </c>
      <c r="H14" s="80"/>
      <c r="I14" s="649">
        <v>1</v>
      </c>
      <c r="J14" s="81"/>
      <c r="K14" s="226"/>
      <c r="L14" s="226"/>
      <c r="M14" s="342" t="str">
        <f t="shared" si="0"/>
        <v>Complete</v>
      </c>
      <c r="N14" s="53"/>
      <c r="O14" s="53"/>
      <c r="P14" s="53"/>
      <c r="Q14" s="438"/>
    </row>
    <row r="15" spans="1:17" ht="15.75" x14ac:dyDescent="0.25">
      <c r="A15" s="144"/>
      <c r="B15" s="106"/>
      <c r="C15" s="229">
        <v>4</v>
      </c>
      <c r="D15" s="80"/>
      <c r="E15" s="647">
        <v>0</v>
      </c>
      <c r="F15" s="80"/>
      <c r="G15" s="648">
        <f>Data!H147</f>
        <v>2.1999999999999999E-2</v>
      </c>
      <c r="H15" s="80"/>
      <c r="I15" s="649">
        <v>1</v>
      </c>
      <c r="J15" s="81"/>
      <c r="K15" s="226"/>
      <c r="L15" s="226"/>
      <c r="M15" s="342" t="str">
        <f t="shared" si="0"/>
        <v>Complete</v>
      </c>
      <c r="N15" s="53"/>
      <c r="O15" s="53"/>
      <c r="P15" s="53"/>
      <c r="Q15" s="438"/>
    </row>
    <row r="16" spans="1:17" ht="15.75" x14ac:dyDescent="0.25">
      <c r="A16" s="144"/>
      <c r="B16" s="106"/>
      <c r="C16" s="229">
        <v>5</v>
      </c>
      <c r="D16" s="80"/>
      <c r="E16" s="647">
        <v>0</v>
      </c>
      <c r="F16" s="80"/>
      <c r="G16" s="648">
        <f>Data!I147</f>
        <v>3.6999999999999998E-2</v>
      </c>
      <c r="H16" s="80"/>
      <c r="I16" s="649">
        <v>1</v>
      </c>
      <c r="J16" s="81"/>
      <c r="K16" s="226"/>
      <c r="L16" s="226"/>
      <c r="M16" s="342" t="str">
        <f t="shared" si="0"/>
        <v>Complete</v>
      </c>
      <c r="N16" s="53"/>
      <c r="O16" s="53"/>
      <c r="P16" s="53"/>
      <c r="Q16" s="438"/>
    </row>
    <row r="17" spans="1:17" ht="15.75" x14ac:dyDescent="0.25">
      <c r="A17" s="144"/>
      <c r="B17" s="106"/>
      <c r="C17" s="229">
        <v>6</v>
      </c>
      <c r="D17" s="80"/>
      <c r="E17" s="647">
        <v>0</v>
      </c>
      <c r="F17" s="80"/>
      <c r="G17" s="648">
        <f>Data!J147</f>
        <v>3.6999999999999998E-2</v>
      </c>
      <c r="H17" s="80"/>
      <c r="I17" s="649">
        <v>1</v>
      </c>
      <c r="J17" s="81"/>
      <c r="K17" s="226"/>
      <c r="L17" s="226"/>
      <c r="M17" s="342" t="str">
        <f t="shared" si="0"/>
        <v>Complete</v>
      </c>
      <c r="N17" s="53"/>
      <c r="O17" s="53"/>
      <c r="P17" s="53"/>
      <c r="Q17" s="438"/>
    </row>
    <row r="18" spans="1:17" ht="6" customHeight="1" x14ac:dyDescent="0.25">
      <c r="A18" s="144"/>
      <c r="B18" s="106"/>
      <c r="C18" s="80"/>
      <c r="D18" s="80"/>
      <c r="E18" s="80"/>
      <c r="F18" s="80"/>
      <c r="G18" s="80"/>
      <c r="H18" s="80"/>
      <c r="I18" s="80"/>
      <c r="J18" s="81"/>
      <c r="K18" s="56"/>
      <c r="L18" s="53"/>
      <c r="M18" s="53"/>
      <c r="N18" s="53"/>
      <c r="O18" s="53"/>
      <c r="P18" s="53"/>
      <c r="Q18" s="53"/>
    </row>
    <row r="19" spans="1:17" ht="15.75" x14ac:dyDescent="0.25">
      <c r="A19" s="144"/>
      <c r="B19" s="106"/>
      <c r="C19" s="229" t="s">
        <v>420</v>
      </c>
      <c r="D19" s="80"/>
      <c r="E19" s="650">
        <f>SUM(E11:E17)</f>
        <v>0</v>
      </c>
      <c r="F19" s="80"/>
      <c r="G19" s="229"/>
      <c r="H19" s="80"/>
      <c r="I19" s="651">
        <f>IF(ISERROR(SUMPRODUCT($E$11:$E$17,$G$11:$G$17,$I$11:$I$17)/SUMPRODUCT($E$11:$E$17,$G$11:$G$17)),0,SUMPRODUCT($E$11:$E$17,$G$11:$G$17,$I$11:$I$17)/SUMPRODUCT($E$11:$E$17,$G$11:$G$17))</f>
        <v>0</v>
      </c>
      <c r="J19" s="81"/>
      <c r="K19" s="226"/>
      <c r="L19" s="226"/>
      <c r="M19" s="53"/>
      <c r="N19" s="53"/>
      <c r="O19" s="53"/>
      <c r="P19" s="53"/>
      <c r="Q19" s="438"/>
    </row>
    <row r="20" spans="1:17" ht="6" customHeight="1" thickBot="1" x14ac:dyDescent="0.3">
      <c r="A20" s="144"/>
      <c r="B20" s="110"/>
      <c r="C20" s="93"/>
      <c r="D20" s="93"/>
      <c r="E20" s="93"/>
      <c r="F20" s="93"/>
      <c r="G20" s="93"/>
      <c r="H20" s="93"/>
      <c r="I20" s="93"/>
      <c r="J20" s="94"/>
      <c r="K20" s="56"/>
      <c r="L20" s="53"/>
      <c r="M20" s="53"/>
      <c r="N20" s="53"/>
      <c r="O20" s="53"/>
      <c r="P20" s="53"/>
      <c r="Q20" s="53"/>
    </row>
    <row r="21" spans="1:17" ht="16.5" thickBot="1" x14ac:dyDescent="0.3">
      <c r="A21" s="144"/>
      <c r="B21" s="226"/>
      <c r="C21" s="230"/>
      <c r="D21" s="226"/>
      <c r="E21" s="226"/>
      <c r="F21" s="226"/>
      <c r="G21" s="226"/>
      <c r="H21" s="226"/>
      <c r="I21" s="226"/>
      <c r="J21" s="226"/>
      <c r="K21" s="226"/>
      <c r="L21" s="226"/>
      <c r="M21" s="226"/>
      <c r="N21" s="53"/>
      <c r="O21" s="53"/>
      <c r="P21" s="53"/>
      <c r="Q21" s="53"/>
    </row>
    <row r="22" spans="1:17" ht="16.5" thickBot="1" x14ac:dyDescent="0.3">
      <c r="A22" s="144"/>
      <c r="B22" s="126"/>
      <c r="C22" s="127" t="s">
        <v>421</v>
      </c>
      <c r="D22" s="127"/>
      <c r="E22" s="127"/>
      <c r="F22" s="127"/>
      <c r="G22" s="127"/>
      <c r="H22" s="165"/>
      <c r="I22" s="127"/>
      <c r="J22" s="227"/>
      <c r="K22" s="59"/>
      <c r="L22" s="59"/>
      <c r="M22" s="226"/>
      <c r="N22" s="53"/>
      <c r="O22" s="226"/>
      <c r="P22" s="226"/>
      <c r="Q22" s="53"/>
    </row>
    <row r="23" spans="1:17" ht="6" customHeight="1" x14ac:dyDescent="0.25">
      <c r="A23" s="144"/>
      <c r="B23" s="231"/>
      <c r="C23" s="131"/>
      <c r="D23" s="131"/>
      <c r="E23" s="131"/>
      <c r="F23" s="131"/>
      <c r="G23" s="131"/>
      <c r="H23" s="131"/>
      <c r="I23" s="80"/>
      <c r="J23" s="81"/>
      <c r="K23" s="56"/>
      <c r="L23" s="53"/>
      <c r="M23" s="53"/>
      <c r="N23" s="53"/>
      <c r="O23" s="53"/>
      <c r="P23" s="53"/>
      <c r="Q23" s="53"/>
    </row>
    <row r="24" spans="1:17" ht="47.25" x14ac:dyDescent="0.25">
      <c r="A24" s="144"/>
      <c r="B24" s="228"/>
      <c r="C24" s="644"/>
      <c r="D24" s="644"/>
      <c r="E24" s="645" t="s">
        <v>422</v>
      </c>
      <c r="F24" s="644"/>
      <c r="G24" s="644" t="s">
        <v>408</v>
      </c>
      <c r="H24" s="644"/>
      <c r="I24" s="645" t="s">
        <v>419</v>
      </c>
      <c r="J24" s="646"/>
      <c r="K24" s="232"/>
      <c r="L24" s="232"/>
      <c r="M24" s="226"/>
      <c r="N24" s="53"/>
      <c r="O24" s="226"/>
      <c r="P24" s="226"/>
      <c r="Q24" s="53"/>
    </row>
    <row r="25" spans="1:17" ht="6" customHeight="1" x14ac:dyDescent="0.25">
      <c r="A25" s="144"/>
      <c r="B25" s="106"/>
      <c r="C25" s="80"/>
      <c r="D25" s="80"/>
      <c r="E25" s="80"/>
      <c r="F25" s="80"/>
      <c r="G25" s="80"/>
      <c r="H25" s="80"/>
      <c r="I25" s="80"/>
      <c r="J25" s="81"/>
      <c r="K25" s="56"/>
      <c r="L25" s="53"/>
      <c r="M25" s="226"/>
      <c r="N25" s="53"/>
      <c r="O25" s="53"/>
      <c r="P25" s="53"/>
      <c r="Q25" s="53"/>
    </row>
    <row r="26" spans="1:17" ht="15.75" x14ac:dyDescent="0.25">
      <c r="A26" s="144"/>
      <c r="B26" s="106"/>
      <c r="C26" s="229" t="s">
        <v>423</v>
      </c>
      <c r="D26" s="154"/>
      <c r="E26" s="647">
        <v>0</v>
      </c>
      <c r="F26" s="80"/>
      <c r="G26" s="648">
        <v>1.4999999999999999E-2</v>
      </c>
      <c r="H26" s="80"/>
      <c r="I26" s="649">
        <v>1</v>
      </c>
      <c r="J26" s="81"/>
      <c r="K26" s="226"/>
      <c r="L26" s="226"/>
      <c r="M26" s="342" t="str">
        <f t="shared" ref="M26" si="1">IF(OR(E26="",I26="",I26&lt;0.99),"Incomplete","Complete")</f>
        <v>Complete</v>
      </c>
      <c r="N26" s="53"/>
      <c r="O26" s="226"/>
      <c r="P26" s="226"/>
      <c r="Q26" s="53"/>
    </row>
    <row r="27" spans="1:17" ht="6" customHeight="1" thickBot="1" x14ac:dyDescent="0.3">
      <c r="A27" s="144"/>
      <c r="B27" s="110"/>
      <c r="C27" s="233"/>
      <c r="D27" s="93"/>
      <c r="E27" s="93"/>
      <c r="F27" s="93"/>
      <c r="G27" s="93"/>
      <c r="H27" s="93"/>
      <c r="I27" s="93"/>
      <c r="J27" s="94"/>
      <c r="K27" s="56"/>
      <c r="L27" s="53"/>
      <c r="M27" s="226"/>
      <c r="N27" s="53"/>
      <c r="O27" s="53"/>
      <c r="P27" s="53"/>
      <c r="Q27" s="53"/>
    </row>
    <row r="28" spans="1:17" ht="16.5" thickBot="1" x14ac:dyDescent="0.3">
      <c r="A28" s="144"/>
      <c r="B28" s="234"/>
      <c r="C28" s="226"/>
      <c r="D28" s="226"/>
      <c r="E28" s="226"/>
      <c r="F28" s="226"/>
      <c r="G28" s="226"/>
      <c r="H28" s="226"/>
      <c r="I28" s="53"/>
      <c r="J28" s="53"/>
      <c r="K28" s="226"/>
      <c r="L28" s="226"/>
      <c r="M28" s="226"/>
      <c r="N28" s="53"/>
      <c r="O28" s="53"/>
      <c r="P28" s="53"/>
      <c r="Q28" s="53"/>
    </row>
    <row r="29" spans="1:17" ht="31.5" x14ac:dyDescent="0.25">
      <c r="A29" s="144"/>
      <c r="B29" s="187"/>
      <c r="C29" s="68" t="s">
        <v>424</v>
      </c>
      <c r="D29" s="68"/>
      <c r="E29" s="350" t="s">
        <v>425</v>
      </c>
      <c r="F29" s="350"/>
      <c r="G29" s="350" t="s">
        <v>426</v>
      </c>
      <c r="H29" s="69"/>
      <c r="I29" s="350" t="s">
        <v>427</v>
      </c>
      <c r="J29" s="351"/>
      <c r="K29" s="235"/>
      <c r="L29" s="226"/>
      <c r="M29" s="226"/>
      <c r="N29" s="53"/>
      <c r="O29" s="53"/>
      <c r="P29" s="53"/>
      <c r="Q29" s="53"/>
    </row>
    <row r="30" spans="1:17" ht="16.5" thickBot="1" x14ac:dyDescent="0.3">
      <c r="A30" s="144"/>
      <c r="B30" s="236"/>
      <c r="C30" s="74"/>
      <c r="D30" s="74"/>
      <c r="E30" s="75" t="s">
        <v>164</v>
      </c>
      <c r="F30" s="237"/>
      <c r="G30" s="75" t="s">
        <v>164</v>
      </c>
      <c r="H30" s="148"/>
      <c r="I30" s="75" t="s">
        <v>164</v>
      </c>
      <c r="J30" s="238"/>
      <c r="K30" s="235"/>
      <c r="L30" s="226"/>
      <c r="M30" s="226"/>
      <c r="N30" s="53"/>
      <c r="O30" s="53"/>
      <c r="P30" s="53"/>
      <c r="Q30" s="53"/>
    </row>
    <row r="31" spans="1:17" ht="6" customHeight="1" x14ac:dyDescent="0.25">
      <c r="A31" s="144"/>
      <c r="B31" s="106"/>
      <c r="C31" s="80"/>
      <c r="D31" s="80"/>
      <c r="E31" s="80"/>
      <c r="F31" s="80"/>
      <c r="G31" s="80"/>
      <c r="H31" s="80"/>
      <c r="I31" s="80"/>
      <c r="J31" s="81"/>
      <c r="K31" s="56"/>
      <c r="L31" s="53"/>
      <c r="M31" s="53"/>
      <c r="N31" s="53"/>
      <c r="O31" s="53"/>
      <c r="P31" s="53"/>
      <c r="Q31" s="53"/>
    </row>
    <row r="32" spans="1:17" ht="15.75" x14ac:dyDescent="0.25">
      <c r="A32" s="144"/>
      <c r="B32" s="106"/>
      <c r="C32" s="361" t="s">
        <v>428</v>
      </c>
      <c r="D32" s="80"/>
      <c r="E32" s="626">
        <f>'RBS - Assets'!F22</f>
        <v>0</v>
      </c>
      <c r="F32" s="85"/>
      <c r="G32" s="626">
        <f>E32</f>
        <v>0</v>
      </c>
      <c r="H32" s="85"/>
      <c r="I32" s="626">
        <f>G32-E32</f>
        <v>0</v>
      </c>
      <c r="J32" s="81"/>
      <c r="K32" s="226"/>
      <c r="L32" s="226"/>
      <c r="M32" s="158"/>
      <c r="N32" s="53"/>
      <c r="O32" s="53"/>
      <c r="P32" s="53"/>
      <c r="Q32" s="53"/>
    </row>
    <row r="33" spans="1:17" ht="15.75" x14ac:dyDescent="0.25">
      <c r="A33" s="144"/>
      <c r="B33" s="106"/>
      <c r="C33" s="361" t="s">
        <v>429</v>
      </c>
      <c r="D33" s="80"/>
      <c r="E33" s="626">
        <f>SUM('RBS - Assets'!F24,'RBS - Assets'!F40,'RBS - Assets'!F65)*(1-'Spread Risk'!E26)</f>
        <v>0</v>
      </c>
      <c r="F33" s="85"/>
      <c r="G33" s="626">
        <f>E33-E33*SUMPRODUCT(E11:E17,G11:G17,I11:I17)</f>
        <v>0</v>
      </c>
      <c r="H33" s="85"/>
      <c r="I33" s="626">
        <f>G33-E33</f>
        <v>0</v>
      </c>
      <c r="J33" s="81"/>
      <c r="K33" s="226"/>
      <c r="L33" s="226"/>
      <c r="M33" s="158"/>
      <c r="N33" s="53"/>
      <c r="O33" s="53"/>
      <c r="P33" s="53"/>
      <c r="Q33" s="53"/>
    </row>
    <row r="34" spans="1:17" ht="15.75" x14ac:dyDescent="0.25">
      <c r="A34" s="144"/>
      <c r="B34" s="106"/>
      <c r="C34" s="361" t="s">
        <v>430</v>
      </c>
      <c r="D34" s="80"/>
      <c r="E34" s="626">
        <f>SUM('RBS - Assets'!F24,'RBS - Assets'!F40,'RBS - Assets'!F65)*'Spread Risk'!E26</f>
        <v>0</v>
      </c>
      <c r="F34" s="85"/>
      <c r="G34" s="626">
        <f>E34-E34*MIN(G26*I26,1)</f>
        <v>0</v>
      </c>
      <c r="H34" s="85"/>
      <c r="I34" s="626">
        <f>G34-E34</f>
        <v>0</v>
      </c>
      <c r="J34" s="81"/>
      <c r="K34" s="226"/>
      <c r="L34" s="226"/>
      <c r="M34" s="158"/>
      <c r="N34" s="53"/>
      <c r="O34" s="53"/>
      <c r="P34" s="53"/>
      <c r="Q34" s="53"/>
    </row>
    <row r="35" spans="1:17" ht="6" customHeight="1" x14ac:dyDescent="0.25">
      <c r="A35" s="144"/>
      <c r="B35" s="106"/>
      <c r="C35" s="80"/>
      <c r="D35" s="80"/>
      <c r="E35" s="85"/>
      <c r="F35" s="85"/>
      <c r="G35" s="85"/>
      <c r="H35" s="85"/>
      <c r="I35" s="85"/>
      <c r="J35" s="81"/>
      <c r="K35" s="56"/>
      <c r="L35" s="53"/>
      <c r="M35" s="53"/>
      <c r="N35" s="53"/>
      <c r="O35" s="53"/>
      <c r="P35" s="53"/>
      <c r="Q35" s="53"/>
    </row>
    <row r="36" spans="1:17" ht="15.75" x14ac:dyDescent="0.25">
      <c r="A36" s="144"/>
      <c r="B36" s="106"/>
      <c r="C36" s="361" t="s">
        <v>431</v>
      </c>
      <c r="D36" s="80"/>
      <c r="E36" s="626">
        <f>SUM(E32:E34)</f>
        <v>0</v>
      </c>
      <c r="F36" s="85"/>
      <c r="G36" s="626">
        <f>SUM(G32:G34)</f>
        <v>0</v>
      </c>
      <c r="H36" s="85"/>
      <c r="I36" s="626">
        <f>SUM(I32:I34)</f>
        <v>0</v>
      </c>
      <c r="J36" s="81"/>
      <c r="K36" s="226"/>
      <c r="L36" s="226"/>
      <c r="M36" s="226"/>
      <c r="N36" s="53"/>
      <c r="O36" s="53"/>
      <c r="P36" s="53"/>
      <c r="Q36" s="53"/>
    </row>
    <row r="37" spans="1:17" ht="6" customHeight="1" thickBot="1" x14ac:dyDescent="0.3">
      <c r="A37" s="144"/>
      <c r="B37" s="110"/>
      <c r="C37" s="93"/>
      <c r="D37" s="93"/>
      <c r="E37" s="93"/>
      <c r="F37" s="93"/>
      <c r="G37" s="93"/>
      <c r="H37" s="93"/>
      <c r="I37" s="93"/>
      <c r="J37" s="94"/>
      <c r="K37" s="56"/>
      <c r="L37" s="53"/>
      <c r="M37" s="53"/>
      <c r="N37" s="53"/>
      <c r="O37" s="53"/>
      <c r="P37" s="53"/>
      <c r="Q37" s="53"/>
    </row>
    <row r="38" spans="1:17" ht="15.75" x14ac:dyDescent="0.25">
      <c r="A38" s="144"/>
      <c r="B38" s="369"/>
      <c r="C38" s="370"/>
      <c r="D38" s="369"/>
      <c r="E38" s="369"/>
      <c r="F38" s="369"/>
      <c r="G38" s="369"/>
      <c r="H38" s="369"/>
      <c r="I38" s="369"/>
      <c r="J38" s="369"/>
      <c r="K38" s="226"/>
      <c r="L38" s="226"/>
      <c r="M38" s="226"/>
      <c r="N38" s="53"/>
      <c r="O38" s="53"/>
      <c r="P38" s="53"/>
      <c r="Q38" s="53"/>
    </row>
  </sheetData>
  <sheetProtection algorithmName="SHA-512" hashValue="TUzzjIHefM9HAQdJ1C+X+HlwrXCXgwVKhSPI8xMqLdlIVHDL7YhyAAsGRbyY7ZP4erfL7/wJfltD4lvAo5MHsg==" saltValue="M/LCUPb2iKDhinVQo/Ny9w==" spinCount="100000" sheet="1" objects="1" scenarios="1"/>
  <customSheetViews>
    <customSheetView guid="{5F9ED89D-ECFA-4459-A055-6360C65F3370}" showGridLines="0" fitToPage="1">
      <selection activeCell="D31" sqref="D31"/>
      <pageMargins left="0" right="0" top="0" bottom="0" header="0" footer="0"/>
      <pageSetup paperSize="9" scale="84" orientation="portrait" r:id="rId1"/>
      <headerFooter>
        <oddFooter>&amp;CDRAFT - FOR DISCUSSION PURPOSES ONLY</oddFooter>
      </headerFooter>
    </customSheetView>
  </customSheetViews>
  <mergeCells count="1">
    <mergeCell ref="C5:L5"/>
  </mergeCells>
  <conditionalFormatting sqref="I1:J2">
    <cfRule type="cellIs" dxfId="617" priority="31" operator="equal">
      <formula>"May be incomplete"</formula>
    </cfRule>
    <cfRule type="cellIs" dxfId="616" priority="32" operator="equal">
      <formula>"N/A"</formula>
    </cfRule>
    <cfRule type="cellIs" dxfId="615" priority="33" operator="equal">
      <formula>"Complete"</formula>
    </cfRule>
    <cfRule type="cellIs" dxfId="614" priority="34" operator="equal">
      <formula>"Incomplete"</formula>
    </cfRule>
  </conditionalFormatting>
  <conditionalFormatting sqref="M2">
    <cfRule type="cellIs" dxfId="613" priority="19" operator="equal">
      <formula>"OK"</formula>
    </cfRule>
    <cfRule type="cellIs" dxfId="612" priority="20" operator="equal">
      <formula>"ERROR"</formula>
    </cfRule>
  </conditionalFormatting>
  <conditionalFormatting sqref="M6">
    <cfRule type="cellIs" dxfId="611" priority="11" operator="equal">
      <formula>"Complete"</formula>
    </cfRule>
    <cfRule type="cellIs" dxfId="610" priority="12" operator="equal">
      <formula>"Incomplete"</formula>
    </cfRule>
  </conditionalFormatting>
  <conditionalFormatting sqref="M11:M17">
    <cfRule type="cellIs" dxfId="609" priority="3" operator="equal">
      <formula>"Complete"</formula>
    </cfRule>
    <cfRule type="cellIs" dxfId="608" priority="4" operator="equal">
      <formula>"Incomplete"</formula>
    </cfRule>
  </conditionalFormatting>
  <conditionalFormatting sqref="M26">
    <cfRule type="cellIs" dxfId="607" priority="1" operator="equal">
      <formula>"Complete"</formula>
    </cfRule>
    <cfRule type="cellIs" dxfId="606" priority="2" operator="equal">
      <formula>"Incomplete"</formula>
    </cfRule>
  </conditionalFormatting>
  <conditionalFormatting sqref="M32:M34">
    <cfRule type="cellIs" dxfId="605" priority="15" operator="equal">
      <formula>"OK"</formula>
    </cfRule>
    <cfRule type="cellIs" dxfId="604" priority="16" operator="equal">
      <formula>"ERROR"</formula>
    </cfRule>
  </conditionalFormatting>
  <dataValidations count="5">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30 G30 I30" xr:uid="{00000000-0002-0000-0F00-000000000000}"/>
    <dataValidation allowBlank="1" showErrorMessage="1" prompt="Enter the percentage of the market value of credit-risky assets which are rated in each of the given credit quality steps.  The sum of entries in cells E10:E16 and E25 must be 100%." sqref="E26 E11:E17" xr:uid="{00000000-0002-0000-0F00-000001000000}"/>
    <dataValidation allowBlank="1" showInputMessage="1" showErrorMessage="1" prompt="The sum of entries in cells E11:E17 and E26 must be 100%." sqref="E9 E24" xr:uid="{00000000-0002-0000-0F00-000002000000}"/>
    <dataValidation allowBlank="1" showErrorMessage="1" prompt="Average duration, in years." sqref="I9 I24" xr:uid="{00000000-0002-0000-0F00-000003000000}"/>
    <dataValidation type="custom" allowBlank="1" showErrorMessage="1" error="Cannot be &lt;1" prompt="Input the average duration, in years, of credit-risky assets in each credit quality step and unrated assets." sqref="I11:I17 I26" xr:uid="{00000000-0002-0000-0F00-000004000000}">
      <formula1>I11&gt;0.999999999999</formula1>
    </dataValidation>
  </dataValidations>
  <pageMargins left="0.70866141732283472" right="0.70866141732283472" top="0.74803149606299213" bottom="0.74803149606299213" header="0.31496062992125984" footer="0.31496062992125984"/>
  <pageSetup paperSize="9" scale="87" orientation="portrait" r:id="rId2"/>
  <headerFooter>
    <oddFooter>&amp;CDRAFT - FOR DISCUSSION PURPOSES ONLY</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00B050"/>
    <pageSetUpPr fitToPage="1"/>
  </sheetPr>
  <dimension ref="A1:Z25"/>
  <sheetViews>
    <sheetView workbookViewId="0"/>
  </sheetViews>
  <sheetFormatPr defaultColWidth="0" defaultRowHeight="14.25" zeroHeight="1" x14ac:dyDescent="0.2"/>
  <cols>
    <col min="1" max="1" width="1.875" customWidth="1"/>
    <col min="2" max="2" width="27.875" customWidth="1"/>
    <col min="3" max="3" width="1.875" customWidth="1"/>
    <col min="4" max="4" width="18.375" customWidth="1"/>
    <col min="5" max="5" width="1.875" customWidth="1"/>
    <col min="6" max="6" width="18.875" customWidth="1"/>
    <col min="7" max="7" width="1.875" customWidth="1"/>
    <col min="8" max="8" width="9" customWidth="1"/>
    <col min="9" max="9" width="8.5" customWidth="1"/>
    <col min="10" max="10" width="1.875" customWidth="1"/>
    <col min="11" max="11" width="9" bestFit="1" customWidth="1"/>
    <col min="12" max="12" width="1.875" customWidth="1"/>
    <col min="13" max="26" width="9" hidden="1"/>
  </cols>
  <sheetData>
    <row r="1" spans="1:12" ht="15.75" x14ac:dyDescent="0.25">
      <c r="A1" s="59">
        <v>1</v>
      </c>
      <c r="B1" s="59"/>
      <c r="C1" s="60"/>
      <c r="D1" s="60"/>
      <c r="E1" s="60"/>
      <c r="F1" s="60"/>
      <c r="G1" s="60"/>
      <c r="H1" s="60"/>
      <c r="I1" s="60"/>
      <c r="J1" s="59"/>
      <c r="K1" s="60"/>
      <c r="L1" s="59"/>
    </row>
    <row r="2" spans="1:12" ht="21" customHeight="1" x14ac:dyDescent="0.25">
      <c r="A2" s="60"/>
      <c r="B2" s="60"/>
      <c r="C2" s="60"/>
      <c r="D2" s="60"/>
      <c r="E2" s="60"/>
      <c r="F2" s="52" t="s">
        <v>50</v>
      </c>
      <c r="G2" s="60"/>
      <c r="H2" s="60"/>
      <c r="I2" s="60"/>
      <c r="J2" s="60"/>
      <c r="K2" s="61"/>
      <c r="L2" s="60"/>
    </row>
    <row r="3" spans="1:12" ht="15.75" x14ac:dyDescent="0.25">
      <c r="A3" s="53"/>
      <c r="B3" s="53"/>
      <c r="C3" s="53"/>
      <c r="D3" s="53"/>
      <c r="E3" s="53"/>
      <c r="F3" s="53"/>
      <c r="G3" s="53"/>
      <c r="H3" s="53"/>
      <c r="I3" s="53"/>
      <c r="J3" s="53"/>
      <c r="K3" s="53"/>
      <c r="L3" s="53"/>
    </row>
    <row r="4" spans="1:12" ht="16.5" thickBot="1" x14ac:dyDescent="0.3">
      <c r="A4" s="53"/>
      <c r="B4" s="53"/>
      <c r="C4" s="53"/>
      <c r="D4" s="53"/>
      <c r="E4" s="53"/>
      <c r="F4" s="53"/>
      <c r="G4" s="53"/>
      <c r="H4" s="53"/>
      <c r="I4" s="334" t="str">
        <f>IF(COUNTIF(I8:I25,"Incomplete")&gt;0,"Incomplete","Complete")</f>
        <v>Complete</v>
      </c>
      <c r="J4" s="53"/>
      <c r="K4" s="53"/>
      <c r="L4" s="53"/>
    </row>
    <row r="5" spans="1:12" ht="16.5" thickBot="1" x14ac:dyDescent="0.3">
      <c r="A5" s="53"/>
      <c r="B5" s="163" t="s">
        <v>50</v>
      </c>
      <c r="C5" s="194"/>
      <c r="D5" s="194"/>
      <c r="E5" s="164"/>
      <c r="F5" s="239" t="s">
        <v>164</v>
      </c>
      <c r="G5" s="166"/>
      <c r="H5" s="53"/>
      <c r="I5" s="53"/>
      <c r="J5" s="53"/>
      <c r="K5" s="53"/>
      <c r="L5" s="53"/>
    </row>
    <row r="6" spans="1:12" ht="6" customHeight="1" x14ac:dyDescent="0.25">
      <c r="A6" s="53"/>
      <c r="B6" s="106"/>
      <c r="C6" s="80"/>
      <c r="D6" s="80"/>
      <c r="E6" s="80"/>
      <c r="F6" s="80"/>
      <c r="G6" s="81"/>
      <c r="H6" s="53"/>
      <c r="I6" s="53"/>
      <c r="J6" s="53"/>
      <c r="K6" s="53"/>
      <c r="L6" s="53"/>
    </row>
    <row r="7" spans="1:12" ht="15.75" x14ac:dyDescent="0.25">
      <c r="A7" s="53"/>
      <c r="B7" s="106" t="s">
        <v>432</v>
      </c>
      <c r="C7" s="80"/>
      <c r="D7" s="85"/>
      <c r="E7" s="85"/>
      <c r="F7" s="626">
        <f>SUM(D19:D20)</f>
        <v>0</v>
      </c>
      <c r="G7" s="81"/>
      <c r="H7" s="53"/>
      <c r="I7" s="53"/>
      <c r="J7" s="53"/>
      <c r="K7" s="53"/>
      <c r="L7" s="53"/>
    </row>
    <row r="8" spans="1:12" ht="6" customHeight="1" x14ac:dyDescent="0.25">
      <c r="A8" s="53"/>
      <c r="B8" s="106"/>
      <c r="C8" s="80"/>
      <c r="D8" s="85"/>
      <c r="E8" s="85"/>
      <c r="F8" s="201"/>
      <c r="G8" s="81"/>
      <c r="H8" s="53"/>
      <c r="I8" s="53"/>
      <c r="J8" s="53"/>
      <c r="K8" s="53"/>
      <c r="L8" s="53"/>
    </row>
    <row r="9" spans="1:12" ht="15.75" x14ac:dyDescent="0.25">
      <c r="A9" s="53"/>
      <c r="B9" s="172" t="s">
        <v>387</v>
      </c>
      <c r="C9" s="80"/>
      <c r="D9" s="85"/>
      <c r="E9" s="240"/>
      <c r="F9" s="626">
        <f>D22-F7</f>
        <v>0</v>
      </c>
      <c r="G9" s="81"/>
      <c r="H9" s="53"/>
      <c r="I9" s="53"/>
      <c r="J9" s="53"/>
      <c r="K9" s="66"/>
      <c r="L9" s="53"/>
    </row>
    <row r="10" spans="1:12" ht="6" customHeight="1" x14ac:dyDescent="0.25">
      <c r="A10" s="53"/>
      <c r="B10" s="106"/>
      <c r="C10" s="80"/>
      <c r="D10" s="85"/>
      <c r="E10" s="85"/>
      <c r="F10" s="201"/>
      <c r="G10" s="81"/>
      <c r="H10" s="53"/>
      <c r="I10" s="53"/>
      <c r="J10" s="53"/>
      <c r="K10" s="53"/>
      <c r="L10" s="53"/>
    </row>
    <row r="11" spans="1:12" ht="15.75" x14ac:dyDescent="0.25">
      <c r="A11" s="53"/>
      <c r="B11" s="172" t="s">
        <v>382</v>
      </c>
      <c r="C11" s="80"/>
      <c r="D11" s="85"/>
      <c r="E11" s="240"/>
      <c r="F11" s="626">
        <f>SUM(F7,F9)</f>
        <v>0</v>
      </c>
      <c r="G11" s="81"/>
      <c r="H11" s="53"/>
      <c r="I11" s="53"/>
      <c r="J11" s="53"/>
      <c r="K11" s="66"/>
      <c r="L11" s="53"/>
    </row>
    <row r="12" spans="1:12" ht="6" customHeight="1" thickBot="1" x14ac:dyDescent="0.3">
      <c r="A12" s="53"/>
      <c r="B12" s="110"/>
      <c r="C12" s="93"/>
      <c r="D12" s="134"/>
      <c r="E12" s="134"/>
      <c r="F12" s="134"/>
      <c r="G12" s="94"/>
      <c r="H12" s="53"/>
      <c r="I12" s="53"/>
      <c r="J12" s="53"/>
      <c r="K12" s="53"/>
      <c r="L12" s="53"/>
    </row>
    <row r="13" spans="1:12" ht="15.75" x14ac:dyDescent="0.25">
      <c r="A13" s="53"/>
      <c r="B13" s="53"/>
      <c r="C13" s="53"/>
      <c r="D13" s="109"/>
      <c r="E13" s="109"/>
      <c r="F13" s="109"/>
      <c r="G13" s="53"/>
      <c r="H13" s="53"/>
      <c r="I13" s="53"/>
      <c r="J13" s="53"/>
      <c r="K13" s="53"/>
      <c r="L13" s="53"/>
    </row>
    <row r="14" spans="1:12" ht="6" customHeight="1" x14ac:dyDescent="0.25">
      <c r="A14" s="53"/>
      <c r="B14" s="53"/>
      <c r="C14" s="53"/>
      <c r="D14" s="109"/>
      <c r="E14" s="109"/>
      <c r="F14" s="109"/>
      <c r="G14" s="53"/>
      <c r="H14" s="53"/>
      <c r="I14" s="53"/>
      <c r="J14" s="53"/>
      <c r="K14" s="53"/>
      <c r="L14" s="53"/>
    </row>
    <row r="15" spans="1:12" ht="15" customHeight="1" thickBot="1" x14ac:dyDescent="0.3">
      <c r="A15" s="53"/>
      <c r="B15" s="120"/>
      <c r="C15" s="53"/>
      <c r="D15" s="109"/>
      <c r="E15" s="109"/>
      <c r="F15" s="109"/>
      <c r="G15" s="53"/>
      <c r="H15" s="53"/>
      <c r="I15" s="53"/>
      <c r="J15" s="53"/>
      <c r="K15" s="53"/>
      <c r="L15" s="53"/>
    </row>
    <row r="16" spans="1:12" ht="15" customHeight="1" x14ac:dyDescent="0.25">
      <c r="A16" s="53"/>
      <c r="B16" s="838" t="s">
        <v>50</v>
      </c>
      <c r="C16" s="857"/>
      <c r="D16" s="360" t="s">
        <v>391</v>
      </c>
      <c r="E16" s="859"/>
      <c r="F16" s="109"/>
      <c r="G16" s="53"/>
      <c r="H16" s="53"/>
      <c r="I16" s="53"/>
      <c r="J16" s="53"/>
      <c r="K16" s="53"/>
      <c r="L16" s="53"/>
    </row>
    <row r="17" spans="1:12" ht="15" customHeight="1" thickBot="1" x14ac:dyDescent="0.3">
      <c r="A17" s="53"/>
      <c r="B17" s="839"/>
      <c r="C17" s="858"/>
      <c r="D17" s="75" t="s">
        <v>164</v>
      </c>
      <c r="E17" s="860"/>
      <c r="F17" s="109"/>
      <c r="G17" s="53"/>
      <c r="H17" s="53"/>
      <c r="I17" s="53"/>
      <c r="J17" s="53"/>
      <c r="K17" s="53"/>
      <c r="L17" s="53"/>
    </row>
    <row r="18" spans="1:12" ht="6" customHeight="1" x14ac:dyDescent="0.25">
      <c r="A18" s="53"/>
      <c r="B18" s="106"/>
      <c r="C18" s="150"/>
      <c r="D18" s="85"/>
      <c r="E18" s="108"/>
      <c r="F18" s="109"/>
      <c r="G18" s="53"/>
      <c r="H18" s="53"/>
      <c r="I18" s="53"/>
      <c r="J18" s="53"/>
      <c r="K18" s="53"/>
      <c r="L18" s="53"/>
    </row>
    <row r="19" spans="1:12" ht="15.75" x14ac:dyDescent="0.25">
      <c r="A19" s="53"/>
      <c r="B19" s="190" t="s">
        <v>433</v>
      </c>
      <c r="C19" s="150"/>
      <c r="D19" s="759">
        <v>0</v>
      </c>
      <c r="E19" s="108"/>
      <c r="F19" s="241"/>
      <c r="G19" s="53"/>
      <c r="H19" s="53"/>
      <c r="I19" s="334" t="str">
        <f>IF(OR(SCR_Def_1_10=""),"Incomplete","Complete")</f>
        <v>Complete</v>
      </c>
      <c r="J19" s="53"/>
      <c r="K19" s="66"/>
      <c r="L19" s="53"/>
    </row>
    <row r="20" spans="1:12" ht="15.75" x14ac:dyDescent="0.25">
      <c r="A20" s="53"/>
      <c r="B20" s="190" t="s">
        <v>434</v>
      </c>
      <c r="C20" s="150"/>
      <c r="D20" s="759">
        <v>0</v>
      </c>
      <c r="E20" s="108"/>
      <c r="F20" s="241"/>
      <c r="G20" s="53"/>
      <c r="H20" s="53"/>
      <c r="I20" s="334" t="str">
        <f>IF(OR(SCR_Def_2_10=""),"Incomplete","Complete")</f>
        <v>Complete</v>
      </c>
      <c r="J20" s="53"/>
      <c r="K20" s="66"/>
      <c r="L20" s="53"/>
    </row>
    <row r="21" spans="1:12" ht="6" customHeight="1" x14ac:dyDescent="0.25">
      <c r="A21" s="53"/>
      <c r="B21" s="202"/>
      <c r="C21" s="150"/>
      <c r="D21" s="85"/>
      <c r="E21" s="108"/>
      <c r="F21" s="109"/>
      <c r="G21" s="53"/>
      <c r="H21" s="53"/>
      <c r="I21" s="53"/>
      <c r="J21" s="53"/>
      <c r="K21" s="53"/>
      <c r="L21" s="53"/>
    </row>
    <row r="22" spans="1:12" ht="15.75" x14ac:dyDescent="0.25">
      <c r="A22" s="53"/>
      <c r="B22" s="172" t="s">
        <v>382</v>
      </c>
      <c r="C22" s="150"/>
      <c r="D22" s="626">
        <f t="array" ref="D22">IF(ISBLANK(D19:D20),0,SQRT(MMULT(MMULT(TRANSPOSE(D19:D20),DefaultCorr10),D19:D20)))</f>
        <v>0</v>
      </c>
      <c r="E22" s="108"/>
      <c r="F22" s="109"/>
      <c r="G22" s="53"/>
      <c r="H22" s="53"/>
      <c r="I22" s="53"/>
      <c r="J22" s="53"/>
      <c r="K22" s="66"/>
      <c r="L22" s="53"/>
    </row>
    <row r="23" spans="1:12" ht="6" customHeight="1" thickBot="1" x14ac:dyDescent="0.3">
      <c r="A23" s="53"/>
      <c r="B23" s="110"/>
      <c r="C23" s="159"/>
      <c r="D23" s="93"/>
      <c r="E23" s="94"/>
      <c r="F23" s="53"/>
      <c r="G23" s="53"/>
      <c r="H23" s="53"/>
      <c r="I23" s="53"/>
      <c r="J23" s="53"/>
      <c r="K23" s="53"/>
      <c r="L23" s="53"/>
    </row>
    <row r="24" spans="1:12" ht="15.75" x14ac:dyDescent="0.25">
      <c r="A24" s="53"/>
      <c r="B24" s="53"/>
      <c r="C24" s="53"/>
      <c r="D24" s="53"/>
      <c r="E24" s="53"/>
      <c r="F24" s="53"/>
      <c r="G24" s="53"/>
      <c r="H24" s="53"/>
      <c r="I24" s="53"/>
      <c r="J24" s="53"/>
      <c r="K24" s="53"/>
      <c r="L24" s="53"/>
    </row>
    <row r="25" spans="1:12" ht="6" customHeight="1" x14ac:dyDescent="0.25">
      <c r="A25" s="53"/>
      <c r="B25" s="53"/>
      <c r="C25" s="53"/>
      <c r="D25" s="53"/>
      <c r="E25" s="53"/>
      <c r="F25" s="53"/>
      <c r="G25" s="53"/>
      <c r="H25" s="53"/>
      <c r="I25" s="53"/>
      <c r="J25" s="53"/>
      <c r="K25" s="53"/>
      <c r="L25" s="53"/>
    </row>
  </sheetData>
  <sheetProtection algorithmName="SHA-512" hashValue="fe6aLZwRpZuh532oG7+sPRRWQW9UuBKA1adNSNEo7FyCvJYzn755eiaVWZ6g8gH/qbRfYv84HsbjUcmWRQTX2Q==" saltValue="8hYqKMyn1rNIZJpzeu2gQw==" spinCount="100000" sheet="1" objects="1" scenarios="1"/>
  <customSheetViews>
    <customSheetView guid="{5F9ED89D-ECFA-4459-A055-6360C65F3370}" scale="85" fitToPage="1" hiddenRows="1" hiddenColumns="1">
      <selection activeCell="F11" sqref="F11"/>
      <pageMargins left="0" right="0" top="0" bottom="0" header="0" footer="0"/>
      <pageSetup paperSize="9" orientation="portrait" r:id="rId1"/>
      <headerFooter>
        <oddFooter>&amp;CDRAFT - FOR DISCUSSION PURPOSES ONLY</oddFooter>
      </headerFooter>
    </customSheetView>
  </customSheetViews>
  <mergeCells count="3">
    <mergeCell ref="B16:B17"/>
    <mergeCell ref="C16:C17"/>
    <mergeCell ref="E16:E17"/>
  </mergeCells>
  <conditionalFormatting sqref="I4">
    <cfRule type="cellIs" dxfId="603" priority="5" operator="equal">
      <formula>"Complete"</formula>
    </cfRule>
    <cfRule type="cellIs" dxfId="602" priority="6" operator="equal">
      <formula>"Incomplete"</formula>
    </cfRule>
  </conditionalFormatting>
  <conditionalFormatting sqref="I19:I20">
    <cfRule type="cellIs" dxfId="601" priority="3" operator="equal">
      <formula>"Complete"</formula>
    </cfRule>
    <cfRule type="cellIs" dxfId="600" priority="4" operator="equal">
      <formula>"Incomplete"</formula>
    </cfRule>
  </conditionalFormatting>
  <conditionalFormatting sqref="K1:K25">
    <cfRule type="cellIs" dxfId="599" priority="7" operator="equal">
      <formula>"ZERO"</formula>
    </cfRule>
    <cfRule type="cellIs" dxfId="598" priority="8" operator="equal">
      <formula>"OK"</formula>
    </cfRule>
    <cfRule type="cellIs" dxfId="597" priority="9" operator="equal">
      <formula>"ERROR"</formula>
    </cfRule>
  </conditionalFormatting>
  <dataValidations count="5">
    <dataValidation allowBlank="1" showErrorMessage="1" promptTitle="Diversification" prompt="See TS(10) 2.5.2.1. for the calculation of the diversified capital requirement for counterparty default risk, hence the diversification benefit." sqref="E9" xr:uid="{00000000-0002-0000-1000-000000000000}"/>
    <dataValidation allowBlank="1" showErrorMessage="1" promptTitle="SCR Default" prompt="See TS(10) 2.5. for the calculation of the capital requirement for the counterparty default risk shock scenarios." sqref="E11" xr:uid="{00000000-0002-0000-1000-000001000000}"/>
    <dataValidation allowBlank="1" showInputMessage="1" showErrorMessage="1" prompt="Comes from cell E37 of the &quot;NLT_Helper_Counterparty_Default_Risk_Class_12&quot; workbook." sqref="D19" xr:uid="{00000000-0002-0000-1000-000002000000}"/>
    <dataValidation allowBlank="1" showInputMessage="1" showErrorMessage="1" prompt="Comes from cell E38 of the &quot;NLT_Helper_Counterparty_Default_Risk_Class_12&quot; workbook." sqref="D20" xr:uid="{00000000-0002-0000-10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17 F5" xr:uid="{00000000-0002-0000-1000-000004000000}"/>
  </dataValidations>
  <hyperlinks>
    <hyperlink ref="B11" location="Default" display="SCRdefault" xr:uid="{00000000-0004-0000-1000-000000000000}"/>
  </hyperlink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00B050"/>
    <pageSetUpPr fitToPage="1"/>
  </sheetPr>
  <dimension ref="A1:AV1532"/>
  <sheetViews>
    <sheetView workbookViewId="0">
      <selection activeCell="L26" sqref="L26"/>
    </sheetView>
  </sheetViews>
  <sheetFormatPr defaultColWidth="0" defaultRowHeight="14.25" zeroHeight="1" x14ac:dyDescent="0.2"/>
  <cols>
    <col min="1" max="1" width="1.875" customWidth="1"/>
    <col min="2" max="2" width="2.625" customWidth="1"/>
    <col min="3" max="3" width="46.125" customWidth="1"/>
    <col min="4" max="4" width="2" customWidth="1"/>
    <col min="5" max="5" width="2.625" bestFit="1" customWidth="1"/>
    <col min="6" max="6" width="1.875" customWidth="1"/>
    <col min="7" max="7" width="19.125" customWidth="1"/>
    <col min="8" max="8" width="1.875" customWidth="1"/>
    <col min="9" max="9" width="19.125" customWidth="1"/>
    <col min="10" max="10" width="1.875" customWidth="1"/>
    <col min="11" max="11" width="19.125" customWidth="1"/>
    <col min="12" max="12" width="1.875" customWidth="1"/>
    <col min="13" max="13" width="21" customWidth="1"/>
    <col min="14" max="14" width="1.875" customWidth="1"/>
    <col min="15" max="15" width="19.125" customWidth="1"/>
    <col min="16" max="16" width="1.875" customWidth="1"/>
    <col min="17" max="17" width="19.125" customWidth="1"/>
    <col min="18" max="18" width="1.875" customWidth="1"/>
    <col min="19" max="19" width="19" customWidth="1"/>
    <col min="20" max="20" width="25.625" customWidth="1"/>
    <col min="21" max="21" width="25.125" customWidth="1"/>
    <col min="22" max="22" width="1.875" customWidth="1"/>
    <col min="23" max="23" width="19.375" customWidth="1"/>
    <col min="24" max="25" width="1.875" customWidth="1"/>
    <col min="26" max="26" width="51.875" customWidth="1"/>
    <col min="27" max="28" width="1.875" customWidth="1"/>
    <col min="29" max="29" width="24.375" customWidth="1"/>
    <col min="30" max="30" width="18.625" customWidth="1"/>
    <col min="31" max="31" width="9" customWidth="1"/>
    <col min="32" max="32" width="1.875" customWidth="1"/>
    <col min="33" max="33" width="9" customWidth="1"/>
    <col min="34" max="34" width="1.875" customWidth="1"/>
    <col min="35" max="35" width="9" hidden="1"/>
    <col min="36" max="36" width="1.875" hidden="1"/>
    <col min="37" max="37" width="9" hidden="1"/>
    <col min="38" max="38" width="1.875" hidden="1"/>
    <col min="39" max="39" width="9" hidden="1"/>
    <col min="40" max="40" width="1.875" hidden="1"/>
    <col min="41" max="41" width="9" hidden="1"/>
    <col min="42" max="42" width="1.875" hidden="1"/>
    <col min="43" max="43" width="9" hidden="1"/>
    <col min="44" max="45" width="1.875" hidden="1"/>
    <col min="46" max="46" width="9" hidden="1"/>
    <col min="47" max="47" width="1.875" hidden="1"/>
    <col min="48" max="48" width="9" hidden="1"/>
  </cols>
  <sheetData>
    <row r="1" spans="1:34" ht="15.75" x14ac:dyDescent="0.25">
      <c r="A1" s="59">
        <v>1</v>
      </c>
      <c r="B1" s="59"/>
      <c r="C1" s="59"/>
      <c r="D1" s="59"/>
      <c r="E1" s="60"/>
      <c r="F1" s="60"/>
      <c r="G1" s="60"/>
      <c r="H1" s="60"/>
      <c r="I1" s="60"/>
      <c r="J1" s="60"/>
      <c r="K1" s="60"/>
      <c r="L1" s="60"/>
      <c r="M1" s="60"/>
      <c r="N1" s="60"/>
      <c r="O1" s="60"/>
      <c r="P1" s="60"/>
      <c r="Q1" s="60"/>
      <c r="R1" s="60"/>
      <c r="S1" s="60"/>
      <c r="T1" s="60"/>
      <c r="U1" s="60"/>
      <c r="V1" s="60"/>
      <c r="W1" s="60"/>
      <c r="X1" s="59"/>
      <c r="Y1" s="59"/>
      <c r="Z1" s="59"/>
      <c r="AA1" s="59"/>
      <c r="AB1" s="59"/>
      <c r="AC1" s="60"/>
      <c r="AD1" s="60"/>
      <c r="AE1" s="60"/>
      <c r="AF1" s="60"/>
      <c r="AG1" s="60"/>
      <c r="AH1" s="60"/>
    </row>
    <row r="2" spans="1:34" ht="45.75" customHeight="1" x14ac:dyDescent="0.25">
      <c r="A2" s="60"/>
      <c r="B2" s="60"/>
      <c r="C2" s="60"/>
      <c r="D2" s="60"/>
      <c r="E2" s="60"/>
      <c r="F2" s="60"/>
      <c r="G2" s="60"/>
      <c r="H2" s="60"/>
      <c r="I2" s="52" t="s">
        <v>52</v>
      </c>
      <c r="J2" s="60"/>
      <c r="K2" s="60"/>
      <c r="L2" s="60"/>
      <c r="M2" s="60"/>
      <c r="N2" s="60"/>
      <c r="O2" s="60"/>
      <c r="P2" s="60"/>
      <c r="Q2" s="60"/>
      <c r="R2" s="60"/>
      <c r="S2" s="60"/>
      <c r="T2" s="60"/>
      <c r="U2" s="60"/>
      <c r="V2" s="60"/>
      <c r="W2" s="60"/>
      <c r="X2" s="60"/>
      <c r="Y2" s="60"/>
      <c r="Z2" s="60"/>
      <c r="AA2" s="60"/>
      <c r="AB2" s="60"/>
      <c r="AC2" s="61"/>
      <c r="AD2" s="60"/>
      <c r="AE2" s="60"/>
      <c r="AF2" s="60"/>
      <c r="AG2" s="60"/>
      <c r="AH2" s="60"/>
    </row>
    <row r="3" spans="1:34" ht="15.75" x14ac:dyDescent="0.25">
      <c r="A3" s="53"/>
      <c r="B3" s="53"/>
      <c r="C3" s="53" t="s">
        <v>435</v>
      </c>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row>
    <row r="4" spans="1:34" ht="32.25" customHeight="1" thickBot="1" x14ac:dyDescent="0.3">
      <c r="A4" s="53"/>
      <c r="B4" s="53"/>
      <c r="C4" s="864" t="s">
        <v>436</v>
      </c>
      <c r="D4" s="864"/>
      <c r="E4" s="864"/>
      <c r="F4" s="864"/>
      <c r="G4" s="864"/>
      <c r="H4" s="864"/>
      <c r="I4" s="864"/>
      <c r="J4" s="864"/>
      <c r="K4" s="864"/>
      <c r="L4" s="864"/>
      <c r="M4" s="864"/>
      <c r="N4" s="864"/>
      <c r="O4" s="864"/>
      <c r="P4" s="864"/>
      <c r="Q4" s="864"/>
      <c r="R4" s="864"/>
      <c r="S4" s="864"/>
      <c r="T4" s="242"/>
      <c r="U4" s="244"/>
      <c r="V4" s="242"/>
      <c r="W4" s="230"/>
      <c r="X4" s="53"/>
      <c r="Y4" s="53"/>
      <c r="Z4" s="53"/>
      <c r="AA4" s="53"/>
      <c r="AB4" s="53"/>
      <c r="AC4" s="334" t="str">
        <f>IF(COUNTIF(AC8:AC19,"Incomplete")&gt;0,"Incomplete","Complete")</f>
        <v>Complete</v>
      </c>
      <c r="AD4" s="53"/>
      <c r="AE4" s="53"/>
      <c r="AF4" s="53"/>
      <c r="AG4" s="53"/>
      <c r="AH4" s="53"/>
    </row>
    <row r="5" spans="1:34" ht="122.25" customHeight="1" x14ac:dyDescent="0.25">
      <c r="A5" s="53"/>
      <c r="B5" s="838" t="s">
        <v>437</v>
      </c>
      <c r="C5" s="861"/>
      <c r="D5" s="68"/>
      <c r="E5" s="68"/>
      <c r="F5" s="212"/>
      <c r="G5" s="245" t="s">
        <v>1130</v>
      </c>
      <c r="H5" s="366"/>
      <c r="I5" s="350" t="s">
        <v>438</v>
      </c>
      <c r="J5" s="350"/>
      <c r="K5" s="350" t="s">
        <v>439</v>
      </c>
      <c r="L5" s="350"/>
      <c r="M5" s="350" t="s">
        <v>1131</v>
      </c>
      <c r="N5" s="350"/>
      <c r="O5" s="350" t="s">
        <v>1132</v>
      </c>
      <c r="P5" s="358"/>
      <c r="Q5" s="69" t="s">
        <v>440</v>
      </c>
      <c r="R5" s="358"/>
      <c r="S5" s="69" t="s">
        <v>441</v>
      </c>
      <c r="T5" s="358" t="s">
        <v>442</v>
      </c>
      <c r="U5" s="69" t="s">
        <v>443</v>
      </c>
      <c r="V5" s="358"/>
      <c r="W5" s="69" t="s">
        <v>444</v>
      </c>
      <c r="X5" s="212"/>
      <c r="Y5" s="358"/>
      <c r="Z5" s="69" t="s">
        <v>1099</v>
      </c>
      <c r="AA5" s="356"/>
      <c r="AB5" s="53"/>
      <c r="AC5" s="53"/>
      <c r="AD5" s="53"/>
      <c r="AE5" s="53"/>
      <c r="AF5" s="53"/>
      <c r="AG5" s="53"/>
      <c r="AH5" s="53"/>
    </row>
    <row r="6" spans="1:34" ht="16.5" thickBot="1" x14ac:dyDescent="0.3">
      <c r="A6" s="53"/>
      <c r="B6" s="354"/>
      <c r="C6" s="246"/>
      <c r="D6" s="74"/>
      <c r="E6" s="74"/>
      <c r="F6" s="213"/>
      <c r="G6" s="75" t="s">
        <v>164</v>
      </c>
      <c r="H6" s="199"/>
      <c r="I6" s="75" t="s">
        <v>164</v>
      </c>
      <c r="J6" s="364"/>
      <c r="K6" s="75" t="s">
        <v>164</v>
      </c>
      <c r="L6" s="199"/>
      <c r="M6" s="75" t="s">
        <v>164</v>
      </c>
      <c r="N6" s="199"/>
      <c r="O6" s="75" t="s">
        <v>164</v>
      </c>
      <c r="P6" s="364"/>
      <c r="Q6" s="199"/>
      <c r="R6" s="364"/>
      <c r="S6" s="199"/>
      <c r="T6" s="364"/>
      <c r="U6" s="199"/>
      <c r="V6" s="364"/>
      <c r="W6" s="199"/>
      <c r="X6" s="213"/>
      <c r="Y6" s="364"/>
      <c r="Z6" s="247"/>
      <c r="AA6" s="365"/>
      <c r="AB6" s="53"/>
      <c r="AC6" s="53"/>
      <c r="AD6" s="53"/>
      <c r="AE6" s="53"/>
      <c r="AF6" s="53"/>
      <c r="AG6" s="53"/>
      <c r="AH6" s="53"/>
    </row>
    <row r="7" spans="1:34" ht="6" customHeight="1" x14ac:dyDescent="0.25">
      <c r="A7" s="53"/>
      <c r="B7" s="106"/>
      <c r="C7" s="80"/>
      <c r="D7" s="80"/>
      <c r="E7" s="80"/>
      <c r="F7" s="80"/>
      <c r="G7" s="80"/>
      <c r="H7" s="80"/>
      <c r="I7" s="80"/>
      <c r="J7" s="80"/>
      <c r="K7" s="80"/>
      <c r="L7" s="80"/>
      <c r="M7" s="80"/>
      <c r="N7" s="80"/>
      <c r="O7" s="80"/>
      <c r="P7" s="80"/>
      <c r="Q7" s="80"/>
      <c r="R7" s="80"/>
      <c r="S7" s="80"/>
      <c r="T7" s="80"/>
      <c r="U7" s="80"/>
      <c r="V7" s="80"/>
      <c r="W7" s="80"/>
      <c r="X7" s="81"/>
      <c r="Y7" s="106"/>
      <c r="Z7" s="80"/>
      <c r="AA7" s="81"/>
      <c r="AB7" s="53"/>
      <c r="AC7" s="53"/>
      <c r="AD7" s="53"/>
      <c r="AE7" s="53"/>
      <c r="AF7" s="53"/>
      <c r="AG7" s="53"/>
      <c r="AH7" s="53"/>
    </row>
    <row r="8" spans="1:34" ht="14.25" customHeight="1" x14ac:dyDescent="0.25">
      <c r="A8" s="53"/>
      <c r="B8" s="862" t="s">
        <v>445</v>
      </c>
      <c r="C8" s="863"/>
      <c r="D8" s="361"/>
      <c r="E8" s="80"/>
      <c r="F8" s="80"/>
      <c r="G8" s="624">
        <v>0</v>
      </c>
      <c r="H8" s="85"/>
      <c r="I8" s="624">
        <v>0</v>
      </c>
      <c r="J8" s="85"/>
      <c r="K8" s="624">
        <v>0</v>
      </c>
      <c r="L8" s="85"/>
      <c r="M8" s="624">
        <v>0</v>
      </c>
      <c r="N8" s="85"/>
      <c r="O8" s="624">
        <v>0</v>
      </c>
      <c r="P8" s="85"/>
      <c r="Q8" s="626">
        <f>MAX(G8,I8)+K8+M8+0.3*O8</f>
        <v>0</v>
      </c>
      <c r="R8" s="85"/>
      <c r="S8" s="626">
        <f>SUM('RBS - Direct TPs'!F12,'RBS - Reins TPs'!F12,-'RBS - Direct TPs'!J12,-'RBS - Reins TPs'!J12)</f>
        <v>0</v>
      </c>
      <c r="T8" s="80"/>
      <c r="U8" s="643">
        <f>'Geographical Diversification'!D39</f>
        <v>1</v>
      </c>
      <c r="V8" s="80"/>
      <c r="W8" s="626">
        <f>(Q8+S8)*(0.75+0.25*U8)</f>
        <v>0</v>
      </c>
      <c r="X8" s="81"/>
      <c r="Y8" s="106"/>
      <c r="Z8" s="763" t="s">
        <v>1100</v>
      </c>
      <c r="AA8" s="81"/>
      <c r="AB8" s="53"/>
      <c r="AC8" s="334" t="str">
        <f>IF(OR(G8="",I8="",K8="",M8="",O8=""),"Incomplete","Complete")</f>
        <v>Complete</v>
      </c>
      <c r="AD8" s="53"/>
      <c r="AE8" s="53"/>
      <c r="AF8" s="53"/>
      <c r="AG8" s="53"/>
      <c r="AH8" s="53"/>
    </row>
    <row r="9" spans="1:34" ht="14.25" customHeight="1" x14ac:dyDescent="0.25">
      <c r="A9" s="53"/>
      <c r="B9" s="862" t="s">
        <v>446</v>
      </c>
      <c r="C9" s="863"/>
      <c r="D9" s="361"/>
      <c r="E9" s="80"/>
      <c r="F9" s="80"/>
      <c r="G9" s="624">
        <v>0</v>
      </c>
      <c r="H9" s="85"/>
      <c r="I9" s="624">
        <v>0</v>
      </c>
      <c r="J9" s="85"/>
      <c r="K9" s="624">
        <v>0</v>
      </c>
      <c r="L9" s="85"/>
      <c r="M9" s="624">
        <v>0</v>
      </c>
      <c r="N9" s="85"/>
      <c r="O9" s="624">
        <v>0</v>
      </c>
      <c r="P9" s="85"/>
      <c r="Q9" s="626">
        <f t="shared" ref="Q9:Q19" si="0">MAX(G9,I9)+K9+M9+0.3*O9</f>
        <v>0</v>
      </c>
      <c r="R9" s="85"/>
      <c r="S9" s="626">
        <f>SUM('RBS - Direct TPs'!F21,'RBS - Reins TPs'!F21,-'RBS - Direct TPs'!J21,-'RBS - Reins TPs'!J21)</f>
        <v>0</v>
      </c>
      <c r="T9" s="80"/>
      <c r="U9" s="643">
        <f>'Geographical Diversification'!D40</f>
        <v>1</v>
      </c>
      <c r="V9" s="80"/>
      <c r="W9" s="626">
        <f>(Q9+S9)*(0.75+0.25*U9)</f>
        <v>0</v>
      </c>
      <c r="X9" s="81"/>
      <c r="Y9" s="106"/>
      <c r="Z9" s="763" t="s">
        <v>446</v>
      </c>
      <c r="AA9" s="81"/>
      <c r="AB9" s="53"/>
      <c r="AC9" s="334" t="str">
        <f t="shared" ref="AC9:AC18" si="1">IF(OR(G9="",I9="",K9="",M9="",O9=""),"Incomplete","Complete")</f>
        <v>Complete</v>
      </c>
      <c r="AD9" s="53"/>
      <c r="AE9" s="53"/>
      <c r="AF9" s="53"/>
      <c r="AG9" s="53"/>
      <c r="AH9" s="53"/>
    </row>
    <row r="10" spans="1:34" ht="14.25" customHeight="1" x14ac:dyDescent="0.25">
      <c r="A10" s="53"/>
      <c r="B10" s="862" t="s">
        <v>447</v>
      </c>
      <c r="C10" s="863"/>
      <c r="D10" s="361"/>
      <c r="E10" s="80"/>
      <c r="F10" s="80"/>
      <c r="G10" s="624">
        <v>0</v>
      </c>
      <c r="H10" s="85"/>
      <c r="I10" s="624">
        <v>0</v>
      </c>
      <c r="J10" s="85"/>
      <c r="K10" s="624">
        <v>0</v>
      </c>
      <c r="L10" s="85"/>
      <c r="M10" s="624">
        <v>0</v>
      </c>
      <c r="N10" s="85"/>
      <c r="O10" s="624">
        <v>0</v>
      </c>
      <c r="P10" s="85"/>
      <c r="Q10" s="626">
        <f t="shared" si="0"/>
        <v>0</v>
      </c>
      <c r="R10" s="85"/>
      <c r="S10" s="626">
        <f>SUM('RBS - Direct TPs'!F30,'RBS - Reins TPs'!F30,-'RBS - Direct TPs'!J30,-'RBS - Reins TPs'!J30)</f>
        <v>0</v>
      </c>
      <c r="T10" s="80"/>
      <c r="U10" s="643">
        <f>'Geographical Diversification'!D41</f>
        <v>1</v>
      </c>
      <c r="V10" s="80"/>
      <c r="W10" s="626">
        <f t="shared" ref="W10:W19" si="2">(Q10+S10)*(0.75+0.25*U10)</f>
        <v>0</v>
      </c>
      <c r="X10" s="81"/>
      <c r="Y10" s="106"/>
      <c r="Z10" s="763" t="s">
        <v>447</v>
      </c>
      <c r="AA10" s="81"/>
      <c r="AB10" s="53"/>
      <c r="AC10" s="334" t="str">
        <f t="shared" si="1"/>
        <v>Complete</v>
      </c>
      <c r="AD10" s="53"/>
      <c r="AE10" s="53"/>
      <c r="AF10" s="53"/>
      <c r="AG10" s="53"/>
      <c r="AH10" s="53"/>
    </row>
    <row r="11" spans="1:34" ht="14.25" customHeight="1" x14ac:dyDescent="0.25">
      <c r="A11" s="53"/>
      <c r="B11" s="862" t="s">
        <v>448</v>
      </c>
      <c r="C11" s="863"/>
      <c r="D11" s="361"/>
      <c r="E11" s="80"/>
      <c r="F11" s="80"/>
      <c r="G11" s="624">
        <v>0</v>
      </c>
      <c r="H11" s="85"/>
      <c r="I11" s="624">
        <v>0</v>
      </c>
      <c r="J11" s="85"/>
      <c r="K11" s="624">
        <v>0</v>
      </c>
      <c r="L11" s="85"/>
      <c r="M11" s="624">
        <v>0</v>
      </c>
      <c r="N11" s="85"/>
      <c r="O11" s="624">
        <v>0</v>
      </c>
      <c r="P11" s="85"/>
      <c r="Q11" s="626">
        <f t="shared" si="0"/>
        <v>0</v>
      </c>
      <c r="R11" s="85"/>
      <c r="S11" s="626">
        <f>SUM('RBS - Direct TPs'!F39,'RBS - Reins TPs'!F39,-'RBS - Direct TPs'!J39,-'RBS - Reins TPs'!J39)</f>
        <v>0</v>
      </c>
      <c r="T11" s="80"/>
      <c r="U11" s="643">
        <f>'Geographical Diversification'!D42</f>
        <v>1</v>
      </c>
      <c r="V11" s="80"/>
      <c r="W11" s="626">
        <f t="shared" si="2"/>
        <v>0</v>
      </c>
      <c r="X11" s="81"/>
      <c r="Y11" s="106"/>
      <c r="Z11" s="763" t="s">
        <v>448</v>
      </c>
      <c r="AA11" s="81"/>
      <c r="AB11" s="53"/>
      <c r="AC11" s="334" t="str">
        <f t="shared" si="1"/>
        <v>Complete</v>
      </c>
      <c r="AD11" s="53"/>
      <c r="AE11" s="53"/>
      <c r="AF11" s="53"/>
      <c r="AG11" s="53"/>
      <c r="AH11" s="53"/>
    </row>
    <row r="12" spans="1:34" ht="14.25" customHeight="1" x14ac:dyDescent="0.25">
      <c r="A12" s="53"/>
      <c r="B12" s="862" t="s">
        <v>449</v>
      </c>
      <c r="C12" s="863"/>
      <c r="D12" s="361"/>
      <c r="E12" s="80"/>
      <c r="F12" s="80"/>
      <c r="G12" s="624">
        <v>0</v>
      </c>
      <c r="H12" s="85"/>
      <c r="I12" s="624">
        <v>0</v>
      </c>
      <c r="J12" s="85"/>
      <c r="K12" s="624">
        <v>0</v>
      </c>
      <c r="L12" s="85"/>
      <c r="M12" s="624">
        <v>0</v>
      </c>
      <c r="N12" s="85"/>
      <c r="O12" s="624">
        <v>0</v>
      </c>
      <c r="P12" s="85"/>
      <c r="Q12" s="626">
        <f t="shared" si="0"/>
        <v>0</v>
      </c>
      <c r="R12" s="85"/>
      <c r="S12" s="626">
        <f>SUM('RBS - Direct TPs'!F48,'RBS - Reins TPs'!F48,-'RBS - Direct TPs'!J48,-'RBS - Reins TPs'!J48)</f>
        <v>0</v>
      </c>
      <c r="T12" s="80"/>
      <c r="U12" s="643">
        <f>'Geographical Diversification'!D43</f>
        <v>1</v>
      </c>
      <c r="V12" s="80"/>
      <c r="W12" s="626">
        <f t="shared" si="2"/>
        <v>0</v>
      </c>
      <c r="X12" s="81"/>
      <c r="Y12" s="106"/>
      <c r="Z12" s="763" t="s">
        <v>449</v>
      </c>
      <c r="AA12" s="81"/>
      <c r="AB12" s="53"/>
      <c r="AC12" s="334" t="str">
        <f t="shared" si="1"/>
        <v>Complete</v>
      </c>
      <c r="AD12" s="53"/>
      <c r="AE12" s="53"/>
      <c r="AF12" s="53"/>
      <c r="AG12" s="53"/>
      <c r="AH12" s="53"/>
    </row>
    <row r="13" spans="1:34" ht="14.25" customHeight="1" x14ac:dyDescent="0.25">
      <c r="A13" s="53"/>
      <c r="B13" s="862" t="s">
        <v>450</v>
      </c>
      <c r="C13" s="863"/>
      <c r="D13" s="361"/>
      <c r="E13" s="80"/>
      <c r="F13" s="80"/>
      <c r="G13" s="624">
        <v>0</v>
      </c>
      <c r="H13" s="85"/>
      <c r="I13" s="624">
        <v>0</v>
      </c>
      <c r="J13" s="85"/>
      <c r="K13" s="624">
        <v>0</v>
      </c>
      <c r="L13" s="85"/>
      <c r="M13" s="624">
        <v>0</v>
      </c>
      <c r="N13" s="85"/>
      <c r="O13" s="624">
        <v>0</v>
      </c>
      <c r="P13" s="85"/>
      <c r="Q13" s="626">
        <f t="shared" si="0"/>
        <v>0</v>
      </c>
      <c r="R13" s="85"/>
      <c r="S13" s="626">
        <f>SUM('RBS - Direct TPs'!F57,'RBS - Reins TPs'!F57,-'RBS - Direct TPs'!J57,-'RBS - Reins TPs'!J57)</f>
        <v>0</v>
      </c>
      <c r="T13" s="80"/>
      <c r="U13" s="653">
        <f>'Geographical Diversification'!D44</f>
        <v>1</v>
      </c>
      <c r="V13" s="80"/>
      <c r="W13" s="626">
        <f t="shared" si="2"/>
        <v>0</v>
      </c>
      <c r="X13" s="81"/>
      <c r="Y13" s="106"/>
      <c r="Z13" s="763" t="s">
        <v>450</v>
      </c>
      <c r="AA13" s="81"/>
      <c r="AB13" s="53"/>
      <c r="AC13" s="334" t="str">
        <f t="shared" si="1"/>
        <v>Complete</v>
      </c>
      <c r="AD13" s="53"/>
      <c r="AE13" s="53"/>
      <c r="AF13" s="53"/>
      <c r="AG13" s="53"/>
      <c r="AH13" s="53"/>
    </row>
    <row r="14" spans="1:34" ht="14.25" customHeight="1" x14ac:dyDescent="0.25">
      <c r="A14" s="53"/>
      <c r="B14" s="862" t="s">
        <v>451</v>
      </c>
      <c r="C14" s="863"/>
      <c r="D14" s="361"/>
      <c r="E14" s="80"/>
      <c r="F14" s="80"/>
      <c r="G14" s="624">
        <v>0</v>
      </c>
      <c r="H14" s="85"/>
      <c r="I14" s="624">
        <v>0</v>
      </c>
      <c r="J14" s="85"/>
      <c r="K14" s="624">
        <v>0</v>
      </c>
      <c r="L14" s="85"/>
      <c r="M14" s="624">
        <v>0</v>
      </c>
      <c r="N14" s="85"/>
      <c r="O14" s="624">
        <v>0</v>
      </c>
      <c r="P14" s="85"/>
      <c r="Q14" s="626">
        <f t="shared" si="0"/>
        <v>0</v>
      </c>
      <c r="R14" s="85"/>
      <c r="S14" s="626">
        <f>SUM('RBS - Direct TPs'!F66,'RBS - Reins TPs'!F66,-'RBS - Direct TPs'!J66,-'RBS - Reins TPs'!J66)</f>
        <v>0</v>
      </c>
      <c r="T14" s="80"/>
      <c r="U14" s="643">
        <f>'Geographical Diversification'!D45</f>
        <v>1</v>
      </c>
      <c r="V14" s="80"/>
      <c r="W14" s="626">
        <f t="shared" si="2"/>
        <v>0</v>
      </c>
      <c r="X14" s="81"/>
      <c r="Y14" s="106"/>
      <c r="Z14" s="763" t="s">
        <v>451</v>
      </c>
      <c r="AA14" s="81"/>
      <c r="AB14" s="53"/>
      <c r="AC14" s="334" t="str">
        <f t="shared" si="1"/>
        <v>Complete</v>
      </c>
      <c r="AD14" s="53"/>
      <c r="AE14" s="53"/>
      <c r="AF14" s="53"/>
      <c r="AG14" s="53"/>
      <c r="AH14" s="53"/>
    </row>
    <row r="15" spans="1:34" ht="14.25" customHeight="1" x14ac:dyDescent="0.25">
      <c r="A15" s="53"/>
      <c r="B15" s="862" t="s">
        <v>452</v>
      </c>
      <c r="C15" s="863"/>
      <c r="D15" s="361"/>
      <c r="E15" s="80"/>
      <c r="F15" s="80"/>
      <c r="G15" s="624">
        <v>0</v>
      </c>
      <c r="H15" s="85"/>
      <c r="I15" s="624">
        <v>0</v>
      </c>
      <c r="J15" s="85"/>
      <c r="K15" s="624">
        <v>0</v>
      </c>
      <c r="L15" s="85"/>
      <c r="M15" s="624">
        <v>0</v>
      </c>
      <c r="N15" s="85"/>
      <c r="O15" s="624">
        <v>0</v>
      </c>
      <c r="P15" s="85"/>
      <c r="Q15" s="626">
        <f t="shared" si="0"/>
        <v>0</v>
      </c>
      <c r="R15" s="85"/>
      <c r="S15" s="626">
        <f>SUM('RBS - Direct TPs'!F75,'RBS - Reins TPs'!F75,-'RBS - Direct TPs'!J75,-'RBS - Reins TPs'!J75)</f>
        <v>0</v>
      </c>
      <c r="T15" s="80"/>
      <c r="U15" s="643">
        <f>'Geographical Diversification'!D46</f>
        <v>1</v>
      </c>
      <c r="V15" s="80"/>
      <c r="W15" s="626">
        <f t="shared" si="2"/>
        <v>0</v>
      </c>
      <c r="X15" s="81"/>
      <c r="Y15" s="106"/>
      <c r="Z15" s="763" t="s">
        <v>452</v>
      </c>
      <c r="AA15" s="81"/>
      <c r="AB15" s="53"/>
      <c r="AC15" s="334" t="str">
        <f t="shared" si="1"/>
        <v>Complete</v>
      </c>
      <c r="AD15" s="53"/>
      <c r="AE15" s="53"/>
      <c r="AF15" s="53"/>
      <c r="AG15" s="53"/>
      <c r="AH15" s="53"/>
    </row>
    <row r="16" spans="1:34" ht="14.25" customHeight="1" x14ac:dyDescent="0.25">
      <c r="A16" s="53"/>
      <c r="B16" s="862" t="s">
        <v>453</v>
      </c>
      <c r="C16" s="863"/>
      <c r="D16" s="361"/>
      <c r="E16" s="80"/>
      <c r="F16" s="80"/>
      <c r="G16" s="624">
        <v>0</v>
      </c>
      <c r="H16" s="85"/>
      <c r="I16" s="624">
        <v>0</v>
      </c>
      <c r="J16" s="85"/>
      <c r="K16" s="624">
        <v>0</v>
      </c>
      <c r="L16" s="85"/>
      <c r="M16" s="624">
        <v>0</v>
      </c>
      <c r="N16" s="85"/>
      <c r="O16" s="624">
        <v>0</v>
      </c>
      <c r="P16" s="85"/>
      <c r="Q16" s="626">
        <f t="shared" si="0"/>
        <v>0</v>
      </c>
      <c r="R16" s="85"/>
      <c r="S16" s="626">
        <f>SUM('RBS - Direct TPs'!F84,'RBS - Reins TPs'!F84,-'RBS - Direct TPs'!J84,-'RBS - Reins TPs'!J84)</f>
        <v>0</v>
      </c>
      <c r="T16" s="80"/>
      <c r="U16" s="643">
        <f>'Geographical Diversification'!D47</f>
        <v>1</v>
      </c>
      <c r="V16" s="80"/>
      <c r="W16" s="626">
        <f t="shared" si="2"/>
        <v>0</v>
      </c>
      <c r="X16" s="81"/>
      <c r="Y16" s="106"/>
      <c r="Z16" s="763" t="s">
        <v>453</v>
      </c>
      <c r="AA16" s="81"/>
      <c r="AB16" s="53"/>
      <c r="AC16" s="334" t="str">
        <f t="shared" si="1"/>
        <v>Complete</v>
      </c>
      <c r="AD16" s="53"/>
      <c r="AE16" s="53"/>
      <c r="AF16" s="53"/>
      <c r="AG16" s="53"/>
      <c r="AH16" s="53"/>
    </row>
    <row r="17" spans="1:34" ht="14.25" customHeight="1" x14ac:dyDescent="0.25">
      <c r="A17" s="53"/>
      <c r="B17" s="862" t="s">
        <v>454</v>
      </c>
      <c r="C17" s="863"/>
      <c r="D17" s="361"/>
      <c r="E17" s="80"/>
      <c r="F17" s="80"/>
      <c r="G17" s="624">
        <v>0</v>
      </c>
      <c r="H17" s="85"/>
      <c r="I17" s="624">
        <v>0</v>
      </c>
      <c r="J17" s="85"/>
      <c r="K17" s="624">
        <v>0</v>
      </c>
      <c r="L17" s="85"/>
      <c r="M17" s="624">
        <v>0</v>
      </c>
      <c r="N17" s="85"/>
      <c r="O17" s="624">
        <v>0</v>
      </c>
      <c r="P17" s="85"/>
      <c r="Q17" s="626">
        <f t="shared" si="0"/>
        <v>0</v>
      </c>
      <c r="R17" s="85"/>
      <c r="S17" s="626">
        <f>'RBS - Reins TPs'!F120-'RBS - Reins TPs'!J120</f>
        <v>0</v>
      </c>
      <c r="T17" s="80"/>
      <c r="U17" s="653">
        <f>'Geographical Diversification'!D48</f>
        <v>1</v>
      </c>
      <c r="V17" s="80"/>
      <c r="W17" s="626">
        <f t="shared" si="2"/>
        <v>0</v>
      </c>
      <c r="X17" s="81"/>
      <c r="Y17" s="106"/>
      <c r="Z17" s="763" t="s">
        <v>454</v>
      </c>
      <c r="AA17" s="81"/>
      <c r="AB17" s="53"/>
      <c r="AC17" s="334" t="str">
        <f t="shared" si="1"/>
        <v>Complete</v>
      </c>
      <c r="AD17" s="53"/>
      <c r="AE17" s="53"/>
      <c r="AF17" s="53"/>
      <c r="AG17" s="53"/>
      <c r="AH17" s="53"/>
    </row>
    <row r="18" spans="1:34" ht="14.25" customHeight="1" x14ac:dyDescent="0.25">
      <c r="A18" s="53"/>
      <c r="B18" s="862" t="s">
        <v>455</v>
      </c>
      <c r="C18" s="863"/>
      <c r="D18" s="361"/>
      <c r="E18" s="80"/>
      <c r="F18" s="80"/>
      <c r="G18" s="624">
        <v>0</v>
      </c>
      <c r="H18" s="85"/>
      <c r="I18" s="624">
        <v>0</v>
      </c>
      <c r="J18" s="85"/>
      <c r="K18" s="624">
        <v>0</v>
      </c>
      <c r="L18" s="85"/>
      <c r="M18" s="624">
        <v>0</v>
      </c>
      <c r="N18" s="85"/>
      <c r="O18" s="624">
        <v>0</v>
      </c>
      <c r="P18" s="85"/>
      <c r="Q18" s="626">
        <f t="shared" si="0"/>
        <v>0</v>
      </c>
      <c r="R18" s="85"/>
      <c r="S18" s="626">
        <f>'RBS - Reins TPs'!F129-'RBS - Reins TPs'!J129</f>
        <v>0</v>
      </c>
      <c r="T18" s="80"/>
      <c r="U18" s="653">
        <f>'Geographical Diversification'!D49</f>
        <v>1</v>
      </c>
      <c r="V18" s="80"/>
      <c r="W18" s="626">
        <f t="shared" si="2"/>
        <v>0</v>
      </c>
      <c r="X18" s="81"/>
      <c r="Y18" s="106"/>
      <c r="Z18" s="763" t="s">
        <v>455</v>
      </c>
      <c r="AA18" s="81"/>
      <c r="AB18" s="53"/>
      <c r="AC18" s="334" t="str">
        <f t="shared" si="1"/>
        <v>Complete</v>
      </c>
      <c r="AD18" s="53"/>
      <c r="AE18" s="53"/>
      <c r="AF18" s="53"/>
      <c r="AG18" s="53"/>
      <c r="AH18" s="53"/>
    </row>
    <row r="19" spans="1:34" ht="14.25" customHeight="1" x14ac:dyDescent="0.25">
      <c r="A19" s="53"/>
      <c r="B19" s="862" t="s">
        <v>456</v>
      </c>
      <c r="C19" s="863"/>
      <c r="D19" s="361"/>
      <c r="E19" s="80"/>
      <c r="F19" s="80"/>
      <c r="G19" s="624">
        <v>0</v>
      </c>
      <c r="H19" s="85"/>
      <c r="I19" s="624">
        <v>0</v>
      </c>
      <c r="J19" s="85"/>
      <c r="K19" s="624">
        <v>0</v>
      </c>
      <c r="L19" s="85"/>
      <c r="M19" s="624">
        <v>0</v>
      </c>
      <c r="N19" s="85"/>
      <c r="O19" s="624">
        <v>0</v>
      </c>
      <c r="P19" s="85"/>
      <c r="Q19" s="626">
        <f t="shared" si="0"/>
        <v>0</v>
      </c>
      <c r="R19" s="85"/>
      <c r="S19" s="626">
        <f>'RBS - Reins TPs'!F138-'RBS - Reins TPs'!J138</f>
        <v>0</v>
      </c>
      <c r="T19" s="80"/>
      <c r="U19" s="653">
        <f>'Geographical Diversification'!D50</f>
        <v>1</v>
      </c>
      <c r="V19" s="80"/>
      <c r="W19" s="626">
        <f t="shared" si="2"/>
        <v>0</v>
      </c>
      <c r="X19" s="81"/>
      <c r="Y19" s="106"/>
      <c r="Z19" s="763" t="s">
        <v>456</v>
      </c>
      <c r="AA19" s="81"/>
      <c r="AB19" s="53"/>
      <c r="AC19" s="334" t="str">
        <f>IF(OR(G19="",I19="",K19="",M19="",O19=""),"Incomplete","Complete")</f>
        <v>Complete</v>
      </c>
      <c r="AD19" s="53"/>
      <c r="AE19" s="53"/>
      <c r="AF19" s="53"/>
      <c r="AG19" s="53"/>
      <c r="AH19" s="53"/>
    </row>
    <row r="20" spans="1:34" ht="6" customHeight="1" thickBot="1" x14ac:dyDescent="0.3">
      <c r="A20" s="53"/>
      <c r="B20" s="110"/>
      <c r="C20" s="93"/>
      <c r="D20" s="93"/>
      <c r="E20" s="93"/>
      <c r="F20" s="93"/>
      <c r="G20" s="93"/>
      <c r="H20" s="93"/>
      <c r="I20" s="93"/>
      <c r="J20" s="93"/>
      <c r="K20" s="93"/>
      <c r="L20" s="93"/>
      <c r="M20" s="93"/>
      <c r="N20" s="93"/>
      <c r="O20" s="93"/>
      <c r="P20" s="93"/>
      <c r="Q20" s="93"/>
      <c r="R20" s="93"/>
      <c r="S20" s="93"/>
      <c r="T20" s="93"/>
      <c r="U20" s="93"/>
      <c r="V20" s="93"/>
      <c r="W20" s="93"/>
      <c r="X20" s="94"/>
      <c r="Y20" s="110"/>
      <c r="Z20" s="93"/>
      <c r="AA20" s="94"/>
      <c r="AB20" s="53"/>
      <c r="AC20" s="53"/>
      <c r="AD20" s="53"/>
      <c r="AE20" s="53"/>
      <c r="AF20" s="53"/>
      <c r="AG20" s="53"/>
      <c r="AH20" s="53"/>
    </row>
    <row r="21" spans="1:34" ht="15.75" x14ac:dyDescent="0.25">
      <c r="A21" s="53"/>
      <c r="B21" s="53"/>
      <c r="C21" s="53"/>
      <c r="D21" s="53"/>
      <c r="E21" s="53"/>
      <c r="F21" s="53"/>
      <c r="G21" s="230"/>
      <c r="H21" s="230"/>
      <c r="I21" s="230"/>
      <c r="J21" s="230"/>
      <c r="K21" s="230"/>
      <c r="L21" s="230"/>
      <c r="M21" s="230"/>
      <c r="N21" s="230"/>
      <c r="O21" s="230"/>
      <c r="P21" s="242"/>
      <c r="Q21" s="248"/>
      <c r="R21" s="53"/>
      <c r="S21" s="249"/>
      <c r="T21" s="53"/>
      <c r="U21" s="53"/>
      <c r="V21" s="53"/>
      <c r="W21" s="53"/>
      <c r="X21" s="53"/>
      <c r="Y21" s="53"/>
      <c r="Z21" s="53"/>
      <c r="AA21" s="53"/>
      <c r="AB21" s="53"/>
      <c r="AC21" s="53"/>
      <c r="AD21" s="53"/>
      <c r="AE21" s="53"/>
      <c r="AF21" s="53"/>
      <c r="AG21" s="53"/>
      <c r="AH21" s="53"/>
    </row>
    <row r="22" spans="1:34" ht="6"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row>
    <row r="23" spans="1:34" ht="15.75" x14ac:dyDescent="0.25">
      <c r="A23" s="97"/>
      <c r="B23" s="53"/>
      <c r="C23" s="96" t="s">
        <v>457</v>
      </c>
      <c r="D23" s="53"/>
      <c r="E23" s="53"/>
      <c r="F23" s="53"/>
      <c r="G23" s="53"/>
      <c r="H23" s="53"/>
      <c r="I23" s="53"/>
      <c r="J23" s="53"/>
      <c r="K23" s="53"/>
      <c r="L23" s="53"/>
      <c r="M23" s="53"/>
      <c r="N23" s="53"/>
      <c r="O23" s="53"/>
      <c r="P23" s="53"/>
      <c r="Q23" s="53"/>
      <c r="R23" s="53"/>
      <c r="S23" s="249"/>
      <c r="T23" s="53"/>
      <c r="U23" s="249" t="str">
        <f>IF(SUM(U25:U1299)=0,"",IF(SUM(U25:U1299)=SUM(S8:S19),"","CHECK: IF ALL CONTRACTS HAVE AGG CAPS THEN SUM OF CLAIMS RESERVES IN ROWS 28-1250 SHOULD EQUAL SUM OF RESERVE VOLUME MEASURE IN ROWS 8-19"))</f>
        <v/>
      </c>
      <c r="V23" s="53"/>
      <c r="W23" s="53"/>
      <c r="X23" s="53"/>
      <c r="Y23" s="53"/>
      <c r="Z23" s="53"/>
      <c r="AA23" s="53"/>
      <c r="AB23" s="53"/>
      <c r="AC23" s="53"/>
      <c r="AD23" s="97"/>
      <c r="AE23" s="97"/>
      <c r="AF23" s="97"/>
      <c r="AG23" s="97"/>
      <c r="AH23" s="97"/>
    </row>
    <row r="24" spans="1:34" ht="6" customHeight="1" thickBot="1" x14ac:dyDescent="0.3">
      <c r="A24" s="97"/>
      <c r="B24" s="53"/>
      <c r="C24" s="53"/>
      <c r="D24" s="53"/>
      <c r="E24" s="53"/>
      <c r="F24" s="53"/>
      <c r="G24" s="294"/>
      <c r="H24" s="294"/>
      <c r="I24" s="294"/>
      <c r="J24" s="294"/>
      <c r="K24" s="294"/>
      <c r="L24" s="294"/>
      <c r="M24" s="294"/>
      <c r="N24" s="294"/>
      <c r="O24" s="294"/>
      <c r="P24" s="53"/>
      <c r="Q24" s="53"/>
      <c r="R24" s="53"/>
      <c r="S24" s="53"/>
      <c r="T24" s="53"/>
      <c r="U24" s="53"/>
      <c r="V24" s="53"/>
      <c r="W24" s="53"/>
      <c r="X24" s="53"/>
      <c r="Y24" s="53"/>
      <c r="Z24" s="53"/>
      <c r="AA24" s="53"/>
      <c r="AB24" s="53"/>
      <c r="AC24" s="53"/>
      <c r="AD24" s="97"/>
      <c r="AE24" s="97"/>
      <c r="AF24" s="97"/>
      <c r="AG24" s="97"/>
      <c r="AH24" s="97"/>
    </row>
    <row r="25" spans="1:34" ht="31.5" x14ac:dyDescent="0.25">
      <c r="A25" s="97"/>
      <c r="B25" s="187">
        <v>1</v>
      </c>
      <c r="C25" s="187" t="str">
        <f ca="1">RIGHT(OFFSET($B$8,B25-1,0),LEN(OFFSET($B$8,B25-1,0))-5)</f>
        <v xml:space="preserve"> Motor Vehicle Liability &amp; 13 Prop. Reins.</v>
      </c>
      <c r="D25" s="68"/>
      <c r="E25" s="68"/>
      <c r="F25" s="68"/>
      <c r="G25" s="68"/>
      <c r="H25" s="68"/>
      <c r="I25" s="68"/>
      <c r="J25" s="68"/>
      <c r="K25" s="68"/>
      <c r="L25" s="68"/>
      <c r="M25" s="68"/>
      <c r="N25" s="68"/>
      <c r="O25" s="68"/>
      <c r="P25" s="68"/>
      <c r="Q25" s="68"/>
      <c r="R25" s="68"/>
      <c r="S25" s="68"/>
      <c r="T25" s="68"/>
      <c r="U25" s="68"/>
      <c r="V25" s="68"/>
      <c r="W25" s="68"/>
      <c r="X25" s="251"/>
      <c r="Y25" s="187"/>
      <c r="Z25" s="250" t="s">
        <v>458</v>
      </c>
      <c r="AA25" s="736"/>
      <c r="AB25" s="736"/>
      <c r="AC25" s="250" t="s">
        <v>459</v>
      </c>
      <c r="AD25" s="251"/>
      <c r="AE25" s="97"/>
      <c r="AF25" s="97"/>
      <c r="AG25" s="97"/>
      <c r="AH25" s="97"/>
    </row>
    <row r="26" spans="1:34" ht="129.75" thickBot="1" x14ac:dyDescent="0.3">
      <c r="A26" s="98"/>
      <c r="B26" s="252"/>
      <c r="C26" s="253" t="s">
        <v>460</v>
      </c>
      <c r="D26" s="237"/>
      <c r="E26" s="237"/>
      <c r="F26" s="254">
        <f ca="1">IF(OFFSET($Z$8,B25-1,0)=0,1,0)</f>
        <v>0</v>
      </c>
      <c r="G26" s="792" t="s">
        <v>1130</v>
      </c>
      <c r="H26" s="793"/>
      <c r="I26" s="791" t="s">
        <v>438</v>
      </c>
      <c r="J26" s="791"/>
      <c r="K26" s="791" t="s">
        <v>439</v>
      </c>
      <c r="L26" s="791"/>
      <c r="M26" s="791" t="s">
        <v>1131</v>
      </c>
      <c r="N26" s="791"/>
      <c r="O26" s="791" t="s">
        <v>1132</v>
      </c>
      <c r="P26" s="363"/>
      <c r="Q26" s="237" t="s">
        <v>440</v>
      </c>
      <c r="R26" s="237"/>
      <c r="S26" s="237" t="s">
        <v>461</v>
      </c>
      <c r="T26" s="237" t="s">
        <v>462</v>
      </c>
      <c r="U26" s="237" t="s">
        <v>463</v>
      </c>
      <c r="V26" s="237"/>
      <c r="W26" s="237" t="s">
        <v>464</v>
      </c>
      <c r="X26" s="238"/>
      <c r="Y26" s="237"/>
      <c r="Z26" s="255">
        <f ca="1">OFFSET('Underwriting Risk'!$K$55,'Premium and Reserve Risk'!B25-1,0)</f>
        <v>8.0000000000000016E-2</v>
      </c>
      <c r="AA26" s="237"/>
      <c r="AB26" s="237"/>
      <c r="AC26" s="255">
        <f ca="1">OFFSET('Underwriting Risk'!$M$55,'Premium and Reserve Risk'!B25-1,0)</f>
        <v>0.09</v>
      </c>
      <c r="AD26" s="238"/>
      <c r="AE26" s="98"/>
      <c r="AF26" s="98"/>
      <c r="AG26" s="98"/>
      <c r="AH26" s="98"/>
    </row>
    <row r="27" spans="1:34" ht="6" customHeight="1" x14ac:dyDescent="0.25">
      <c r="A27" s="97"/>
      <c r="B27" s="106"/>
      <c r="C27" s="80"/>
      <c r="D27" s="80"/>
      <c r="E27" s="80"/>
      <c r="F27" s="256">
        <f ca="1">IF(OFFSET($Z$8,B25-1,0)=0,1,0)</f>
        <v>0</v>
      </c>
      <c r="G27" s="80"/>
      <c r="H27" s="80"/>
      <c r="I27" s="80"/>
      <c r="J27" s="80"/>
      <c r="K27" s="80"/>
      <c r="L27" s="80"/>
      <c r="M27" s="80"/>
      <c r="N27" s="80"/>
      <c r="O27" s="80"/>
      <c r="P27" s="80"/>
      <c r="Q27" s="80"/>
      <c r="R27" s="80"/>
      <c r="S27" s="80"/>
      <c r="T27" s="80"/>
      <c r="U27" s="80"/>
      <c r="V27" s="80"/>
      <c r="W27" s="80"/>
      <c r="X27" s="81"/>
      <c r="Y27" s="80"/>
      <c r="Z27" s="80"/>
      <c r="AA27" s="80"/>
      <c r="AB27" s="80"/>
      <c r="AC27" s="80"/>
      <c r="AD27" s="81"/>
      <c r="AE27" s="97"/>
      <c r="AF27" s="97"/>
      <c r="AG27" s="97"/>
      <c r="AH27" s="97"/>
    </row>
    <row r="28" spans="1:34" ht="13.5" customHeight="1" x14ac:dyDescent="0.25">
      <c r="A28" s="97"/>
      <c r="B28" s="257">
        <v>1</v>
      </c>
      <c r="C28" s="652"/>
      <c r="D28" s="80"/>
      <c r="E28" s="80"/>
      <c r="F28" s="258">
        <f ca="1">IF(B28&lt;=OFFSET($Z$8,B$25-1,0),0,1)</f>
        <v>0</v>
      </c>
      <c r="G28" s="624"/>
      <c r="H28" s="85"/>
      <c r="I28" s="624"/>
      <c r="J28" s="85"/>
      <c r="K28" s="624"/>
      <c r="L28" s="85"/>
      <c r="M28" s="624"/>
      <c r="N28" s="85"/>
      <c r="O28" s="624"/>
      <c r="P28" s="85"/>
      <c r="Q28" s="626">
        <f t="shared" ref="Q28:Q126" si="3">MAX(G28,I28)+K28+M28+0.3*O28</f>
        <v>0</v>
      </c>
      <c r="R28" s="85"/>
      <c r="S28" s="624"/>
      <c r="T28" s="259"/>
      <c r="U28" s="624"/>
      <c r="V28" s="85"/>
      <c r="W28" s="624"/>
      <c r="X28" s="81"/>
      <c r="Y28" s="80"/>
      <c r="Z28" s="737">
        <f ca="1">MAX(0%,IF(Q28&lt;&gt;0,MIN((S28-Q28)/Q28/'Underwriting Risk'!$E$27,'Premium and Reserve Risk'!$Z$26),'Premium and Reserve Risk'!$Z$26))</f>
        <v>8.0000000000000016E-2</v>
      </c>
      <c r="AA28" s="80"/>
      <c r="AB28" s="80"/>
      <c r="AC28" s="737">
        <f ca="1">MAX(0%,IF(U28&lt;&gt;0,MIN((W28-U28)/U28/'Underwriting Risk'!$E$27,'Premium and Reserve Risk'!$AC$26),'Premium and Reserve Risk'!$AC$26))</f>
        <v>0.09</v>
      </c>
      <c r="AD28" s="81"/>
      <c r="AE28" s="97"/>
      <c r="AF28" s="97"/>
      <c r="AG28" s="97"/>
      <c r="AH28" s="97"/>
    </row>
    <row r="29" spans="1:34" ht="13.5" customHeight="1" x14ac:dyDescent="0.25">
      <c r="A29" s="97"/>
      <c r="B29" s="257">
        <v>2</v>
      </c>
      <c r="C29" s="652"/>
      <c r="D29" s="80"/>
      <c r="E29" s="80"/>
      <c r="F29" s="258">
        <f t="shared" ref="F29:F92" ca="1" si="4">IF(B29&lt;=OFFSET($Z$8,B$25-1,0),0,1)</f>
        <v>0</v>
      </c>
      <c r="G29" s="624"/>
      <c r="H29" s="85"/>
      <c r="I29" s="624"/>
      <c r="J29" s="85"/>
      <c r="K29" s="624"/>
      <c r="L29" s="85"/>
      <c r="M29" s="624"/>
      <c r="N29" s="85"/>
      <c r="O29" s="624"/>
      <c r="P29" s="85"/>
      <c r="Q29" s="626">
        <f t="shared" si="3"/>
        <v>0</v>
      </c>
      <c r="R29" s="85"/>
      <c r="S29" s="624"/>
      <c r="T29" s="260"/>
      <c r="U29" s="624"/>
      <c r="V29" s="85"/>
      <c r="W29" s="624"/>
      <c r="X29" s="81"/>
      <c r="Y29" s="80"/>
      <c r="Z29" s="737">
        <f ca="1">MAX(0%,IF(Q29&lt;&gt;0,MIN((S29-Q29)/Q29/'Underwriting Risk'!$E$27,'Premium and Reserve Risk'!$Z$26),'Premium and Reserve Risk'!$Z$26))</f>
        <v>8.0000000000000016E-2</v>
      </c>
      <c r="AA29" s="80"/>
      <c r="AB29" s="80"/>
      <c r="AC29" s="737">
        <f ca="1">MAX(0%,IF(U29&lt;&gt;0,MIN((W29-U29)/U29/'Underwriting Risk'!$E$27,'Premium and Reserve Risk'!$AC$26),'Premium and Reserve Risk'!$AC$26))</f>
        <v>0.09</v>
      </c>
      <c r="AD29" s="81"/>
      <c r="AE29" s="97"/>
      <c r="AF29" s="97"/>
      <c r="AG29" s="97"/>
      <c r="AH29" s="97"/>
    </row>
    <row r="30" spans="1:34" ht="13.5" customHeight="1" x14ac:dyDescent="0.25">
      <c r="A30" s="97"/>
      <c r="B30" s="257">
        <v>3</v>
      </c>
      <c r="C30" s="652"/>
      <c r="D30" s="80"/>
      <c r="E30" s="80"/>
      <c r="F30" s="258">
        <f t="shared" ca="1" si="4"/>
        <v>0</v>
      </c>
      <c r="G30" s="624"/>
      <c r="H30" s="85"/>
      <c r="I30" s="624"/>
      <c r="J30" s="85"/>
      <c r="K30" s="624"/>
      <c r="L30" s="85"/>
      <c r="M30" s="624"/>
      <c r="N30" s="85"/>
      <c r="O30" s="624"/>
      <c r="P30" s="85"/>
      <c r="Q30" s="626">
        <f t="shared" si="3"/>
        <v>0</v>
      </c>
      <c r="R30" s="85"/>
      <c r="S30" s="624"/>
      <c r="T30" s="260"/>
      <c r="U30" s="624"/>
      <c r="V30" s="85"/>
      <c r="W30" s="624"/>
      <c r="X30" s="81"/>
      <c r="Y30" s="80"/>
      <c r="Z30" s="737">
        <f ca="1">MAX(0%,IF(Q30&lt;&gt;0,MIN((S30-Q30)/Q30/'Underwriting Risk'!$E$27,'Premium and Reserve Risk'!$Z$26),'Premium and Reserve Risk'!$Z$26))</f>
        <v>8.0000000000000016E-2</v>
      </c>
      <c r="AA30" s="80"/>
      <c r="AB30" s="80"/>
      <c r="AC30" s="737">
        <f ca="1">MAX(0%,IF(U30&lt;&gt;0,MIN((W30-U30)/U30/'Underwriting Risk'!$E$27,'Premium and Reserve Risk'!$AC$26),'Premium and Reserve Risk'!$AC$26))</f>
        <v>0.09</v>
      </c>
      <c r="AD30" s="81"/>
      <c r="AE30" s="97"/>
      <c r="AF30" s="97"/>
      <c r="AG30" s="97"/>
      <c r="AH30" s="97"/>
    </row>
    <row r="31" spans="1:34" ht="13.5" customHeight="1" x14ac:dyDescent="0.25">
      <c r="A31" s="97"/>
      <c r="B31" s="257">
        <v>4</v>
      </c>
      <c r="C31" s="652"/>
      <c r="D31" s="80"/>
      <c r="E31" s="80"/>
      <c r="F31" s="258">
        <f t="shared" ca="1" si="4"/>
        <v>0</v>
      </c>
      <c r="G31" s="624"/>
      <c r="H31" s="85"/>
      <c r="I31" s="624"/>
      <c r="J31" s="85"/>
      <c r="K31" s="624"/>
      <c r="L31" s="85"/>
      <c r="M31" s="624"/>
      <c r="N31" s="85"/>
      <c r="O31" s="624"/>
      <c r="P31" s="85"/>
      <c r="Q31" s="626">
        <f t="shared" si="3"/>
        <v>0</v>
      </c>
      <c r="R31" s="85"/>
      <c r="S31" s="624"/>
      <c r="T31" s="260"/>
      <c r="U31" s="624"/>
      <c r="V31" s="85"/>
      <c r="W31" s="624"/>
      <c r="X31" s="81"/>
      <c r="Y31" s="80"/>
      <c r="Z31" s="737">
        <f ca="1">MAX(0%,IF(Q31&lt;&gt;0,MIN((S31-Q31)/Q31/'Underwriting Risk'!$E$27,'Premium and Reserve Risk'!$Z$26),'Premium and Reserve Risk'!$Z$26))</f>
        <v>8.0000000000000016E-2</v>
      </c>
      <c r="AA31" s="80"/>
      <c r="AB31" s="80"/>
      <c r="AC31" s="737">
        <f ca="1">MAX(0%,IF(U31&lt;&gt;0,MIN((W31-U31)/U31/'Underwriting Risk'!$E$27,'Premium and Reserve Risk'!$AC$26),'Premium and Reserve Risk'!$AC$26))</f>
        <v>0.09</v>
      </c>
      <c r="AD31" s="81"/>
      <c r="AE31" s="97"/>
      <c r="AF31" s="97"/>
      <c r="AG31" s="97"/>
      <c r="AH31" s="97"/>
    </row>
    <row r="32" spans="1:34" ht="13.5" customHeight="1" x14ac:dyDescent="0.25">
      <c r="A32" s="97"/>
      <c r="B32" s="257">
        <v>5</v>
      </c>
      <c r="C32" s="652"/>
      <c r="D32" s="80"/>
      <c r="E32" s="80"/>
      <c r="F32" s="258">
        <f t="shared" ca="1" si="4"/>
        <v>0</v>
      </c>
      <c r="G32" s="624"/>
      <c r="H32" s="85"/>
      <c r="I32" s="624"/>
      <c r="J32" s="85"/>
      <c r="K32" s="624"/>
      <c r="L32" s="85"/>
      <c r="M32" s="624"/>
      <c r="N32" s="85"/>
      <c r="O32" s="624"/>
      <c r="P32" s="85"/>
      <c r="Q32" s="626">
        <f t="shared" si="3"/>
        <v>0</v>
      </c>
      <c r="R32" s="85"/>
      <c r="S32" s="624"/>
      <c r="T32" s="260"/>
      <c r="U32" s="624"/>
      <c r="V32" s="85"/>
      <c r="W32" s="624"/>
      <c r="X32" s="81"/>
      <c r="Y32" s="80"/>
      <c r="Z32" s="737">
        <f ca="1">MAX(0%,IF(Q32&lt;&gt;0,MIN((S32-Q32)/Q32/'Underwriting Risk'!$E$27,'Premium and Reserve Risk'!$Z$26),'Premium and Reserve Risk'!$Z$26))</f>
        <v>8.0000000000000016E-2</v>
      </c>
      <c r="AA32" s="80"/>
      <c r="AB32" s="80"/>
      <c r="AC32" s="737">
        <f ca="1">MAX(0%,IF(U32&lt;&gt;0,MIN((W32-U32)/U32/'Underwriting Risk'!$E$27,'Premium and Reserve Risk'!$AC$26),'Premium and Reserve Risk'!$AC$26))</f>
        <v>0.09</v>
      </c>
      <c r="AD32" s="81"/>
      <c r="AE32" s="97"/>
      <c r="AF32" s="97"/>
      <c r="AG32" s="97"/>
      <c r="AH32" s="97"/>
    </row>
    <row r="33" spans="1:34" ht="13.5" customHeight="1" x14ac:dyDescent="0.25">
      <c r="A33" s="97"/>
      <c r="B33" s="257">
        <v>6</v>
      </c>
      <c r="C33" s="652"/>
      <c r="D33" s="80"/>
      <c r="E33" s="80"/>
      <c r="F33" s="258">
        <f t="shared" ca="1" si="4"/>
        <v>0</v>
      </c>
      <c r="G33" s="624"/>
      <c r="H33" s="85"/>
      <c r="I33" s="624"/>
      <c r="J33" s="85"/>
      <c r="K33" s="624"/>
      <c r="L33" s="85"/>
      <c r="M33" s="624"/>
      <c r="N33" s="85"/>
      <c r="O33" s="624"/>
      <c r="P33" s="85"/>
      <c r="Q33" s="626">
        <f t="shared" si="3"/>
        <v>0</v>
      </c>
      <c r="R33" s="85"/>
      <c r="S33" s="624"/>
      <c r="T33" s="260"/>
      <c r="U33" s="624"/>
      <c r="V33" s="85"/>
      <c r="W33" s="624"/>
      <c r="X33" s="81"/>
      <c r="Y33" s="80"/>
      <c r="Z33" s="737">
        <f ca="1">MAX(0%,IF(Q33&lt;&gt;0,MIN((S33-Q33)/Q33/'Underwriting Risk'!$E$27,'Premium and Reserve Risk'!$Z$26),'Premium and Reserve Risk'!$Z$26))</f>
        <v>8.0000000000000016E-2</v>
      </c>
      <c r="AA33" s="80"/>
      <c r="AB33" s="80"/>
      <c r="AC33" s="737">
        <f ca="1">MAX(0%,IF(U33&lt;&gt;0,MIN((W33-U33)/U33/'Underwriting Risk'!$E$27,'Premium and Reserve Risk'!$AC$26),'Premium and Reserve Risk'!$AC$26))</f>
        <v>0.09</v>
      </c>
      <c r="AD33" s="81"/>
      <c r="AE33" s="97"/>
      <c r="AF33" s="97"/>
      <c r="AG33" s="97"/>
      <c r="AH33" s="97"/>
    </row>
    <row r="34" spans="1:34" ht="13.5" customHeight="1" x14ac:dyDescent="0.25">
      <c r="A34" s="97"/>
      <c r="B34" s="257">
        <v>7</v>
      </c>
      <c r="C34" s="652"/>
      <c r="D34" s="80"/>
      <c r="E34" s="80"/>
      <c r="F34" s="258">
        <f t="shared" ca="1" si="4"/>
        <v>0</v>
      </c>
      <c r="G34" s="624"/>
      <c r="H34" s="85"/>
      <c r="I34" s="624"/>
      <c r="J34" s="85"/>
      <c r="K34" s="624"/>
      <c r="L34" s="85"/>
      <c r="M34" s="624"/>
      <c r="N34" s="85"/>
      <c r="O34" s="624"/>
      <c r="P34" s="85"/>
      <c r="Q34" s="626">
        <f t="shared" si="3"/>
        <v>0</v>
      </c>
      <c r="R34" s="85"/>
      <c r="S34" s="624"/>
      <c r="T34" s="260"/>
      <c r="U34" s="624"/>
      <c r="V34" s="85"/>
      <c r="W34" s="624"/>
      <c r="X34" s="81"/>
      <c r="Y34" s="80"/>
      <c r="Z34" s="737">
        <f ca="1">MAX(0%,IF(Q34&lt;&gt;0,MIN((S34-Q34)/Q34/'Underwriting Risk'!$E$27,'Premium and Reserve Risk'!$Z$26),'Premium and Reserve Risk'!$Z$26))</f>
        <v>8.0000000000000016E-2</v>
      </c>
      <c r="AA34" s="80"/>
      <c r="AB34" s="80"/>
      <c r="AC34" s="737">
        <f ca="1">MAX(0%,IF(U34&lt;&gt;0,MIN((W34-U34)/U34/'Underwriting Risk'!$E$27,'Premium and Reserve Risk'!$AC$26),'Premium and Reserve Risk'!$AC$26))</f>
        <v>0.09</v>
      </c>
      <c r="AD34" s="81"/>
      <c r="AE34" s="97"/>
      <c r="AF34" s="97"/>
      <c r="AG34" s="97"/>
      <c r="AH34" s="97"/>
    </row>
    <row r="35" spans="1:34" ht="13.5" customHeight="1" x14ac:dyDescent="0.25">
      <c r="A35" s="97"/>
      <c r="B35" s="257">
        <v>8</v>
      </c>
      <c r="C35" s="652"/>
      <c r="D35" s="80"/>
      <c r="E35" s="80"/>
      <c r="F35" s="258">
        <f t="shared" ca="1" si="4"/>
        <v>0</v>
      </c>
      <c r="G35" s="624"/>
      <c r="H35" s="85"/>
      <c r="I35" s="624"/>
      <c r="J35" s="85"/>
      <c r="K35" s="624"/>
      <c r="L35" s="85"/>
      <c r="M35" s="624"/>
      <c r="N35" s="85"/>
      <c r="O35" s="624"/>
      <c r="P35" s="85"/>
      <c r="Q35" s="626">
        <f t="shared" si="3"/>
        <v>0</v>
      </c>
      <c r="R35" s="85"/>
      <c r="S35" s="624"/>
      <c r="T35" s="260"/>
      <c r="U35" s="624"/>
      <c r="V35" s="85"/>
      <c r="W35" s="624"/>
      <c r="X35" s="81"/>
      <c r="Y35" s="80"/>
      <c r="Z35" s="737">
        <f ca="1">MAX(0%,IF(Q35&lt;&gt;0,MIN((S35-Q35)/Q35/'Underwriting Risk'!$E$27,'Premium and Reserve Risk'!$Z$26),'Premium and Reserve Risk'!$Z$26))</f>
        <v>8.0000000000000016E-2</v>
      </c>
      <c r="AA35" s="80"/>
      <c r="AB35" s="80"/>
      <c r="AC35" s="737">
        <f ca="1">MAX(0%,IF(U35&lt;&gt;0,MIN((W35-U35)/U35/'Underwriting Risk'!$E$27,'Premium and Reserve Risk'!$AC$26),'Premium and Reserve Risk'!$AC$26))</f>
        <v>0.09</v>
      </c>
      <c r="AD35" s="81"/>
      <c r="AE35" s="97"/>
      <c r="AF35" s="97"/>
      <c r="AG35" s="97"/>
      <c r="AH35" s="97"/>
    </row>
    <row r="36" spans="1:34" ht="13.5" customHeight="1" x14ac:dyDescent="0.25">
      <c r="A36" s="97"/>
      <c r="B36" s="257">
        <v>9</v>
      </c>
      <c r="C36" s="652"/>
      <c r="D36" s="80"/>
      <c r="E36" s="80"/>
      <c r="F36" s="258">
        <f t="shared" ca="1" si="4"/>
        <v>0</v>
      </c>
      <c r="G36" s="624"/>
      <c r="H36" s="85"/>
      <c r="I36" s="624"/>
      <c r="J36" s="85"/>
      <c r="K36" s="624"/>
      <c r="L36" s="85"/>
      <c r="M36" s="624"/>
      <c r="N36" s="85"/>
      <c r="O36" s="624"/>
      <c r="P36" s="85"/>
      <c r="Q36" s="626">
        <f t="shared" si="3"/>
        <v>0</v>
      </c>
      <c r="R36" s="85"/>
      <c r="S36" s="624"/>
      <c r="T36" s="260"/>
      <c r="U36" s="624"/>
      <c r="V36" s="85"/>
      <c r="W36" s="624"/>
      <c r="X36" s="81"/>
      <c r="Y36" s="80"/>
      <c r="Z36" s="737">
        <f ca="1">MAX(0%,IF(Q36&lt;&gt;0,MIN((S36-Q36)/Q36/'Underwriting Risk'!$E$27,'Premium and Reserve Risk'!$Z$26),'Premium and Reserve Risk'!$Z$26))</f>
        <v>8.0000000000000016E-2</v>
      </c>
      <c r="AA36" s="80"/>
      <c r="AB36" s="80"/>
      <c r="AC36" s="737">
        <f ca="1">MAX(0%,IF(U36&lt;&gt;0,MIN((W36-U36)/U36/'Underwriting Risk'!$E$27,'Premium and Reserve Risk'!$AC$26),'Premium and Reserve Risk'!$AC$26))</f>
        <v>0.09</v>
      </c>
      <c r="AD36" s="81"/>
      <c r="AE36" s="97"/>
      <c r="AF36" s="97"/>
      <c r="AG36" s="97"/>
      <c r="AH36" s="97"/>
    </row>
    <row r="37" spans="1:34" ht="13.5" customHeight="1" x14ac:dyDescent="0.25">
      <c r="A37" s="97"/>
      <c r="B37" s="257">
        <v>10</v>
      </c>
      <c r="C37" s="652"/>
      <c r="D37" s="80"/>
      <c r="E37" s="80"/>
      <c r="F37" s="258">
        <f t="shared" ca="1" si="4"/>
        <v>0</v>
      </c>
      <c r="G37" s="624"/>
      <c r="H37" s="85"/>
      <c r="I37" s="624"/>
      <c r="J37" s="85"/>
      <c r="K37" s="624"/>
      <c r="L37" s="85"/>
      <c r="M37" s="624"/>
      <c r="N37" s="85"/>
      <c r="O37" s="624"/>
      <c r="P37" s="85"/>
      <c r="Q37" s="626">
        <f t="shared" si="3"/>
        <v>0</v>
      </c>
      <c r="R37" s="85"/>
      <c r="S37" s="624"/>
      <c r="T37" s="260"/>
      <c r="U37" s="624"/>
      <c r="V37" s="85"/>
      <c r="W37" s="624"/>
      <c r="X37" s="81"/>
      <c r="Y37" s="80"/>
      <c r="Z37" s="737">
        <f ca="1">MAX(0%,IF(Q37&lt;&gt;0,MIN((S37-Q37)/Q37/'Underwriting Risk'!$E$27,'Premium and Reserve Risk'!$Z$26),'Premium and Reserve Risk'!$Z$26))</f>
        <v>8.0000000000000016E-2</v>
      </c>
      <c r="AA37" s="80"/>
      <c r="AB37" s="80"/>
      <c r="AC37" s="737">
        <f ca="1">MAX(0%,IF(U37&lt;&gt;0,MIN((W37-U37)/U37/'Underwriting Risk'!$E$27,'Premium and Reserve Risk'!$AC$26),'Premium and Reserve Risk'!$AC$26))</f>
        <v>0.09</v>
      </c>
      <c r="AD37" s="81"/>
      <c r="AE37" s="97"/>
      <c r="AF37" s="97"/>
      <c r="AG37" s="97"/>
      <c r="AH37" s="97"/>
    </row>
    <row r="38" spans="1:34" ht="13.5" customHeight="1" x14ac:dyDescent="0.25">
      <c r="A38" s="97"/>
      <c r="B38" s="257">
        <v>11</v>
      </c>
      <c r="C38" s="652"/>
      <c r="D38" s="80"/>
      <c r="E38" s="80"/>
      <c r="F38" s="258">
        <f t="shared" ca="1" si="4"/>
        <v>0</v>
      </c>
      <c r="G38" s="624"/>
      <c r="H38" s="85"/>
      <c r="I38" s="624"/>
      <c r="J38" s="85"/>
      <c r="K38" s="624"/>
      <c r="L38" s="85"/>
      <c r="M38" s="624"/>
      <c r="N38" s="85"/>
      <c r="O38" s="624"/>
      <c r="P38" s="85"/>
      <c r="Q38" s="626">
        <f t="shared" si="3"/>
        <v>0</v>
      </c>
      <c r="R38" s="85"/>
      <c r="S38" s="624"/>
      <c r="T38" s="260"/>
      <c r="U38" s="624"/>
      <c r="V38" s="85"/>
      <c r="W38" s="624"/>
      <c r="X38" s="81"/>
      <c r="Y38" s="80"/>
      <c r="Z38" s="737">
        <f ca="1">MAX(0%,IF(Q38&lt;&gt;0,MIN((S38-Q38)/Q38/'Underwriting Risk'!$E$27,'Premium and Reserve Risk'!$Z$26),'Premium and Reserve Risk'!$Z$26))</f>
        <v>8.0000000000000016E-2</v>
      </c>
      <c r="AA38" s="80"/>
      <c r="AB38" s="80"/>
      <c r="AC38" s="737">
        <f ca="1">MAX(0%,IF(U38&lt;&gt;0,MIN((W38-U38)/U38/'Underwriting Risk'!$E$27,'Premium and Reserve Risk'!$AC$26),'Premium and Reserve Risk'!$AC$26))</f>
        <v>0.09</v>
      </c>
      <c r="AD38" s="81"/>
      <c r="AE38" s="97"/>
      <c r="AF38" s="97"/>
      <c r="AG38" s="97"/>
      <c r="AH38" s="97"/>
    </row>
    <row r="39" spans="1:34" ht="13.5" customHeight="1" x14ac:dyDescent="0.25">
      <c r="A39" s="97"/>
      <c r="B39" s="257">
        <v>12</v>
      </c>
      <c r="C39" s="652"/>
      <c r="D39" s="80"/>
      <c r="E39" s="80"/>
      <c r="F39" s="258">
        <f t="shared" ca="1" si="4"/>
        <v>0</v>
      </c>
      <c r="G39" s="624"/>
      <c r="H39" s="85"/>
      <c r="I39" s="624"/>
      <c r="J39" s="85"/>
      <c r="K39" s="624"/>
      <c r="L39" s="85"/>
      <c r="M39" s="624"/>
      <c r="N39" s="85"/>
      <c r="O39" s="624"/>
      <c r="P39" s="85"/>
      <c r="Q39" s="626">
        <f t="shared" si="3"/>
        <v>0</v>
      </c>
      <c r="R39" s="85"/>
      <c r="S39" s="624"/>
      <c r="T39" s="260"/>
      <c r="U39" s="624"/>
      <c r="V39" s="85"/>
      <c r="W39" s="624"/>
      <c r="X39" s="81"/>
      <c r="Y39" s="80"/>
      <c r="Z39" s="737">
        <f ca="1">MAX(0%,IF(Q39&lt;&gt;0,MIN((S39-Q39)/Q39/'Underwriting Risk'!$E$27,'Premium and Reserve Risk'!$Z$26),'Premium and Reserve Risk'!$Z$26))</f>
        <v>8.0000000000000016E-2</v>
      </c>
      <c r="AA39" s="80"/>
      <c r="AB39" s="80"/>
      <c r="AC39" s="737">
        <f ca="1">MAX(0%,IF(U39&lt;&gt;0,MIN((W39-U39)/U39/'Underwriting Risk'!$E$27,'Premium and Reserve Risk'!$AC$26),'Premium and Reserve Risk'!$AC$26))</f>
        <v>0.09</v>
      </c>
      <c r="AD39" s="81"/>
      <c r="AE39" s="97"/>
      <c r="AF39" s="97"/>
      <c r="AG39" s="97"/>
      <c r="AH39" s="97"/>
    </row>
    <row r="40" spans="1:34" ht="13.5" customHeight="1" x14ac:dyDescent="0.25">
      <c r="A40" s="97"/>
      <c r="B40" s="257">
        <v>13</v>
      </c>
      <c r="C40" s="652"/>
      <c r="D40" s="80"/>
      <c r="E40" s="80"/>
      <c r="F40" s="258">
        <f t="shared" ca="1" si="4"/>
        <v>0</v>
      </c>
      <c r="G40" s="624"/>
      <c r="H40" s="85"/>
      <c r="I40" s="624"/>
      <c r="J40" s="85"/>
      <c r="K40" s="624"/>
      <c r="L40" s="85"/>
      <c r="M40" s="624"/>
      <c r="N40" s="85"/>
      <c r="O40" s="624"/>
      <c r="P40" s="85"/>
      <c r="Q40" s="626">
        <f t="shared" si="3"/>
        <v>0</v>
      </c>
      <c r="R40" s="85"/>
      <c r="S40" s="624"/>
      <c r="T40" s="260"/>
      <c r="U40" s="624"/>
      <c r="V40" s="85"/>
      <c r="W40" s="624"/>
      <c r="X40" s="81"/>
      <c r="Y40" s="80"/>
      <c r="Z40" s="737">
        <f ca="1">MAX(0%,IF(Q40&lt;&gt;0,MIN((S40-Q40)/Q40/'Underwriting Risk'!$E$27,'Premium and Reserve Risk'!$Z$26),'Premium and Reserve Risk'!$Z$26))</f>
        <v>8.0000000000000016E-2</v>
      </c>
      <c r="AA40" s="80"/>
      <c r="AB40" s="80"/>
      <c r="AC40" s="737">
        <f ca="1">MAX(0%,IF(U40&lt;&gt;0,MIN((W40-U40)/U40/'Underwriting Risk'!$E$27,'Premium and Reserve Risk'!$AC$26),'Premium and Reserve Risk'!$AC$26))</f>
        <v>0.09</v>
      </c>
      <c r="AD40" s="81"/>
      <c r="AE40" s="97"/>
      <c r="AF40" s="97"/>
      <c r="AG40" s="97"/>
      <c r="AH40" s="97"/>
    </row>
    <row r="41" spans="1:34" ht="13.5" customHeight="1" x14ac:dyDescent="0.25">
      <c r="A41" s="97"/>
      <c r="B41" s="257">
        <v>14</v>
      </c>
      <c r="C41" s="652"/>
      <c r="D41" s="80"/>
      <c r="E41" s="80"/>
      <c r="F41" s="258">
        <f t="shared" ca="1" si="4"/>
        <v>0</v>
      </c>
      <c r="G41" s="624"/>
      <c r="H41" s="85"/>
      <c r="I41" s="624"/>
      <c r="J41" s="85"/>
      <c r="K41" s="624"/>
      <c r="L41" s="85"/>
      <c r="M41" s="624"/>
      <c r="N41" s="85"/>
      <c r="O41" s="624"/>
      <c r="P41" s="85"/>
      <c r="Q41" s="626">
        <f t="shared" si="3"/>
        <v>0</v>
      </c>
      <c r="R41" s="85"/>
      <c r="S41" s="624"/>
      <c r="T41" s="260"/>
      <c r="U41" s="624"/>
      <c r="V41" s="85"/>
      <c r="W41" s="624"/>
      <c r="X41" s="81"/>
      <c r="Y41" s="80"/>
      <c r="Z41" s="737">
        <f ca="1">MAX(0%,IF(Q41&lt;&gt;0,MIN((S41-Q41)/Q41/'Underwriting Risk'!$E$27,'Premium and Reserve Risk'!$Z$26),'Premium and Reserve Risk'!$Z$26))</f>
        <v>8.0000000000000016E-2</v>
      </c>
      <c r="AA41" s="80"/>
      <c r="AB41" s="80"/>
      <c r="AC41" s="737">
        <f ca="1">MAX(0%,IF(U41&lt;&gt;0,MIN((W41-U41)/U41/'Underwriting Risk'!$E$27,'Premium and Reserve Risk'!$AC$26),'Premium and Reserve Risk'!$AC$26))</f>
        <v>0.09</v>
      </c>
      <c r="AD41" s="81"/>
      <c r="AE41" s="97"/>
      <c r="AF41" s="97"/>
      <c r="AG41" s="97"/>
      <c r="AH41" s="97"/>
    </row>
    <row r="42" spans="1:34" ht="13.5" customHeight="1" x14ac:dyDescent="0.25">
      <c r="A42" s="97"/>
      <c r="B42" s="257">
        <v>15</v>
      </c>
      <c r="C42" s="652"/>
      <c r="D42" s="80"/>
      <c r="E42" s="80"/>
      <c r="F42" s="258">
        <f t="shared" ca="1" si="4"/>
        <v>0</v>
      </c>
      <c r="G42" s="624"/>
      <c r="H42" s="85"/>
      <c r="I42" s="624"/>
      <c r="J42" s="85"/>
      <c r="K42" s="624"/>
      <c r="L42" s="85"/>
      <c r="M42" s="624"/>
      <c r="N42" s="85"/>
      <c r="O42" s="624"/>
      <c r="P42" s="85"/>
      <c r="Q42" s="626">
        <f t="shared" si="3"/>
        <v>0</v>
      </c>
      <c r="R42" s="85"/>
      <c r="S42" s="624"/>
      <c r="T42" s="260"/>
      <c r="U42" s="624"/>
      <c r="V42" s="85"/>
      <c r="W42" s="624"/>
      <c r="X42" s="81"/>
      <c r="Y42" s="80"/>
      <c r="Z42" s="737">
        <f ca="1">MAX(0%,IF(Q42&lt;&gt;0,MIN((S42-Q42)/Q42/'Underwriting Risk'!$E$27,'Premium and Reserve Risk'!$Z$26),'Premium and Reserve Risk'!$Z$26))</f>
        <v>8.0000000000000016E-2</v>
      </c>
      <c r="AA42" s="80"/>
      <c r="AB42" s="80"/>
      <c r="AC42" s="737">
        <f ca="1">MAX(0%,IF(U42&lt;&gt;0,MIN((W42-U42)/U42/'Underwriting Risk'!$E$27,'Premium and Reserve Risk'!$AC$26),'Premium and Reserve Risk'!$AC$26))</f>
        <v>0.09</v>
      </c>
      <c r="AD42" s="81"/>
      <c r="AE42" s="97"/>
      <c r="AF42" s="97"/>
      <c r="AG42" s="97"/>
      <c r="AH42" s="97"/>
    </row>
    <row r="43" spans="1:34" ht="13.5" customHeight="1" x14ac:dyDescent="0.25">
      <c r="A43" s="97"/>
      <c r="B43" s="257">
        <v>16</v>
      </c>
      <c r="C43" s="652"/>
      <c r="D43" s="80"/>
      <c r="E43" s="80"/>
      <c r="F43" s="258">
        <f t="shared" ca="1" si="4"/>
        <v>0</v>
      </c>
      <c r="G43" s="624"/>
      <c r="H43" s="85"/>
      <c r="I43" s="624"/>
      <c r="J43" s="85"/>
      <c r="K43" s="624"/>
      <c r="L43" s="85"/>
      <c r="M43" s="624"/>
      <c r="N43" s="85"/>
      <c r="O43" s="624"/>
      <c r="P43" s="85"/>
      <c r="Q43" s="626">
        <f t="shared" si="3"/>
        <v>0</v>
      </c>
      <c r="R43" s="85"/>
      <c r="S43" s="624"/>
      <c r="T43" s="260"/>
      <c r="U43" s="624"/>
      <c r="V43" s="85"/>
      <c r="W43" s="624"/>
      <c r="X43" s="81"/>
      <c r="Y43" s="80"/>
      <c r="Z43" s="737">
        <f ca="1">MAX(0%,IF(Q43&lt;&gt;0,MIN((S43-Q43)/Q43/'Underwriting Risk'!$E$27,'Premium and Reserve Risk'!$Z$26),'Premium and Reserve Risk'!$Z$26))</f>
        <v>8.0000000000000016E-2</v>
      </c>
      <c r="AA43" s="80"/>
      <c r="AB43" s="80"/>
      <c r="AC43" s="737">
        <f ca="1">MAX(0%,IF(U43&lt;&gt;0,MIN((W43-U43)/U43/'Underwriting Risk'!$E$27,'Premium and Reserve Risk'!$AC$26),'Premium and Reserve Risk'!$AC$26))</f>
        <v>0.09</v>
      </c>
      <c r="AD43" s="81"/>
      <c r="AE43" s="97"/>
      <c r="AF43" s="97"/>
      <c r="AG43" s="97"/>
      <c r="AH43" s="97"/>
    </row>
    <row r="44" spans="1:34" ht="13.5" customHeight="1" x14ac:dyDescent="0.25">
      <c r="A44" s="97"/>
      <c r="B44" s="257">
        <v>17</v>
      </c>
      <c r="C44" s="652"/>
      <c r="D44" s="80"/>
      <c r="E44" s="80"/>
      <c r="F44" s="258">
        <f t="shared" ca="1" si="4"/>
        <v>0</v>
      </c>
      <c r="G44" s="624"/>
      <c r="H44" s="85"/>
      <c r="I44" s="624"/>
      <c r="J44" s="85"/>
      <c r="K44" s="624"/>
      <c r="L44" s="85"/>
      <c r="M44" s="624"/>
      <c r="N44" s="85"/>
      <c r="O44" s="624"/>
      <c r="P44" s="85"/>
      <c r="Q44" s="626">
        <f t="shared" si="3"/>
        <v>0</v>
      </c>
      <c r="R44" s="85"/>
      <c r="S44" s="624"/>
      <c r="T44" s="260"/>
      <c r="U44" s="624"/>
      <c r="V44" s="85"/>
      <c r="W44" s="624"/>
      <c r="X44" s="81"/>
      <c r="Y44" s="80"/>
      <c r="Z44" s="737">
        <f ca="1">MAX(0%,IF(Q44&lt;&gt;0,MIN((S44-Q44)/Q44/'Underwriting Risk'!$E$27,'Premium and Reserve Risk'!$Z$26),'Premium and Reserve Risk'!$Z$26))</f>
        <v>8.0000000000000016E-2</v>
      </c>
      <c r="AA44" s="80"/>
      <c r="AB44" s="80"/>
      <c r="AC44" s="737">
        <f ca="1">MAX(0%,IF(U44&lt;&gt;0,MIN((W44-U44)/U44/'Underwriting Risk'!$E$27,'Premium and Reserve Risk'!$AC$26),'Premium and Reserve Risk'!$AC$26))</f>
        <v>0.09</v>
      </c>
      <c r="AD44" s="81"/>
      <c r="AE44" s="97"/>
      <c r="AF44" s="97"/>
      <c r="AG44" s="97"/>
      <c r="AH44" s="97"/>
    </row>
    <row r="45" spans="1:34" ht="13.5" customHeight="1" x14ac:dyDescent="0.25">
      <c r="A45" s="97"/>
      <c r="B45" s="257">
        <v>18</v>
      </c>
      <c r="C45" s="652"/>
      <c r="D45" s="80"/>
      <c r="E45" s="80"/>
      <c r="F45" s="258">
        <f t="shared" ca="1" si="4"/>
        <v>0</v>
      </c>
      <c r="G45" s="624"/>
      <c r="H45" s="85"/>
      <c r="I45" s="624"/>
      <c r="J45" s="85"/>
      <c r="K45" s="624"/>
      <c r="L45" s="85"/>
      <c r="M45" s="624"/>
      <c r="N45" s="85"/>
      <c r="O45" s="624"/>
      <c r="P45" s="85"/>
      <c r="Q45" s="626">
        <f t="shared" si="3"/>
        <v>0</v>
      </c>
      <c r="R45" s="85"/>
      <c r="S45" s="624"/>
      <c r="T45" s="260"/>
      <c r="U45" s="624"/>
      <c r="V45" s="85"/>
      <c r="W45" s="624"/>
      <c r="X45" s="81"/>
      <c r="Y45" s="80"/>
      <c r="Z45" s="737">
        <f ca="1">MAX(0%,IF(Q45&lt;&gt;0,MIN((S45-Q45)/Q45/'Underwriting Risk'!$E$27,'Premium and Reserve Risk'!$Z$26),'Premium and Reserve Risk'!$Z$26))</f>
        <v>8.0000000000000016E-2</v>
      </c>
      <c r="AA45" s="80"/>
      <c r="AB45" s="80"/>
      <c r="AC45" s="737">
        <f ca="1">MAX(0%,IF(U45&lt;&gt;0,MIN((W45-U45)/U45/'Underwriting Risk'!$E$27,'Premium and Reserve Risk'!$AC$26),'Premium and Reserve Risk'!$AC$26))</f>
        <v>0.09</v>
      </c>
      <c r="AD45" s="81"/>
      <c r="AE45" s="97"/>
      <c r="AF45" s="97"/>
      <c r="AG45" s="97"/>
      <c r="AH45" s="97"/>
    </row>
    <row r="46" spans="1:34" ht="13.5" customHeight="1" x14ac:dyDescent="0.25">
      <c r="A46" s="97"/>
      <c r="B46" s="257">
        <v>19</v>
      </c>
      <c r="C46" s="652"/>
      <c r="D46" s="80"/>
      <c r="E46" s="80"/>
      <c r="F46" s="258">
        <f t="shared" ca="1" si="4"/>
        <v>0</v>
      </c>
      <c r="G46" s="624"/>
      <c r="H46" s="85"/>
      <c r="I46" s="624"/>
      <c r="J46" s="85"/>
      <c r="K46" s="624"/>
      <c r="L46" s="85"/>
      <c r="M46" s="624"/>
      <c r="N46" s="85"/>
      <c r="O46" s="624"/>
      <c r="P46" s="85"/>
      <c r="Q46" s="626">
        <f t="shared" si="3"/>
        <v>0</v>
      </c>
      <c r="R46" s="85"/>
      <c r="S46" s="624"/>
      <c r="T46" s="260"/>
      <c r="U46" s="624"/>
      <c r="V46" s="85"/>
      <c r="W46" s="624"/>
      <c r="X46" s="81"/>
      <c r="Y46" s="80"/>
      <c r="Z46" s="737">
        <f ca="1">MAX(0%,IF(Q46&lt;&gt;0,MIN((S46-Q46)/Q46/'Underwriting Risk'!$E$27,'Premium and Reserve Risk'!$Z$26),'Premium and Reserve Risk'!$Z$26))</f>
        <v>8.0000000000000016E-2</v>
      </c>
      <c r="AA46" s="80"/>
      <c r="AB46" s="80"/>
      <c r="AC46" s="737">
        <f ca="1">MAX(0%,IF(U46&lt;&gt;0,MIN((W46-U46)/U46/'Underwriting Risk'!$E$27,'Premium and Reserve Risk'!$AC$26),'Premium and Reserve Risk'!$AC$26))</f>
        <v>0.09</v>
      </c>
      <c r="AD46" s="81"/>
      <c r="AE46" s="97"/>
      <c r="AF46" s="97"/>
      <c r="AG46" s="97"/>
      <c r="AH46" s="97"/>
    </row>
    <row r="47" spans="1:34" ht="13.5" customHeight="1" x14ac:dyDescent="0.25">
      <c r="A47" s="97"/>
      <c r="B47" s="257">
        <v>20</v>
      </c>
      <c r="C47" s="652"/>
      <c r="D47" s="80"/>
      <c r="E47" s="80"/>
      <c r="F47" s="258">
        <f t="shared" ca="1" si="4"/>
        <v>0</v>
      </c>
      <c r="G47" s="624"/>
      <c r="H47" s="85"/>
      <c r="I47" s="624"/>
      <c r="J47" s="85"/>
      <c r="K47" s="624"/>
      <c r="L47" s="85"/>
      <c r="M47" s="624"/>
      <c r="N47" s="85"/>
      <c r="O47" s="624"/>
      <c r="P47" s="85"/>
      <c r="Q47" s="626">
        <f t="shared" si="3"/>
        <v>0</v>
      </c>
      <c r="R47" s="85"/>
      <c r="S47" s="624"/>
      <c r="T47" s="260"/>
      <c r="U47" s="624"/>
      <c r="V47" s="85"/>
      <c r="W47" s="624"/>
      <c r="X47" s="81"/>
      <c r="Y47" s="80"/>
      <c r="Z47" s="737">
        <f ca="1">MAX(0%,IF(Q47&lt;&gt;0,MIN((S47-Q47)/Q47/'Underwriting Risk'!$E$27,'Premium and Reserve Risk'!$Z$26),'Premium and Reserve Risk'!$Z$26))</f>
        <v>8.0000000000000016E-2</v>
      </c>
      <c r="AA47" s="80"/>
      <c r="AB47" s="80"/>
      <c r="AC47" s="737">
        <f ca="1">MAX(0%,IF(U47&lt;&gt;0,MIN((W47-U47)/U47/'Underwriting Risk'!$E$27,'Premium and Reserve Risk'!$AC$26),'Premium and Reserve Risk'!$AC$26))</f>
        <v>0.09</v>
      </c>
      <c r="AD47" s="81"/>
      <c r="AE47" s="97"/>
      <c r="AF47" s="97"/>
      <c r="AG47" s="97"/>
      <c r="AH47" s="97"/>
    </row>
    <row r="48" spans="1:34" ht="13.5" customHeight="1" x14ac:dyDescent="0.25">
      <c r="A48" s="97"/>
      <c r="B48" s="257">
        <v>21</v>
      </c>
      <c r="C48" s="652"/>
      <c r="D48" s="80"/>
      <c r="E48" s="80"/>
      <c r="F48" s="258">
        <f t="shared" ca="1" si="4"/>
        <v>0</v>
      </c>
      <c r="G48" s="624"/>
      <c r="H48" s="85"/>
      <c r="I48" s="624"/>
      <c r="J48" s="85"/>
      <c r="K48" s="624"/>
      <c r="L48" s="85"/>
      <c r="M48" s="624"/>
      <c r="N48" s="85"/>
      <c r="O48" s="624"/>
      <c r="P48" s="85"/>
      <c r="Q48" s="626">
        <f t="shared" si="3"/>
        <v>0</v>
      </c>
      <c r="R48" s="85"/>
      <c r="S48" s="624"/>
      <c r="T48" s="260"/>
      <c r="U48" s="624"/>
      <c r="V48" s="85"/>
      <c r="W48" s="624"/>
      <c r="X48" s="81"/>
      <c r="Y48" s="80"/>
      <c r="Z48" s="737">
        <f ca="1">MAX(0%,IF(Q48&lt;&gt;0,MIN((S48-Q48)/Q48/'Underwriting Risk'!$E$27,'Premium and Reserve Risk'!$Z$26),'Premium and Reserve Risk'!$Z$26))</f>
        <v>8.0000000000000016E-2</v>
      </c>
      <c r="AA48" s="80"/>
      <c r="AB48" s="80"/>
      <c r="AC48" s="737">
        <f ca="1">MAX(0%,IF(U48&lt;&gt;0,MIN((W48-U48)/U48/'Underwriting Risk'!$E$27,'Premium and Reserve Risk'!$AC$26),'Premium and Reserve Risk'!$AC$26))</f>
        <v>0.09</v>
      </c>
      <c r="AD48" s="81"/>
      <c r="AE48" s="97"/>
      <c r="AF48" s="97"/>
      <c r="AG48" s="97"/>
      <c r="AH48" s="97"/>
    </row>
    <row r="49" spans="1:34" ht="13.5" customHeight="1" x14ac:dyDescent="0.25">
      <c r="A49" s="97"/>
      <c r="B49" s="257">
        <v>22</v>
      </c>
      <c r="C49" s="652"/>
      <c r="D49" s="80"/>
      <c r="E49" s="80"/>
      <c r="F49" s="258">
        <f t="shared" ca="1" si="4"/>
        <v>0</v>
      </c>
      <c r="G49" s="624"/>
      <c r="H49" s="85"/>
      <c r="I49" s="624"/>
      <c r="J49" s="85"/>
      <c r="K49" s="624"/>
      <c r="L49" s="85"/>
      <c r="M49" s="624"/>
      <c r="N49" s="85"/>
      <c r="O49" s="624"/>
      <c r="P49" s="85"/>
      <c r="Q49" s="626">
        <f t="shared" si="3"/>
        <v>0</v>
      </c>
      <c r="R49" s="85"/>
      <c r="S49" s="624"/>
      <c r="T49" s="260"/>
      <c r="U49" s="624"/>
      <c r="V49" s="85"/>
      <c r="W49" s="624"/>
      <c r="X49" s="81"/>
      <c r="Y49" s="80"/>
      <c r="Z49" s="737">
        <f ca="1">MAX(0%,IF(Q49&lt;&gt;0,MIN((S49-Q49)/Q49/'Underwriting Risk'!$E$27,'Premium and Reserve Risk'!$Z$26),'Premium and Reserve Risk'!$Z$26))</f>
        <v>8.0000000000000016E-2</v>
      </c>
      <c r="AA49" s="80"/>
      <c r="AB49" s="80"/>
      <c r="AC49" s="737">
        <f ca="1">MAX(0%,IF(U49&lt;&gt;0,MIN((W49-U49)/U49/'Underwriting Risk'!$E$27,'Premium and Reserve Risk'!$AC$26),'Premium and Reserve Risk'!$AC$26))</f>
        <v>0.09</v>
      </c>
      <c r="AD49" s="81"/>
      <c r="AE49" s="97"/>
      <c r="AF49" s="97"/>
      <c r="AG49" s="97"/>
      <c r="AH49" s="97"/>
    </row>
    <row r="50" spans="1:34" ht="13.5" customHeight="1" x14ac:dyDescent="0.25">
      <c r="A50" s="97"/>
      <c r="B50" s="257">
        <v>23</v>
      </c>
      <c r="C50" s="652"/>
      <c r="D50" s="80"/>
      <c r="E50" s="80"/>
      <c r="F50" s="258">
        <f t="shared" ca="1" si="4"/>
        <v>0</v>
      </c>
      <c r="G50" s="624"/>
      <c r="H50" s="85"/>
      <c r="I50" s="624"/>
      <c r="J50" s="85"/>
      <c r="K50" s="624"/>
      <c r="L50" s="85"/>
      <c r="M50" s="624"/>
      <c r="N50" s="85"/>
      <c r="O50" s="624"/>
      <c r="P50" s="85"/>
      <c r="Q50" s="626">
        <f t="shared" si="3"/>
        <v>0</v>
      </c>
      <c r="R50" s="85"/>
      <c r="S50" s="624"/>
      <c r="T50" s="260"/>
      <c r="U50" s="624"/>
      <c r="V50" s="85"/>
      <c r="W50" s="624"/>
      <c r="X50" s="81"/>
      <c r="Y50" s="80"/>
      <c r="Z50" s="737">
        <f ca="1">MAX(0%,IF(Q50&lt;&gt;0,MIN((S50-Q50)/Q50/'Underwriting Risk'!$E$27,'Premium and Reserve Risk'!$Z$26),'Premium and Reserve Risk'!$Z$26))</f>
        <v>8.0000000000000016E-2</v>
      </c>
      <c r="AA50" s="80"/>
      <c r="AB50" s="80"/>
      <c r="AC50" s="737">
        <f ca="1">MAX(0%,IF(U50&lt;&gt;0,MIN((W50-U50)/U50/'Underwriting Risk'!$E$27,'Premium and Reserve Risk'!$AC$26),'Premium and Reserve Risk'!$AC$26))</f>
        <v>0.09</v>
      </c>
      <c r="AD50" s="81"/>
      <c r="AE50" s="97"/>
      <c r="AF50" s="97"/>
      <c r="AG50" s="97"/>
      <c r="AH50" s="97"/>
    </row>
    <row r="51" spans="1:34" ht="13.5" customHeight="1" x14ac:dyDescent="0.25">
      <c r="A51" s="97"/>
      <c r="B51" s="257">
        <v>24</v>
      </c>
      <c r="C51" s="652"/>
      <c r="D51" s="80"/>
      <c r="E51" s="80"/>
      <c r="F51" s="258">
        <f t="shared" ca="1" si="4"/>
        <v>0</v>
      </c>
      <c r="G51" s="624"/>
      <c r="H51" s="85"/>
      <c r="I51" s="624"/>
      <c r="J51" s="85"/>
      <c r="K51" s="624"/>
      <c r="L51" s="85"/>
      <c r="M51" s="624"/>
      <c r="N51" s="85"/>
      <c r="O51" s="624"/>
      <c r="P51" s="85"/>
      <c r="Q51" s="626">
        <f t="shared" si="3"/>
        <v>0</v>
      </c>
      <c r="R51" s="85"/>
      <c r="S51" s="624"/>
      <c r="T51" s="260"/>
      <c r="U51" s="624"/>
      <c r="V51" s="85"/>
      <c r="W51" s="624"/>
      <c r="X51" s="81"/>
      <c r="Y51" s="80"/>
      <c r="Z51" s="737">
        <f ca="1">MAX(0%,IF(Q51&lt;&gt;0,MIN((S51-Q51)/Q51/'Underwriting Risk'!$E$27,'Premium and Reserve Risk'!$Z$26),'Premium and Reserve Risk'!$Z$26))</f>
        <v>8.0000000000000016E-2</v>
      </c>
      <c r="AA51" s="80"/>
      <c r="AB51" s="80"/>
      <c r="AC51" s="737">
        <f ca="1">MAX(0%,IF(U51&lt;&gt;0,MIN((W51-U51)/U51/'Underwriting Risk'!$E$27,'Premium and Reserve Risk'!$AC$26),'Premium and Reserve Risk'!$AC$26))</f>
        <v>0.09</v>
      </c>
      <c r="AD51" s="81"/>
      <c r="AE51" s="97"/>
      <c r="AF51" s="97"/>
      <c r="AG51" s="97"/>
      <c r="AH51" s="97"/>
    </row>
    <row r="52" spans="1:34" ht="13.5" customHeight="1" x14ac:dyDescent="0.25">
      <c r="A52" s="97"/>
      <c r="B52" s="257">
        <v>25</v>
      </c>
      <c r="C52" s="652"/>
      <c r="D52" s="80"/>
      <c r="E52" s="80"/>
      <c r="F52" s="258">
        <f t="shared" ca="1" si="4"/>
        <v>0</v>
      </c>
      <c r="G52" s="624"/>
      <c r="H52" s="85"/>
      <c r="I52" s="624"/>
      <c r="J52" s="85"/>
      <c r="K52" s="624"/>
      <c r="L52" s="85"/>
      <c r="M52" s="624"/>
      <c r="N52" s="85"/>
      <c r="O52" s="624"/>
      <c r="P52" s="85"/>
      <c r="Q52" s="626">
        <f t="shared" si="3"/>
        <v>0</v>
      </c>
      <c r="R52" s="85"/>
      <c r="S52" s="624"/>
      <c r="T52" s="260"/>
      <c r="U52" s="624"/>
      <c r="V52" s="85"/>
      <c r="W52" s="624"/>
      <c r="X52" s="81"/>
      <c r="Y52" s="80"/>
      <c r="Z52" s="737">
        <f ca="1">MAX(0%,IF(Q52&lt;&gt;0,MIN((S52-Q52)/Q52/'Underwriting Risk'!$E$27,'Premium and Reserve Risk'!$Z$26),'Premium and Reserve Risk'!$Z$26))</f>
        <v>8.0000000000000016E-2</v>
      </c>
      <c r="AA52" s="80"/>
      <c r="AB52" s="80"/>
      <c r="AC52" s="737">
        <f ca="1">MAX(0%,IF(U52&lt;&gt;0,MIN((W52-U52)/U52/'Underwriting Risk'!$E$27,'Premium and Reserve Risk'!$AC$26),'Premium and Reserve Risk'!$AC$26))</f>
        <v>0.09</v>
      </c>
      <c r="AD52" s="81"/>
      <c r="AE52" s="97"/>
      <c r="AF52" s="97"/>
      <c r="AG52" s="97"/>
      <c r="AH52" s="97"/>
    </row>
    <row r="53" spans="1:34" ht="13.5" customHeight="1" x14ac:dyDescent="0.25">
      <c r="A53" s="97"/>
      <c r="B53" s="257">
        <v>26</v>
      </c>
      <c r="C53" s="652"/>
      <c r="D53" s="80"/>
      <c r="E53" s="80"/>
      <c r="F53" s="258">
        <f t="shared" ca="1" si="4"/>
        <v>0</v>
      </c>
      <c r="G53" s="624"/>
      <c r="H53" s="85"/>
      <c r="I53" s="624"/>
      <c r="J53" s="85"/>
      <c r="K53" s="624"/>
      <c r="L53" s="85"/>
      <c r="M53" s="624"/>
      <c r="N53" s="85"/>
      <c r="O53" s="624"/>
      <c r="P53" s="85"/>
      <c r="Q53" s="626">
        <f t="shared" si="3"/>
        <v>0</v>
      </c>
      <c r="R53" s="85"/>
      <c r="S53" s="624"/>
      <c r="T53" s="260"/>
      <c r="U53" s="624"/>
      <c r="V53" s="85"/>
      <c r="W53" s="624"/>
      <c r="X53" s="81"/>
      <c r="Y53" s="80"/>
      <c r="Z53" s="737">
        <f ca="1">MAX(0%,IF(Q53&lt;&gt;0,MIN((S53-Q53)/Q53/'Underwriting Risk'!$E$27,'Premium and Reserve Risk'!$Z$26),'Premium and Reserve Risk'!$Z$26))</f>
        <v>8.0000000000000016E-2</v>
      </c>
      <c r="AA53" s="80"/>
      <c r="AB53" s="80"/>
      <c r="AC53" s="737">
        <f ca="1">MAX(0%,IF(U53&lt;&gt;0,MIN((W53-U53)/U53/'Underwriting Risk'!$E$27,'Premium and Reserve Risk'!$AC$26),'Premium and Reserve Risk'!$AC$26))</f>
        <v>0.09</v>
      </c>
      <c r="AD53" s="81"/>
      <c r="AE53" s="97"/>
      <c r="AF53" s="97"/>
      <c r="AG53" s="97"/>
      <c r="AH53" s="97"/>
    </row>
    <row r="54" spans="1:34" ht="13.5" customHeight="1" x14ac:dyDescent="0.25">
      <c r="A54" s="97"/>
      <c r="B54" s="257">
        <v>27</v>
      </c>
      <c r="C54" s="652"/>
      <c r="D54" s="80"/>
      <c r="E54" s="80"/>
      <c r="F54" s="258">
        <f t="shared" ca="1" si="4"/>
        <v>0</v>
      </c>
      <c r="G54" s="624"/>
      <c r="H54" s="85"/>
      <c r="I54" s="624"/>
      <c r="J54" s="85"/>
      <c r="K54" s="624"/>
      <c r="L54" s="85"/>
      <c r="M54" s="624"/>
      <c r="N54" s="85"/>
      <c r="O54" s="624"/>
      <c r="P54" s="85"/>
      <c r="Q54" s="626">
        <f t="shared" si="3"/>
        <v>0</v>
      </c>
      <c r="R54" s="85"/>
      <c r="S54" s="624"/>
      <c r="T54" s="260"/>
      <c r="U54" s="624"/>
      <c r="V54" s="85"/>
      <c r="W54" s="624"/>
      <c r="X54" s="81"/>
      <c r="Y54" s="80"/>
      <c r="Z54" s="737">
        <f ca="1">MAX(0%,IF(Q54&lt;&gt;0,MIN((S54-Q54)/Q54/'Underwriting Risk'!$E$27,'Premium and Reserve Risk'!$Z$26),'Premium and Reserve Risk'!$Z$26))</f>
        <v>8.0000000000000016E-2</v>
      </c>
      <c r="AA54" s="80"/>
      <c r="AB54" s="80"/>
      <c r="AC54" s="737">
        <f ca="1">MAX(0%,IF(U54&lt;&gt;0,MIN((W54-U54)/U54/'Underwriting Risk'!$E$27,'Premium and Reserve Risk'!$AC$26),'Premium and Reserve Risk'!$AC$26))</f>
        <v>0.09</v>
      </c>
      <c r="AD54" s="81"/>
      <c r="AE54" s="97"/>
      <c r="AF54" s="97"/>
      <c r="AG54" s="97"/>
      <c r="AH54" s="97"/>
    </row>
    <row r="55" spans="1:34" ht="13.5" customHeight="1" x14ac:dyDescent="0.25">
      <c r="A55" s="97"/>
      <c r="B55" s="257">
        <v>28</v>
      </c>
      <c r="C55" s="652"/>
      <c r="D55" s="80"/>
      <c r="E55" s="80"/>
      <c r="F55" s="258">
        <f t="shared" ca="1" si="4"/>
        <v>0</v>
      </c>
      <c r="G55" s="624"/>
      <c r="H55" s="85"/>
      <c r="I55" s="624"/>
      <c r="J55" s="85"/>
      <c r="K55" s="624"/>
      <c r="L55" s="85"/>
      <c r="M55" s="624"/>
      <c r="N55" s="85"/>
      <c r="O55" s="624"/>
      <c r="P55" s="85"/>
      <c r="Q55" s="626">
        <f t="shared" si="3"/>
        <v>0</v>
      </c>
      <c r="R55" s="85"/>
      <c r="S55" s="624"/>
      <c r="T55" s="260"/>
      <c r="U55" s="624"/>
      <c r="V55" s="85"/>
      <c r="W55" s="624"/>
      <c r="X55" s="81"/>
      <c r="Y55" s="80"/>
      <c r="Z55" s="737">
        <f ca="1">MAX(0%,IF(Q55&lt;&gt;0,MIN((S55-Q55)/Q55/'Underwriting Risk'!$E$27,'Premium and Reserve Risk'!$Z$26),'Premium and Reserve Risk'!$Z$26))</f>
        <v>8.0000000000000016E-2</v>
      </c>
      <c r="AA55" s="80"/>
      <c r="AB55" s="80"/>
      <c r="AC55" s="737">
        <f ca="1">MAX(0%,IF(U55&lt;&gt;0,MIN((W55-U55)/U55/'Underwriting Risk'!$E$27,'Premium and Reserve Risk'!$AC$26),'Premium and Reserve Risk'!$AC$26))</f>
        <v>0.09</v>
      </c>
      <c r="AD55" s="81"/>
      <c r="AE55" s="97"/>
      <c r="AF55" s="97"/>
      <c r="AG55" s="97"/>
      <c r="AH55" s="97"/>
    </row>
    <row r="56" spans="1:34" ht="13.5" customHeight="1" x14ac:dyDescent="0.25">
      <c r="A56" s="97"/>
      <c r="B56" s="257">
        <v>29</v>
      </c>
      <c r="C56" s="652"/>
      <c r="D56" s="80"/>
      <c r="E56" s="80"/>
      <c r="F56" s="258">
        <f t="shared" ca="1" si="4"/>
        <v>0</v>
      </c>
      <c r="G56" s="624"/>
      <c r="H56" s="85"/>
      <c r="I56" s="624"/>
      <c r="J56" s="85"/>
      <c r="K56" s="624"/>
      <c r="L56" s="85"/>
      <c r="M56" s="624"/>
      <c r="N56" s="85"/>
      <c r="O56" s="624"/>
      <c r="P56" s="85"/>
      <c r="Q56" s="626">
        <f t="shared" si="3"/>
        <v>0</v>
      </c>
      <c r="R56" s="85"/>
      <c r="S56" s="624"/>
      <c r="T56" s="260"/>
      <c r="U56" s="624"/>
      <c r="V56" s="85"/>
      <c r="W56" s="624"/>
      <c r="X56" s="81"/>
      <c r="Y56" s="80"/>
      <c r="Z56" s="737">
        <f ca="1">MAX(0%,IF(Q56&lt;&gt;0,MIN((S56-Q56)/Q56/'Underwriting Risk'!$E$27,'Premium and Reserve Risk'!$Z$26),'Premium and Reserve Risk'!$Z$26))</f>
        <v>8.0000000000000016E-2</v>
      </c>
      <c r="AA56" s="80"/>
      <c r="AB56" s="80"/>
      <c r="AC56" s="737">
        <f ca="1">MAX(0%,IF(U56&lt;&gt;0,MIN((W56-U56)/U56/'Underwriting Risk'!$E$27,'Premium and Reserve Risk'!$AC$26),'Premium and Reserve Risk'!$AC$26))</f>
        <v>0.09</v>
      </c>
      <c r="AD56" s="81"/>
      <c r="AE56" s="97"/>
      <c r="AF56" s="97"/>
      <c r="AG56" s="97"/>
      <c r="AH56" s="97"/>
    </row>
    <row r="57" spans="1:34" ht="13.5" customHeight="1" x14ac:dyDescent="0.25">
      <c r="A57" s="97"/>
      <c r="B57" s="257">
        <v>30</v>
      </c>
      <c r="C57" s="652"/>
      <c r="D57" s="80"/>
      <c r="E57" s="80"/>
      <c r="F57" s="258">
        <f t="shared" ca="1" si="4"/>
        <v>0</v>
      </c>
      <c r="G57" s="624"/>
      <c r="H57" s="85"/>
      <c r="I57" s="624"/>
      <c r="J57" s="85"/>
      <c r="K57" s="624"/>
      <c r="L57" s="85"/>
      <c r="M57" s="624"/>
      <c r="N57" s="85"/>
      <c r="O57" s="624"/>
      <c r="P57" s="85"/>
      <c r="Q57" s="626">
        <f t="shared" si="3"/>
        <v>0</v>
      </c>
      <c r="R57" s="85"/>
      <c r="S57" s="624"/>
      <c r="T57" s="260"/>
      <c r="U57" s="624"/>
      <c r="V57" s="85"/>
      <c r="W57" s="624"/>
      <c r="X57" s="81"/>
      <c r="Y57" s="80"/>
      <c r="Z57" s="737">
        <f ca="1">MAX(0%,IF(Q57&lt;&gt;0,MIN((S57-Q57)/Q57/'Underwriting Risk'!$E$27,'Premium and Reserve Risk'!$Z$26),'Premium and Reserve Risk'!$Z$26))</f>
        <v>8.0000000000000016E-2</v>
      </c>
      <c r="AA57" s="80"/>
      <c r="AB57" s="80"/>
      <c r="AC57" s="737">
        <f ca="1">MAX(0%,IF(U57&lt;&gt;0,MIN((W57-U57)/U57/'Underwriting Risk'!$E$27,'Premium and Reserve Risk'!$AC$26),'Premium and Reserve Risk'!$AC$26))</f>
        <v>0.09</v>
      </c>
      <c r="AD57" s="81"/>
      <c r="AE57" s="97"/>
      <c r="AF57" s="97"/>
      <c r="AG57" s="97"/>
      <c r="AH57" s="97"/>
    </row>
    <row r="58" spans="1:34" ht="13.5" customHeight="1" x14ac:dyDescent="0.25">
      <c r="A58" s="97"/>
      <c r="B58" s="257">
        <v>31</v>
      </c>
      <c r="C58" s="652"/>
      <c r="D58" s="80"/>
      <c r="E58" s="80"/>
      <c r="F58" s="258">
        <f t="shared" ca="1" si="4"/>
        <v>0</v>
      </c>
      <c r="G58" s="624"/>
      <c r="H58" s="85"/>
      <c r="I58" s="624"/>
      <c r="J58" s="85"/>
      <c r="K58" s="624"/>
      <c r="L58" s="85"/>
      <c r="M58" s="624"/>
      <c r="N58" s="85"/>
      <c r="O58" s="624"/>
      <c r="P58" s="85"/>
      <c r="Q58" s="626">
        <f t="shared" si="3"/>
        <v>0</v>
      </c>
      <c r="R58" s="85"/>
      <c r="S58" s="624"/>
      <c r="T58" s="260"/>
      <c r="U58" s="624"/>
      <c r="V58" s="85"/>
      <c r="W58" s="624"/>
      <c r="X58" s="81"/>
      <c r="Y58" s="80"/>
      <c r="Z58" s="737">
        <f ca="1">MAX(0%,IF(Q58&lt;&gt;0,MIN((S58-Q58)/Q58/'Underwriting Risk'!$E$27,'Premium and Reserve Risk'!$Z$26),'Premium and Reserve Risk'!$Z$26))</f>
        <v>8.0000000000000016E-2</v>
      </c>
      <c r="AA58" s="80"/>
      <c r="AB58" s="80"/>
      <c r="AC58" s="737">
        <f ca="1">MAX(0%,IF(U58&lt;&gt;0,MIN((W58-U58)/U58/'Underwriting Risk'!$E$27,'Premium and Reserve Risk'!$AC$26),'Premium and Reserve Risk'!$AC$26))</f>
        <v>0.09</v>
      </c>
      <c r="AD58" s="81"/>
      <c r="AE58" s="97"/>
      <c r="AF58" s="97"/>
      <c r="AG58" s="97"/>
      <c r="AH58" s="97"/>
    </row>
    <row r="59" spans="1:34" ht="13.5" customHeight="1" x14ac:dyDescent="0.25">
      <c r="A59" s="97"/>
      <c r="B59" s="257">
        <v>32</v>
      </c>
      <c r="C59" s="652"/>
      <c r="D59" s="80"/>
      <c r="E59" s="80"/>
      <c r="F59" s="258">
        <f t="shared" ca="1" si="4"/>
        <v>0</v>
      </c>
      <c r="G59" s="624"/>
      <c r="H59" s="85"/>
      <c r="I59" s="624"/>
      <c r="J59" s="85"/>
      <c r="K59" s="624"/>
      <c r="L59" s="85"/>
      <c r="M59" s="624"/>
      <c r="N59" s="85"/>
      <c r="O59" s="624"/>
      <c r="P59" s="85"/>
      <c r="Q59" s="626">
        <f t="shared" si="3"/>
        <v>0</v>
      </c>
      <c r="R59" s="85"/>
      <c r="S59" s="624"/>
      <c r="T59" s="260"/>
      <c r="U59" s="624"/>
      <c r="V59" s="85"/>
      <c r="W59" s="624"/>
      <c r="X59" s="81"/>
      <c r="Y59" s="80"/>
      <c r="Z59" s="737">
        <f ca="1">MAX(0%,IF(Q59&lt;&gt;0,MIN((S59-Q59)/Q59/'Underwriting Risk'!$E$27,'Premium and Reserve Risk'!$Z$26),'Premium and Reserve Risk'!$Z$26))</f>
        <v>8.0000000000000016E-2</v>
      </c>
      <c r="AA59" s="80"/>
      <c r="AB59" s="80"/>
      <c r="AC59" s="737">
        <f ca="1">MAX(0%,IF(U59&lt;&gt;0,MIN((W59-U59)/U59/'Underwriting Risk'!$E$27,'Premium and Reserve Risk'!$AC$26),'Premium and Reserve Risk'!$AC$26))</f>
        <v>0.09</v>
      </c>
      <c r="AD59" s="81"/>
      <c r="AE59" s="97"/>
      <c r="AF59" s="97"/>
      <c r="AG59" s="97"/>
      <c r="AH59" s="97"/>
    </row>
    <row r="60" spans="1:34" ht="13.5" customHeight="1" x14ac:dyDescent="0.25">
      <c r="A60" s="97"/>
      <c r="B60" s="257">
        <v>33</v>
      </c>
      <c r="C60" s="652"/>
      <c r="D60" s="80"/>
      <c r="E60" s="80"/>
      <c r="F60" s="258">
        <f t="shared" ca="1" si="4"/>
        <v>0</v>
      </c>
      <c r="G60" s="624"/>
      <c r="H60" s="85"/>
      <c r="I60" s="624"/>
      <c r="J60" s="85"/>
      <c r="K60" s="624"/>
      <c r="L60" s="85"/>
      <c r="M60" s="624"/>
      <c r="N60" s="85"/>
      <c r="O60" s="624"/>
      <c r="P60" s="85"/>
      <c r="Q60" s="626">
        <f t="shared" si="3"/>
        <v>0</v>
      </c>
      <c r="R60" s="85"/>
      <c r="S60" s="624"/>
      <c r="T60" s="260"/>
      <c r="U60" s="624"/>
      <c r="V60" s="85"/>
      <c r="W60" s="624"/>
      <c r="X60" s="81"/>
      <c r="Y60" s="80"/>
      <c r="Z60" s="737">
        <f ca="1">MAX(0%,IF(Q60&lt;&gt;0,MIN((S60-Q60)/Q60/'Underwriting Risk'!$E$27,'Premium and Reserve Risk'!$Z$26),'Premium and Reserve Risk'!$Z$26))</f>
        <v>8.0000000000000016E-2</v>
      </c>
      <c r="AA60" s="80"/>
      <c r="AB60" s="80"/>
      <c r="AC60" s="737">
        <f ca="1">MAX(0%,IF(U60&lt;&gt;0,MIN((W60-U60)/U60/'Underwriting Risk'!$E$27,'Premium and Reserve Risk'!$AC$26),'Premium and Reserve Risk'!$AC$26))</f>
        <v>0.09</v>
      </c>
      <c r="AD60" s="81"/>
      <c r="AE60" s="97"/>
      <c r="AF60" s="97"/>
      <c r="AG60" s="97"/>
      <c r="AH60" s="97"/>
    </row>
    <row r="61" spans="1:34" ht="13.5" customHeight="1" x14ac:dyDescent="0.25">
      <c r="A61" s="97"/>
      <c r="B61" s="257">
        <v>34</v>
      </c>
      <c r="C61" s="652"/>
      <c r="D61" s="80"/>
      <c r="E61" s="80"/>
      <c r="F61" s="258">
        <f t="shared" ca="1" si="4"/>
        <v>0</v>
      </c>
      <c r="G61" s="624"/>
      <c r="H61" s="85"/>
      <c r="I61" s="624"/>
      <c r="J61" s="85"/>
      <c r="K61" s="624"/>
      <c r="L61" s="85"/>
      <c r="M61" s="624"/>
      <c r="N61" s="85"/>
      <c r="O61" s="624"/>
      <c r="P61" s="85"/>
      <c r="Q61" s="626">
        <f t="shared" si="3"/>
        <v>0</v>
      </c>
      <c r="R61" s="85"/>
      <c r="S61" s="624"/>
      <c r="T61" s="260"/>
      <c r="U61" s="624"/>
      <c r="V61" s="85"/>
      <c r="W61" s="624"/>
      <c r="X61" s="81"/>
      <c r="Y61" s="80"/>
      <c r="Z61" s="737">
        <f ca="1">MAX(0%,IF(Q61&lt;&gt;0,MIN((S61-Q61)/Q61/'Underwriting Risk'!$E$27,'Premium and Reserve Risk'!$Z$26),'Premium and Reserve Risk'!$Z$26))</f>
        <v>8.0000000000000016E-2</v>
      </c>
      <c r="AA61" s="80"/>
      <c r="AB61" s="80"/>
      <c r="AC61" s="737">
        <f ca="1">MAX(0%,IF(U61&lt;&gt;0,MIN((W61-U61)/U61/'Underwriting Risk'!$E$27,'Premium and Reserve Risk'!$AC$26),'Premium and Reserve Risk'!$AC$26))</f>
        <v>0.09</v>
      </c>
      <c r="AD61" s="81"/>
      <c r="AE61" s="97"/>
      <c r="AF61" s="97"/>
      <c r="AG61" s="97"/>
      <c r="AH61" s="97"/>
    </row>
    <row r="62" spans="1:34" ht="13.5" customHeight="1" x14ac:dyDescent="0.25">
      <c r="A62" s="97"/>
      <c r="B62" s="257">
        <v>35</v>
      </c>
      <c r="C62" s="652"/>
      <c r="D62" s="80"/>
      <c r="E62" s="80"/>
      <c r="F62" s="258">
        <f t="shared" ca="1" si="4"/>
        <v>0</v>
      </c>
      <c r="G62" s="624"/>
      <c r="H62" s="85"/>
      <c r="I62" s="624"/>
      <c r="J62" s="85"/>
      <c r="K62" s="624"/>
      <c r="L62" s="85"/>
      <c r="M62" s="624"/>
      <c r="N62" s="85"/>
      <c r="O62" s="624"/>
      <c r="P62" s="85"/>
      <c r="Q62" s="626">
        <f t="shared" si="3"/>
        <v>0</v>
      </c>
      <c r="R62" s="85"/>
      <c r="S62" s="624"/>
      <c r="T62" s="260"/>
      <c r="U62" s="624"/>
      <c r="V62" s="85"/>
      <c r="W62" s="624"/>
      <c r="X62" s="81"/>
      <c r="Y62" s="80"/>
      <c r="Z62" s="737">
        <f ca="1">MAX(0%,IF(Q62&lt;&gt;0,MIN((S62-Q62)/Q62/'Underwriting Risk'!$E$27,'Premium and Reserve Risk'!$Z$26),'Premium and Reserve Risk'!$Z$26))</f>
        <v>8.0000000000000016E-2</v>
      </c>
      <c r="AA62" s="80"/>
      <c r="AB62" s="80"/>
      <c r="AC62" s="737">
        <f ca="1">MAX(0%,IF(U62&lt;&gt;0,MIN((W62-U62)/U62/'Underwriting Risk'!$E$27,'Premium and Reserve Risk'!$AC$26),'Premium and Reserve Risk'!$AC$26))</f>
        <v>0.09</v>
      </c>
      <c r="AD62" s="81"/>
      <c r="AE62" s="97"/>
      <c r="AF62" s="97"/>
      <c r="AG62" s="97"/>
      <c r="AH62" s="97"/>
    </row>
    <row r="63" spans="1:34" ht="13.5" customHeight="1" x14ac:dyDescent="0.25">
      <c r="A63" s="97"/>
      <c r="B63" s="257">
        <v>36</v>
      </c>
      <c r="C63" s="652"/>
      <c r="D63" s="80"/>
      <c r="E63" s="80"/>
      <c r="F63" s="258">
        <f t="shared" ca="1" si="4"/>
        <v>0</v>
      </c>
      <c r="G63" s="624"/>
      <c r="H63" s="85"/>
      <c r="I63" s="624"/>
      <c r="J63" s="85"/>
      <c r="K63" s="624"/>
      <c r="L63" s="85"/>
      <c r="M63" s="624"/>
      <c r="N63" s="85"/>
      <c r="O63" s="624"/>
      <c r="P63" s="85"/>
      <c r="Q63" s="626">
        <f t="shared" si="3"/>
        <v>0</v>
      </c>
      <c r="R63" s="85"/>
      <c r="S63" s="624"/>
      <c r="T63" s="260"/>
      <c r="U63" s="624"/>
      <c r="V63" s="85"/>
      <c r="W63" s="624"/>
      <c r="X63" s="81"/>
      <c r="Y63" s="80"/>
      <c r="Z63" s="737">
        <f ca="1">MAX(0%,IF(Q63&lt;&gt;0,MIN((S63-Q63)/Q63/'Underwriting Risk'!$E$27,'Premium and Reserve Risk'!$Z$26),'Premium and Reserve Risk'!$Z$26))</f>
        <v>8.0000000000000016E-2</v>
      </c>
      <c r="AA63" s="80"/>
      <c r="AB63" s="80"/>
      <c r="AC63" s="737">
        <f ca="1">MAX(0%,IF(U63&lt;&gt;0,MIN((W63-U63)/U63/'Underwriting Risk'!$E$27,'Premium and Reserve Risk'!$AC$26),'Premium and Reserve Risk'!$AC$26))</f>
        <v>0.09</v>
      </c>
      <c r="AD63" s="81"/>
      <c r="AE63" s="97"/>
      <c r="AF63" s="97"/>
      <c r="AG63" s="97"/>
      <c r="AH63" s="97"/>
    </row>
    <row r="64" spans="1:34" ht="13.5" customHeight="1" x14ac:dyDescent="0.25">
      <c r="A64" s="97"/>
      <c r="B64" s="257">
        <v>37</v>
      </c>
      <c r="C64" s="652"/>
      <c r="D64" s="80"/>
      <c r="E64" s="80"/>
      <c r="F64" s="258">
        <f t="shared" ca="1" si="4"/>
        <v>0</v>
      </c>
      <c r="G64" s="624"/>
      <c r="H64" s="85"/>
      <c r="I64" s="624"/>
      <c r="J64" s="85"/>
      <c r="K64" s="624"/>
      <c r="L64" s="85"/>
      <c r="M64" s="624"/>
      <c r="N64" s="85"/>
      <c r="O64" s="624"/>
      <c r="P64" s="85"/>
      <c r="Q64" s="626">
        <f t="shared" si="3"/>
        <v>0</v>
      </c>
      <c r="R64" s="85"/>
      <c r="S64" s="624"/>
      <c r="T64" s="260"/>
      <c r="U64" s="624"/>
      <c r="V64" s="85"/>
      <c r="W64" s="624"/>
      <c r="X64" s="81"/>
      <c r="Y64" s="80"/>
      <c r="Z64" s="737">
        <f ca="1">MAX(0%,IF(Q64&lt;&gt;0,MIN((S64-Q64)/Q64/'Underwriting Risk'!$E$27,'Premium and Reserve Risk'!$Z$26),'Premium and Reserve Risk'!$Z$26))</f>
        <v>8.0000000000000016E-2</v>
      </c>
      <c r="AA64" s="80"/>
      <c r="AB64" s="80"/>
      <c r="AC64" s="737">
        <f ca="1">MAX(0%,IF(U64&lt;&gt;0,MIN((W64-U64)/U64/'Underwriting Risk'!$E$27,'Premium and Reserve Risk'!$AC$26),'Premium and Reserve Risk'!$AC$26))</f>
        <v>0.09</v>
      </c>
      <c r="AD64" s="81"/>
      <c r="AE64" s="97"/>
      <c r="AF64" s="97"/>
      <c r="AG64" s="97"/>
      <c r="AH64" s="97"/>
    </row>
    <row r="65" spans="1:34" ht="13.5" customHeight="1" x14ac:dyDescent="0.25">
      <c r="A65" s="97"/>
      <c r="B65" s="257">
        <v>38</v>
      </c>
      <c r="C65" s="652"/>
      <c r="D65" s="80"/>
      <c r="E65" s="80"/>
      <c r="F65" s="258">
        <f t="shared" ca="1" si="4"/>
        <v>0</v>
      </c>
      <c r="G65" s="624"/>
      <c r="H65" s="85"/>
      <c r="I65" s="624"/>
      <c r="J65" s="85"/>
      <c r="K65" s="624"/>
      <c r="L65" s="85"/>
      <c r="M65" s="624"/>
      <c r="N65" s="85"/>
      <c r="O65" s="624"/>
      <c r="P65" s="85"/>
      <c r="Q65" s="626">
        <f t="shared" si="3"/>
        <v>0</v>
      </c>
      <c r="R65" s="85"/>
      <c r="S65" s="624"/>
      <c r="T65" s="260"/>
      <c r="U65" s="624"/>
      <c r="V65" s="85"/>
      <c r="W65" s="624"/>
      <c r="X65" s="81"/>
      <c r="Y65" s="80"/>
      <c r="Z65" s="737">
        <f ca="1">MAX(0%,IF(Q65&lt;&gt;0,MIN((S65-Q65)/Q65/'Underwriting Risk'!$E$27,'Premium and Reserve Risk'!$Z$26),'Premium and Reserve Risk'!$Z$26))</f>
        <v>8.0000000000000016E-2</v>
      </c>
      <c r="AA65" s="80"/>
      <c r="AB65" s="80"/>
      <c r="AC65" s="737">
        <f ca="1">MAX(0%,IF(U65&lt;&gt;0,MIN((W65-U65)/U65/'Underwriting Risk'!$E$27,'Premium and Reserve Risk'!$AC$26),'Premium and Reserve Risk'!$AC$26))</f>
        <v>0.09</v>
      </c>
      <c r="AD65" s="81"/>
      <c r="AE65" s="97"/>
      <c r="AF65" s="97"/>
      <c r="AG65" s="97"/>
      <c r="AH65" s="97"/>
    </row>
    <row r="66" spans="1:34" ht="13.5" customHeight="1" x14ac:dyDescent="0.25">
      <c r="A66" s="97"/>
      <c r="B66" s="257">
        <v>39</v>
      </c>
      <c r="C66" s="652"/>
      <c r="D66" s="80"/>
      <c r="E66" s="80"/>
      <c r="F66" s="258">
        <f t="shared" ca="1" si="4"/>
        <v>0</v>
      </c>
      <c r="G66" s="624"/>
      <c r="H66" s="85"/>
      <c r="I66" s="624"/>
      <c r="J66" s="85"/>
      <c r="K66" s="624"/>
      <c r="L66" s="85"/>
      <c r="M66" s="624"/>
      <c r="N66" s="85"/>
      <c r="O66" s="624"/>
      <c r="P66" s="85"/>
      <c r="Q66" s="626">
        <f t="shared" si="3"/>
        <v>0</v>
      </c>
      <c r="R66" s="85"/>
      <c r="S66" s="624"/>
      <c r="T66" s="260"/>
      <c r="U66" s="624"/>
      <c r="V66" s="85"/>
      <c r="W66" s="624"/>
      <c r="X66" s="81"/>
      <c r="Y66" s="80"/>
      <c r="Z66" s="737">
        <f ca="1">MAX(0%,IF(Q66&lt;&gt;0,MIN((S66-Q66)/Q66/'Underwriting Risk'!$E$27,'Premium and Reserve Risk'!$Z$26),'Premium and Reserve Risk'!$Z$26))</f>
        <v>8.0000000000000016E-2</v>
      </c>
      <c r="AA66" s="80"/>
      <c r="AB66" s="80"/>
      <c r="AC66" s="737">
        <f ca="1">MAX(0%,IF(U66&lt;&gt;0,MIN((W66-U66)/U66/'Underwriting Risk'!$E$27,'Premium and Reserve Risk'!$AC$26),'Premium and Reserve Risk'!$AC$26))</f>
        <v>0.09</v>
      </c>
      <c r="AD66" s="81"/>
      <c r="AE66" s="97"/>
      <c r="AF66" s="97"/>
      <c r="AG66" s="97"/>
      <c r="AH66" s="97"/>
    </row>
    <row r="67" spans="1:34" ht="13.5" customHeight="1" x14ac:dyDescent="0.25">
      <c r="A67" s="97"/>
      <c r="B67" s="257">
        <v>40</v>
      </c>
      <c r="C67" s="652"/>
      <c r="D67" s="80"/>
      <c r="E67" s="80"/>
      <c r="F67" s="258">
        <f t="shared" ca="1" si="4"/>
        <v>0</v>
      </c>
      <c r="G67" s="624"/>
      <c r="H67" s="85"/>
      <c r="I67" s="624"/>
      <c r="J67" s="85"/>
      <c r="K67" s="624"/>
      <c r="L67" s="85"/>
      <c r="M67" s="624"/>
      <c r="N67" s="85"/>
      <c r="O67" s="624"/>
      <c r="P67" s="85"/>
      <c r="Q67" s="626">
        <f t="shared" si="3"/>
        <v>0</v>
      </c>
      <c r="R67" s="85"/>
      <c r="S67" s="624"/>
      <c r="T67" s="260"/>
      <c r="U67" s="624"/>
      <c r="V67" s="85"/>
      <c r="W67" s="624"/>
      <c r="X67" s="81"/>
      <c r="Y67" s="80"/>
      <c r="Z67" s="737">
        <f ca="1">MAX(0%,IF(Q67&lt;&gt;0,MIN((S67-Q67)/Q67/'Underwriting Risk'!$E$27,'Premium and Reserve Risk'!$Z$26),'Premium and Reserve Risk'!$Z$26))</f>
        <v>8.0000000000000016E-2</v>
      </c>
      <c r="AA67" s="80"/>
      <c r="AB67" s="80"/>
      <c r="AC67" s="737">
        <f ca="1">MAX(0%,IF(U67&lt;&gt;0,MIN((W67-U67)/U67/'Underwriting Risk'!$E$27,'Premium and Reserve Risk'!$AC$26),'Premium and Reserve Risk'!$AC$26))</f>
        <v>0.09</v>
      </c>
      <c r="AD67" s="81"/>
      <c r="AE67" s="97"/>
      <c r="AF67" s="97"/>
      <c r="AG67" s="97"/>
      <c r="AH67" s="97"/>
    </row>
    <row r="68" spans="1:34" ht="13.5" customHeight="1" x14ac:dyDescent="0.25">
      <c r="A68" s="97"/>
      <c r="B68" s="257">
        <v>41</v>
      </c>
      <c r="C68" s="652"/>
      <c r="D68" s="80"/>
      <c r="E68" s="80"/>
      <c r="F68" s="258">
        <f t="shared" ca="1" si="4"/>
        <v>0</v>
      </c>
      <c r="G68" s="624"/>
      <c r="H68" s="85"/>
      <c r="I68" s="624"/>
      <c r="J68" s="85"/>
      <c r="K68" s="624"/>
      <c r="L68" s="85"/>
      <c r="M68" s="624"/>
      <c r="N68" s="85"/>
      <c r="O68" s="624"/>
      <c r="P68" s="85"/>
      <c r="Q68" s="626">
        <f t="shared" si="3"/>
        <v>0</v>
      </c>
      <c r="R68" s="85"/>
      <c r="S68" s="624"/>
      <c r="T68" s="260"/>
      <c r="U68" s="624"/>
      <c r="V68" s="85"/>
      <c r="W68" s="624"/>
      <c r="X68" s="81"/>
      <c r="Y68" s="80"/>
      <c r="Z68" s="737">
        <f ca="1">MAX(0%,IF(Q68&lt;&gt;0,MIN((S68-Q68)/Q68/'Underwriting Risk'!$E$27,'Premium and Reserve Risk'!$Z$26),'Premium and Reserve Risk'!$Z$26))</f>
        <v>8.0000000000000016E-2</v>
      </c>
      <c r="AA68" s="80"/>
      <c r="AB68" s="80"/>
      <c r="AC68" s="737">
        <f ca="1">MAX(0%,IF(U68&lt;&gt;0,MIN((W68-U68)/U68/'Underwriting Risk'!$E$27,'Premium and Reserve Risk'!$AC$26),'Premium and Reserve Risk'!$AC$26))</f>
        <v>0.09</v>
      </c>
      <c r="AD68" s="81"/>
      <c r="AE68" s="97"/>
      <c r="AF68" s="97"/>
      <c r="AG68" s="97"/>
      <c r="AH68" s="97"/>
    </row>
    <row r="69" spans="1:34" ht="13.5" customHeight="1" x14ac:dyDescent="0.25">
      <c r="A69" s="97"/>
      <c r="B69" s="257">
        <v>42</v>
      </c>
      <c r="C69" s="652"/>
      <c r="D69" s="80"/>
      <c r="E69" s="80"/>
      <c r="F69" s="258">
        <f t="shared" ca="1" si="4"/>
        <v>0</v>
      </c>
      <c r="G69" s="624"/>
      <c r="H69" s="85"/>
      <c r="I69" s="624"/>
      <c r="J69" s="85"/>
      <c r="K69" s="624"/>
      <c r="L69" s="85"/>
      <c r="M69" s="624"/>
      <c r="N69" s="85"/>
      <c r="O69" s="624"/>
      <c r="P69" s="85"/>
      <c r="Q69" s="626">
        <f t="shared" si="3"/>
        <v>0</v>
      </c>
      <c r="R69" s="85"/>
      <c r="S69" s="624"/>
      <c r="T69" s="260"/>
      <c r="U69" s="624"/>
      <c r="V69" s="85"/>
      <c r="W69" s="624"/>
      <c r="X69" s="81"/>
      <c r="Y69" s="80"/>
      <c r="Z69" s="737">
        <f ca="1">MAX(0%,IF(Q69&lt;&gt;0,MIN((S69-Q69)/Q69/'Underwriting Risk'!$E$27,'Premium and Reserve Risk'!$Z$26),'Premium and Reserve Risk'!$Z$26))</f>
        <v>8.0000000000000016E-2</v>
      </c>
      <c r="AA69" s="80"/>
      <c r="AB69" s="80"/>
      <c r="AC69" s="737">
        <f ca="1">MAX(0%,IF(U69&lt;&gt;0,MIN((W69-U69)/U69/'Underwriting Risk'!$E$27,'Premium and Reserve Risk'!$AC$26),'Premium and Reserve Risk'!$AC$26))</f>
        <v>0.09</v>
      </c>
      <c r="AD69" s="81"/>
      <c r="AE69" s="97"/>
      <c r="AF69" s="97"/>
      <c r="AG69" s="97"/>
      <c r="AH69" s="97"/>
    </row>
    <row r="70" spans="1:34" ht="13.5" customHeight="1" x14ac:dyDescent="0.25">
      <c r="A70" s="97"/>
      <c r="B70" s="257">
        <v>43</v>
      </c>
      <c r="C70" s="652"/>
      <c r="D70" s="80"/>
      <c r="E70" s="80"/>
      <c r="F70" s="258">
        <f t="shared" ca="1" si="4"/>
        <v>0</v>
      </c>
      <c r="G70" s="624"/>
      <c r="H70" s="85"/>
      <c r="I70" s="624"/>
      <c r="J70" s="85"/>
      <c r="K70" s="624"/>
      <c r="L70" s="85"/>
      <c r="M70" s="624"/>
      <c r="N70" s="85"/>
      <c r="O70" s="624"/>
      <c r="P70" s="85"/>
      <c r="Q70" s="626">
        <f t="shared" si="3"/>
        <v>0</v>
      </c>
      <c r="R70" s="85"/>
      <c r="S70" s="624"/>
      <c r="T70" s="260"/>
      <c r="U70" s="624"/>
      <c r="V70" s="85"/>
      <c r="W70" s="624"/>
      <c r="X70" s="81"/>
      <c r="Y70" s="80"/>
      <c r="Z70" s="737">
        <f ca="1">MAX(0%,IF(Q70&lt;&gt;0,MIN((S70-Q70)/Q70/'Underwriting Risk'!$E$27,'Premium and Reserve Risk'!$Z$26),'Premium and Reserve Risk'!$Z$26))</f>
        <v>8.0000000000000016E-2</v>
      </c>
      <c r="AA70" s="80"/>
      <c r="AB70" s="80"/>
      <c r="AC70" s="737">
        <f ca="1">MAX(0%,IF(U70&lt;&gt;0,MIN((W70-U70)/U70/'Underwriting Risk'!$E$27,'Premium and Reserve Risk'!$AC$26),'Premium and Reserve Risk'!$AC$26))</f>
        <v>0.09</v>
      </c>
      <c r="AD70" s="81"/>
      <c r="AE70" s="97"/>
      <c r="AF70" s="97"/>
      <c r="AG70" s="97"/>
      <c r="AH70" s="97"/>
    </row>
    <row r="71" spans="1:34" ht="13.5" customHeight="1" x14ac:dyDescent="0.25">
      <c r="A71" s="97"/>
      <c r="B71" s="257">
        <v>44</v>
      </c>
      <c r="C71" s="652"/>
      <c r="D71" s="80"/>
      <c r="E71" s="80"/>
      <c r="F71" s="258">
        <f t="shared" ca="1" si="4"/>
        <v>0</v>
      </c>
      <c r="G71" s="624"/>
      <c r="H71" s="85"/>
      <c r="I71" s="624"/>
      <c r="J71" s="85"/>
      <c r="K71" s="624"/>
      <c r="L71" s="85"/>
      <c r="M71" s="624"/>
      <c r="N71" s="85"/>
      <c r="O71" s="624"/>
      <c r="P71" s="85"/>
      <c r="Q71" s="626">
        <f t="shared" si="3"/>
        <v>0</v>
      </c>
      <c r="R71" s="85"/>
      <c r="S71" s="624"/>
      <c r="T71" s="260"/>
      <c r="U71" s="624"/>
      <c r="V71" s="85"/>
      <c r="W71" s="624"/>
      <c r="X71" s="81"/>
      <c r="Y71" s="80"/>
      <c r="Z71" s="737">
        <f ca="1">MAX(0%,IF(Q71&lt;&gt;0,MIN((S71-Q71)/Q71/'Underwriting Risk'!$E$27,'Premium and Reserve Risk'!$Z$26),'Premium and Reserve Risk'!$Z$26))</f>
        <v>8.0000000000000016E-2</v>
      </c>
      <c r="AA71" s="80"/>
      <c r="AB71" s="80"/>
      <c r="AC71" s="737">
        <f ca="1">MAX(0%,IF(U71&lt;&gt;0,MIN((W71-U71)/U71/'Underwriting Risk'!$E$27,'Premium and Reserve Risk'!$AC$26),'Premium and Reserve Risk'!$AC$26))</f>
        <v>0.09</v>
      </c>
      <c r="AD71" s="81"/>
      <c r="AE71" s="97"/>
      <c r="AF71" s="97"/>
      <c r="AG71" s="97"/>
      <c r="AH71" s="97"/>
    </row>
    <row r="72" spans="1:34" ht="13.5" customHeight="1" x14ac:dyDescent="0.25">
      <c r="A72" s="97"/>
      <c r="B72" s="257">
        <v>45</v>
      </c>
      <c r="C72" s="652"/>
      <c r="D72" s="80"/>
      <c r="E72" s="80"/>
      <c r="F72" s="258">
        <f t="shared" ca="1" si="4"/>
        <v>0</v>
      </c>
      <c r="G72" s="624"/>
      <c r="H72" s="85"/>
      <c r="I72" s="624"/>
      <c r="J72" s="85"/>
      <c r="K72" s="624"/>
      <c r="L72" s="85"/>
      <c r="M72" s="624"/>
      <c r="N72" s="85"/>
      <c r="O72" s="624"/>
      <c r="P72" s="85"/>
      <c r="Q72" s="626">
        <f t="shared" si="3"/>
        <v>0</v>
      </c>
      <c r="R72" s="85"/>
      <c r="S72" s="624"/>
      <c r="T72" s="260"/>
      <c r="U72" s="624"/>
      <c r="V72" s="85"/>
      <c r="W72" s="624"/>
      <c r="X72" s="81"/>
      <c r="Y72" s="80"/>
      <c r="Z72" s="737">
        <f ca="1">MAX(0%,IF(Q72&lt;&gt;0,MIN((S72-Q72)/Q72/'Underwriting Risk'!$E$27,'Premium and Reserve Risk'!$Z$26),'Premium and Reserve Risk'!$Z$26))</f>
        <v>8.0000000000000016E-2</v>
      </c>
      <c r="AA72" s="80"/>
      <c r="AB72" s="80"/>
      <c r="AC72" s="737">
        <f ca="1">MAX(0%,IF(U72&lt;&gt;0,MIN((W72-U72)/U72/'Underwriting Risk'!$E$27,'Premium and Reserve Risk'!$AC$26),'Premium and Reserve Risk'!$AC$26))</f>
        <v>0.09</v>
      </c>
      <c r="AD72" s="81"/>
      <c r="AE72" s="97"/>
      <c r="AF72" s="97"/>
      <c r="AG72" s="97"/>
      <c r="AH72" s="97"/>
    </row>
    <row r="73" spans="1:34" ht="13.5" customHeight="1" x14ac:dyDescent="0.25">
      <c r="A73" s="97"/>
      <c r="B73" s="257">
        <v>46</v>
      </c>
      <c r="C73" s="652"/>
      <c r="D73" s="80"/>
      <c r="E73" s="80"/>
      <c r="F73" s="258">
        <f t="shared" ca="1" si="4"/>
        <v>0</v>
      </c>
      <c r="G73" s="624"/>
      <c r="H73" s="85"/>
      <c r="I73" s="624"/>
      <c r="J73" s="85"/>
      <c r="K73" s="624"/>
      <c r="L73" s="85"/>
      <c r="M73" s="624"/>
      <c r="N73" s="85"/>
      <c r="O73" s="624"/>
      <c r="P73" s="85"/>
      <c r="Q73" s="626">
        <f t="shared" si="3"/>
        <v>0</v>
      </c>
      <c r="R73" s="85"/>
      <c r="S73" s="624"/>
      <c r="T73" s="260"/>
      <c r="U73" s="624"/>
      <c r="V73" s="85"/>
      <c r="W73" s="624"/>
      <c r="X73" s="81"/>
      <c r="Y73" s="80"/>
      <c r="Z73" s="737">
        <f ca="1">MAX(0%,IF(Q73&lt;&gt;0,MIN((S73-Q73)/Q73/'Underwriting Risk'!$E$27,'Premium and Reserve Risk'!$Z$26),'Premium and Reserve Risk'!$Z$26))</f>
        <v>8.0000000000000016E-2</v>
      </c>
      <c r="AA73" s="80"/>
      <c r="AB73" s="80"/>
      <c r="AC73" s="737">
        <f ca="1">MAX(0%,IF(U73&lt;&gt;0,MIN((W73-U73)/U73/'Underwriting Risk'!$E$27,'Premium and Reserve Risk'!$AC$26),'Premium and Reserve Risk'!$AC$26))</f>
        <v>0.09</v>
      </c>
      <c r="AD73" s="81"/>
      <c r="AE73" s="97"/>
      <c r="AF73" s="97"/>
      <c r="AG73" s="97"/>
      <c r="AH73" s="97"/>
    </row>
    <row r="74" spans="1:34" ht="13.5" customHeight="1" x14ac:dyDescent="0.25">
      <c r="A74" s="97"/>
      <c r="B74" s="257">
        <v>47</v>
      </c>
      <c r="C74" s="652"/>
      <c r="D74" s="80"/>
      <c r="E74" s="80"/>
      <c r="F74" s="258">
        <f t="shared" ca="1" si="4"/>
        <v>0</v>
      </c>
      <c r="G74" s="624"/>
      <c r="H74" s="85"/>
      <c r="I74" s="624"/>
      <c r="J74" s="85"/>
      <c r="K74" s="624"/>
      <c r="L74" s="85"/>
      <c r="M74" s="624"/>
      <c r="N74" s="85"/>
      <c r="O74" s="624"/>
      <c r="P74" s="85"/>
      <c r="Q74" s="626">
        <f t="shared" si="3"/>
        <v>0</v>
      </c>
      <c r="R74" s="85"/>
      <c r="S74" s="624"/>
      <c r="T74" s="260"/>
      <c r="U74" s="624"/>
      <c r="V74" s="85"/>
      <c r="W74" s="624"/>
      <c r="X74" s="81"/>
      <c r="Y74" s="80"/>
      <c r="Z74" s="737">
        <f ca="1">MAX(0%,IF(Q74&lt;&gt;0,MIN((S74-Q74)/Q74/'Underwriting Risk'!$E$27,'Premium and Reserve Risk'!$Z$26),'Premium and Reserve Risk'!$Z$26))</f>
        <v>8.0000000000000016E-2</v>
      </c>
      <c r="AA74" s="80"/>
      <c r="AB74" s="80"/>
      <c r="AC74" s="737">
        <f ca="1">MAX(0%,IF(U74&lt;&gt;0,MIN((W74-U74)/U74/'Underwriting Risk'!$E$27,'Premium and Reserve Risk'!$AC$26),'Premium and Reserve Risk'!$AC$26))</f>
        <v>0.09</v>
      </c>
      <c r="AD74" s="81"/>
      <c r="AE74" s="97"/>
      <c r="AF74" s="97"/>
      <c r="AG74" s="97"/>
      <c r="AH74" s="97"/>
    </row>
    <row r="75" spans="1:34" ht="13.5" customHeight="1" x14ac:dyDescent="0.25">
      <c r="A75" s="97"/>
      <c r="B75" s="257">
        <v>48</v>
      </c>
      <c r="C75" s="652"/>
      <c r="D75" s="80"/>
      <c r="E75" s="80"/>
      <c r="F75" s="258">
        <f t="shared" ca="1" si="4"/>
        <v>0</v>
      </c>
      <c r="G75" s="624"/>
      <c r="H75" s="85"/>
      <c r="I75" s="624"/>
      <c r="J75" s="85"/>
      <c r="K75" s="624"/>
      <c r="L75" s="85"/>
      <c r="M75" s="624"/>
      <c r="N75" s="85"/>
      <c r="O75" s="624"/>
      <c r="P75" s="85"/>
      <c r="Q75" s="626">
        <f t="shared" si="3"/>
        <v>0</v>
      </c>
      <c r="R75" s="85"/>
      <c r="S75" s="624"/>
      <c r="T75" s="260"/>
      <c r="U75" s="624"/>
      <c r="V75" s="85"/>
      <c r="W75" s="624"/>
      <c r="X75" s="81"/>
      <c r="Y75" s="80"/>
      <c r="Z75" s="737">
        <f ca="1">MAX(0%,IF(Q75&lt;&gt;0,MIN((S75-Q75)/Q75/'Underwriting Risk'!$E$27,'Premium and Reserve Risk'!$Z$26),'Premium and Reserve Risk'!$Z$26))</f>
        <v>8.0000000000000016E-2</v>
      </c>
      <c r="AA75" s="80"/>
      <c r="AB75" s="80"/>
      <c r="AC75" s="737">
        <f ca="1">MAX(0%,IF(U75&lt;&gt;0,MIN((W75-U75)/U75/'Underwriting Risk'!$E$27,'Premium and Reserve Risk'!$AC$26),'Premium and Reserve Risk'!$AC$26))</f>
        <v>0.09</v>
      </c>
      <c r="AD75" s="81"/>
      <c r="AE75" s="97"/>
      <c r="AF75" s="97"/>
      <c r="AG75" s="97"/>
      <c r="AH75" s="97"/>
    </row>
    <row r="76" spans="1:34" ht="13.5" customHeight="1" x14ac:dyDescent="0.25">
      <c r="A76" s="97"/>
      <c r="B76" s="257">
        <v>49</v>
      </c>
      <c r="C76" s="652"/>
      <c r="D76" s="80"/>
      <c r="E76" s="80"/>
      <c r="F76" s="258">
        <f t="shared" ca="1" si="4"/>
        <v>0</v>
      </c>
      <c r="G76" s="624"/>
      <c r="H76" s="85"/>
      <c r="I76" s="624"/>
      <c r="J76" s="85"/>
      <c r="K76" s="624"/>
      <c r="L76" s="85"/>
      <c r="M76" s="624"/>
      <c r="N76" s="85"/>
      <c r="O76" s="624"/>
      <c r="P76" s="85"/>
      <c r="Q76" s="626">
        <f t="shared" si="3"/>
        <v>0</v>
      </c>
      <c r="R76" s="85"/>
      <c r="S76" s="624"/>
      <c r="T76" s="260"/>
      <c r="U76" s="624"/>
      <c r="V76" s="85"/>
      <c r="W76" s="624"/>
      <c r="X76" s="81"/>
      <c r="Y76" s="80"/>
      <c r="Z76" s="737">
        <f ca="1">MAX(0%,IF(Q76&lt;&gt;0,MIN((S76-Q76)/Q76/'Underwriting Risk'!$E$27,'Premium and Reserve Risk'!$Z$26),'Premium and Reserve Risk'!$Z$26))</f>
        <v>8.0000000000000016E-2</v>
      </c>
      <c r="AA76" s="80"/>
      <c r="AB76" s="80"/>
      <c r="AC76" s="737">
        <f ca="1">MAX(0%,IF(U76&lt;&gt;0,MIN((W76-U76)/U76/'Underwriting Risk'!$E$27,'Premium and Reserve Risk'!$AC$26),'Premium and Reserve Risk'!$AC$26))</f>
        <v>0.09</v>
      </c>
      <c r="AD76" s="81"/>
      <c r="AE76" s="97"/>
      <c r="AF76" s="97"/>
      <c r="AG76" s="97"/>
      <c r="AH76" s="97"/>
    </row>
    <row r="77" spans="1:34" ht="13.5" customHeight="1" x14ac:dyDescent="0.25">
      <c r="A77" s="97"/>
      <c r="B77" s="257">
        <v>50</v>
      </c>
      <c r="C77" s="652"/>
      <c r="D77" s="80"/>
      <c r="E77" s="80"/>
      <c r="F77" s="258">
        <f t="shared" ca="1" si="4"/>
        <v>0</v>
      </c>
      <c r="G77" s="624"/>
      <c r="H77" s="85"/>
      <c r="I77" s="624"/>
      <c r="J77" s="85"/>
      <c r="K77" s="624"/>
      <c r="L77" s="85"/>
      <c r="M77" s="624"/>
      <c r="N77" s="85"/>
      <c r="O77" s="624"/>
      <c r="P77" s="85"/>
      <c r="Q77" s="626">
        <f t="shared" si="3"/>
        <v>0</v>
      </c>
      <c r="R77" s="85"/>
      <c r="S77" s="624"/>
      <c r="T77" s="260"/>
      <c r="U77" s="624"/>
      <c r="V77" s="85"/>
      <c r="W77" s="624"/>
      <c r="X77" s="81"/>
      <c r="Y77" s="80"/>
      <c r="Z77" s="737">
        <f ca="1">MAX(0%,IF(Q77&lt;&gt;0,MIN((S77-Q77)/Q77/'Underwriting Risk'!$E$27,'Premium and Reserve Risk'!$Z$26),'Premium and Reserve Risk'!$Z$26))</f>
        <v>8.0000000000000016E-2</v>
      </c>
      <c r="AA77" s="80"/>
      <c r="AB77" s="80"/>
      <c r="AC77" s="737">
        <f ca="1">MAX(0%,IF(U77&lt;&gt;0,MIN((W77-U77)/U77/'Underwriting Risk'!$E$27,'Premium and Reserve Risk'!$AC$26),'Premium and Reserve Risk'!$AC$26))</f>
        <v>0.09</v>
      </c>
      <c r="AD77" s="81"/>
      <c r="AE77" s="97"/>
      <c r="AF77" s="97"/>
      <c r="AG77" s="97"/>
      <c r="AH77" s="97"/>
    </row>
    <row r="78" spans="1:34" ht="13.5" customHeight="1" x14ac:dyDescent="0.25">
      <c r="A78" s="97"/>
      <c r="B78" s="257">
        <v>51</v>
      </c>
      <c r="C78" s="652"/>
      <c r="D78" s="80"/>
      <c r="E78" s="80"/>
      <c r="F78" s="258">
        <f t="shared" ca="1" si="4"/>
        <v>0</v>
      </c>
      <c r="G78" s="624"/>
      <c r="H78" s="85"/>
      <c r="I78" s="624"/>
      <c r="J78" s="85"/>
      <c r="K78" s="624"/>
      <c r="L78" s="85"/>
      <c r="M78" s="624"/>
      <c r="N78" s="85"/>
      <c r="O78" s="624"/>
      <c r="P78" s="85"/>
      <c r="Q78" s="626">
        <f t="shared" si="3"/>
        <v>0</v>
      </c>
      <c r="R78" s="85"/>
      <c r="S78" s="624"/>
      <c r="T78" s="260"/>
      <c r="U78" s="624"/>
      <c r="V78" s="85"/>
      <c r="W78" s="624"/>
      <c r="X78" s="81"/>
      <c r="Y78" s="80"/>
      <c r="Z78" s="737">
        <f ca="1">MAX(0%,IF(Q78&lt;&gt;0,MIN((S78-Q78)/Q78/'Underwriting Risk'!$E$27,'Premium and Reserve Risk'!$Z$26),'Premium and Reserve Risk'!$Z$26))</f>
        <v>8.0000000000000016E-2</v>
      </c>
      <c r="AA78" s="80"/>
      <c r="AB78" s="80"/>
      <c r="AC78" s="737">
        <f ca="1">MAX(0%,IF(U78&lt;&gt;0,MIN((W78-U78)/U78/'Underwriting Risk'!$E$27,'Premium and Reserve Risk'!$AC$26),'Premium and Reserve Risk'!$AC$26))</f>
        <v>0.09</v>
      </c>
      <c r="AD78" s="81"/>
      <c r="AE78" s="97"/>
      <c r="AF78" s="97"/>
      <c r="AG78" s="97"/>
      <c r="AH78" s="97"/>
    </row>
    <row r="79" spans="1:34" ht="13.5" customHeight="1" x14ac:dyDescent="0.25">
      <c r="A79" s="97"/>
      <c r="B79" s="257">
        <v>52</v>
      </c>
      <c r="C79" s="652"/>
      <c r="D79" s="80"/>
      <c r="E79" s="80"/>
      <c r="F79" s="258">
        <f t="shared" ca="1" si="4"/>
        <v>0</v>
      </c>
      <c r="G79" s="624"/>
      <c r="H79" s="85"/>
      <c r="I79" s="624"/>
      <c r="J79" s="85"/>
      <c r="K79" s="624"/>
      <c r="L79" s="85"/>
      <c r="M79" s="624"/>
      <c r="N79" s="85"/>
      <c r="O79" s="624"/>
      <c r="P79" s="85"/>
      <c r="Q79" s="626">
        <f t="shared" si="3"/>
        <v>0</v>
      </c>
      <c r="R79" s="85"/>
      <c r="S79" s="624"/>
      <c r="T79" s="260"/>
      <c r="U79" s="624"/>
      <c r="V79" s="85"/>
      <c r="W79" s="624"/>
      <c r="X79" s="81"/>
      <c r="Y79" s="80"/>
      <c r="Z79" s="737">
        <f ca="1">MAX(0%,IF(Q79&lt;&gt;0,MIN((S79-Q79)/Q79/'Underwriting Risk'!$E$27,'Premium and Reserve Risk'!$Z$26),'Premium and Reserve Risk'!$Z$26))</f>
        <v>8.0000000000000016E-2</v>
      </c>
      <c r="AA79" s="80"/>
      <c r="AB79" s="80"/>
      <c r="AC79" s="737">
        <f ca="1">MAX(0%,IF(U79&lt;&gt;0,MIN((W79-U79)/U79/'Underwriting Risk'!$E$27,'Premium and Reserve Risk'!$AC$26),'Premium and Reserve Risk'!$AC$26))</f>
        <v>0.09</v>
      </c>
      <c r="AD79" s="81"/>
      <c r="AE79" s="97"/>
      <c r="AF79" s="97"/>
      <c r="AG79" s="97"/>
      <c r="AH79" s="97"/>
    </row>
    <row r="80" spans="1:34" ht="13.5" customHeight="1" x14ac:dyDescent="0.25">
      <c r="A80" s="97"/>
      <c r="B80" s="257">
        <v>53</v>
      </c>
      <c r="C80" s="652"/>
      <c r="D80" s="80"/>
      <c r="E80" s="80"/>
      <c r="F80" s="258">
        <f t="shared" ca="1" si="4"/>
        <v>0</v>
      </c>
      <c r="G80" s="624"/>
      <c r="H80" s="85"/>
      <c r="I80" s="624"/>
      <c r="J80" s="85"/>
      <c r="K80" s="624"/>
      <c r="L80" s="85"/>
      <c r="M80" s="624"/>
      <c r="N80" s="85"/>
      <c r="O80" s="624"/>
      <c r="P80" s="85"/>
      <c r="Q80" s="626">
        <f t="shared" si="3"/>
        <v>0</v>
      </c>
      <c r="R80" s="85"/>
      <c r="S80" s="624"/>
      <c r="T80" s="260"/>
      <c r="U80" s="624"/>
      <c r="V80" s="85"/>
      <c r="W80" s="624"/>
      <c r="X80" s="81"/>
      <c r="Y80" s="80"/>
      <c r="Z80" s="737">
        <f ca="1">MAX(0%,IF(Q80&lt;&gt;0,MIN((S80-Q80)/Q80/'Underwriting Risk'!$E$27,'Premium and Reserve Risk'!$Z$26),'Premium and Reserve Risk'!$Z$26))</f>
        <v>8.0000000000000016E-2</v>
      </c>
      <c r="AA80" s="80"/>
      <c r="AB80" s="80"/>
      <c r="AC80" s="737">
        <f ca="1">MAX(0%,IF(U80&lt;&gt;0,MIN((W80-U80)/U80/'Underwriting Risk'!$E$27,'Premium and Reserve Risk'!$AC$26),'Premium and Reserve Risk'!$AC$26))</f>
        <v>0.09</v>
      </c>
      <c r="AD80" s="81"/>
      <c r="AE80" s="97"/>
      <c r="AF80" s="97"/>
      <c r="AG80" s="97"/>
      <c r="AH80" s="97"/>
    </row>
    <row r="81" spans="1:34" ht="13.5" customHeight="1" x14ac:dyDescent="0.25">
      <c r="A81" s="97"/>
      <c r="B81" s="257">
        <v>54</v>
      </c>
      <c r="C81" s="652"/>
      <c r="D81" s="80"/>
      <c r="E81" s="80"/>
      <c r="F81" s="258">
        <f t="shared" ca="1" si="4"/>
        <v>0</v>
      </c>
      <c r="G81" s="624"/>
      <c r="H81" s="85"/>
      <c r="I81" s="624"/>
      <c r="J81" s="85"/>
      <c r="K81" s="624"/>
      <c r="L81" s="85"/>
      <c r="M81" s="624"/>
      <c r="N81" s="85"/>
      <c r="O81" s="624"/>
      <c r="P81" s="85"/>
      <c r="Q81" s="626">
        <f t="shared" si="3"/>
        <v>0</v>
      </c>
      <c r="R81" s="85"/>
      <c r="S81" s="624"/>
      <c r="T81" s="260"/>
      <c r="U81" s="624"/>
      <c r="V81" s="85"/>
      <c r="W81" s="624"/>
      <c r="X81" s="81"/>
      <c r="Y81" s="80"/>
      <c r="Z81" s="737">
        <f ca="1">MAX(0%,IF(Q81&lt;&gt;0,MIN((S81-Q81)/Q81/'Underwriting Risk'!$E$27,'Premium and Reserve Risk'!$Z$26),'Premium and Reserve Risk'!$Z$26))</f>
        <v>8.0000000000000016E-2</v>
      </c>
      <c r="AA81" s="80"/>
      <c r="AB81" s="80"/>
      <c r="AC81" s="737">
        <f ca="1">MAX(0%,IF(U81&lt;&gt;0,MIN((W81-U81)/U81/'Underwriting Risk'!$E$27,'Premium and Reserve Risk'!$AC$26),'Premium and Reserve Risk'!$AC$26))</f>
        <v>0.09</v>
      </c>
      <c r="AD81" s="81"/>
      <c r="AE81" s="97"/>
      <c r="AF81" s="97"/>
      <c r="AG81" s="97"/>
      <c r="AH81" s="97"/>
    </row>
    <row r="82" spans="1:34" ht="13.5" customHeight="1" x14ac:dyDescent="0.25">
      <c r="A82" s="97"/>
      <c r="B82" s="257">
        <v>55</v>
      </c>
      <c r="C82" s="652"/>
      <c r="D82" s="80"/>
      <c r="E82" s="80"/>
      <c r="F82" s="258">
        <f t="shared" ca="1" si="4"/>
        <v>0</v>
      </c>
      <c r="G82" s="624"/>
      <c r="H82" s="85"/>
      <c r="I82" s="624"/>
      <c r="J82" s="85"/>
      <c r="K82" s="624"/>
      <c r="L82" s="85"/>
      <c r="M82" s="624"/>
      <c r="N82" s="85"/>
      <c r="O82" s="624"/>
      <c r="P82" s="85"/>
      <c r="Q82" s="626">
        <f t="shared" si="3"/>
        <v>0</v>
      </c>
      <c r="R82" s="85"/>
      <c r="S82" s="624"/>
      <c r="T82" s="260"/>
      <c r="U82" s="624"/>
      <c r="V82" s="85"/>
      <c r="W82" s="624"/>
      <c r="X82" s="81"/>
      <c r="Y82" s="80"/>
      <c r="Z82" s="737">
        <f ca="1">MAX(0%,IF(Q82&lt;&gt;0,MIN((S82-Q82)/Q82/'Underwriting Risk'!$E$27,'Premium and Reserve Risk'!$Z$26),'Premium and Reserve Risk'!$Z$26))</f>
        <v>8.0000000000000016E-2</v>
      </c>
      <c r="AA82" s="80"/>
      <c r="AB82" s="80"/>
      <c r="AC82" s="737">
        <f ca="1">MAX(0%,IF(U82&lt;&gt;0,MIN((W82-U82)/U82/'Underwriting Risk'!$E$27,'Premium and Reserve Risk'!$AC$26),'Premium and Reserve Risk'!$AC$26))</f>
        <v>0.09</v>
      </c>
      <c r="AD82" s="81"/>
      <c r="AE82" s="97"/>
      <c r="AF82" s="97"/>
      <c r="AG82" s="97"/>
      <c r="AH82" s="97"/>
    </row>
    <row r="83" spans="1:34" ht="13.5" customHeight="1" x14ac:dyDescent="0.25">
      <c r="A83" s="97"/>
      <c r="B83" s="257">
        <v>56</v>
      </c>
      <c r="C83" s="652"/>
      <c r="D83" s="80"/>
      <c r="E83" s="80"/>
      <c r="F83" s="258">
        <f t="shared" ca="1" si="4"/>
        <v>0</v>
      </c>
      <c r="G83" s="624"/>
      <c r="H83" s="85"/>
      <c r="I83" s="624"/>
      <c r="J83" s="85"/>
      <c r="K83" s="624"/>
      <c r="L83" s="85"/>
      <c r="M83" s="624"/>
      <c r="N83" s="85"/>
      <c r="O83" s="624"/>
      <c r="P83" s="85"/>
      <c r="Q83" s="626">
        <f t="shared" si="3"/>
        <v>0</v>
      </c>
      <c r="R83" s="85"/>
      <c r="S83" s="624"/>
      <c r="T83" s="260"/>
      <c r="U83" s="624"/>
      <c r="V83" s="85"/>
      <c r="W83" s="624"/>
      <c r="X83" s="81"/>
      <c r="Y83" s="80"/>
      <c r="Z83" s="737">
        <f ca="1">MAX(0%,IF(Q83&lt;&gt;0,MIN((S83-Q83)/Q83/'Underwriting Risk'!$E$27,'Premium and Reserve Risk'!$Z$26),'Premium and Reserve Risk'!$Z$26))</f>
        <v>8.0000000000000016E-2</v>
      </c>
      <c r="AA83" s="80"/>
      <c r="AB83" s="80"/>
      <c r="AC83" s="737">
        <f ca="1">MAX(0%,IF(U83&lt;&gt;0,MIN((W83-U83)/U83/'Underwriting Risk'!$E$27,'Premium and Reserve Risk'!$AC$26),'Premium and Reserve Risk'!$AC$26))</f>
        <v>0.09</v>
      </c>
      <c r="AD83" s="81"/>
      <c r="AE83" s="97"/>
      <c r="AF83" s="97"/>
      <c r="AG83" s="97"/>
      <c r="AH83" s="97"/>
    </row>
    <row r="84" spans="1:34" ht="13.5" customHeight="1" x14ac:dyDescent="0.25">
      <c r="A84" s="97"/>
      <c r="B84" s="257">
        <v>57</v>
      </c>
      <c r="C84" s="652"/>
      <c r="D84" s="80"/>
      <c r="E84" s="80"/>
      <c r="F84" s="258">
        <f t="shared" ca="1" si="4"/>
        <v>0</v>
      </c>
      <c r="G84" s="624"/>
      <c r="H84" s="85"/>
      <c r="I84" s="624"/>
      <c r="J84" s="85"/>
      <c r="K84" s="624"/>
      <c r="L84" s="85"/>
      <c r="M84" s="624"/>
      <c r="N84" s="85"/>
      <c r="O84" s="624"/>
      <c r="P84" s="85"/>
      <c r="Q84" s="626">
        <f t="shared" si="3"/>
        <v>0</v>
      </c>
      <c r="R84" s="85"/>
      <c r="S84" s="624"/>
      <c r="T84" s="260"/>
      <c r="U84" s="624"/>
      <c r="V84" s="85"/>
      <c r="W84" s="624"/>
      <c r="X84" s="81"/>
      <c r="Y84" s="80"/>
      <c r="Z84" s="737">
        <f ca="1">MAX(0%,IF(Q84&lt;&gt;0,MIN((S84-Q84)/Q84/'Underwriting Risk'!$E$27,'Premium and Reserve Risk'!$Z$26),'Premium and Reserve Risk'!$Z$26))</f>
        <v>8.0000000000000016E-2</v>
      </c>
      <c r="AA84" s="80"/>
      <c r="AB84" s="80"/>
      <c r="AC84" s="737">
        <f ca="1">MAX(0%,IF(U84&lt;&gt;0,MIN((W84-U84)/U84/'Underwriting Risk'!$E$27,'Premium and Reserve Risk'!$AC$26),'Premium and Reserve Risk'!$AC$26))</f>
        <v>0.09</v>
      </c>
      <c r="AD84" s="81"/>
      <c r="AE84" s="97"/>
      <c r="AF84" s="97"/>
      <c r="AG84" s="97"/>
      <c r="AH84" s="97"/>
    </row>
    <row r="85" spans="1:34" ht="13.5" customHeight="1" x14ac:dyDescent="0.25">
      <c r="A85" s="97"/>
      <c r="B85" s="257">
        <v>58</v>
      </c>
      <c r="C85" s="652"/>
      <c r="D85" s="80"/>
      <c r="E85" s="80"/>
      <c r="F85" s="258">
        <f t="shared" ca="1" si="4"/>
        <v>0</v>
      </c>
      <c r="G85" s="624"/>
      <c r="H85" s="85"/>
      <c r="I85" s="624"/>
      <c r="J85" s="85"/>
      <c r="K85" s="624"/>
      <c r="L85" s="85"/>
      <c r="M85" s="624"/>
      <c r="N85" s="85"/>
      <c r="O85" s="624"/>
      <c r="P85" s="85"/>
      <c r="Q85" s="626">
        <f t="shared" si="3"/>
        <v>0</v>
      </c>
      <c r="R85" s="85"/>
      <c r="S85" s="624"/>
      <c r="T85" s="260"/>
      <c r="U85" s="624"/>
      <c r="V85" s="85"/>
      <c r="W85" s="624"/>
      <c r="X85" s="81"/>
      <c r="Y85" s="80"/>
      <c r="Z85" s="737">
        <f ca="1">MAX(0%,IF(Q85&lt;&gt;0,MIN((S85-Q85)/Q85/'Underwriting Risk'!$E$27,'Premium and Reserve Risk'!$Z$26),'Premium and Reserve Risk'!$Z$26))</f>
        <v>8.0000000000000016E-2</v>
      </c>
      <c r="AA85" s="80"/>
      <c r="AB85" s="80"/>
      <c r="AC85" s="737">
        <f ca="1">MAX(0%,IF(U85&lt;&gt;0,MIN((W85-U85)/U85/'Underwriting Risk'!$E$27,'Premium and Reserve Risk'!$AC$26),'Premium and Reserve Risk'!$AC$26))</f>
        <v>0.09</v>
      </c>
      <c r="AD85" s="81"/>
      <c r="AE85" s="97"/>
      <c r="AF85" s="97"/>
      <c r="AG85" s="97"/>
      <c r="AH85" s="97"/>
    </row>
    <row r="86" spans="1:34" ht="13.5" customHeight="1" x14ac:dyDescent="0.25">
      <c r="A86" s="97"/>
      <c r="B86" s="257">
        <v>59</v>
      </c>
      <c r="C86" s="652"/>
      <c r="D86" s="80"/>
      <c r="E86" s="80"/>
      <c r="F86" s="258">
        <f t="shared" ca="1" si="4"/>
        <v>0</v>
      </c>
      <c r="G86" s="624"/>
      <c r="H86" s="85"/>
      <c r="I86" s="624"/>
      <c r="J86" s="85"/>
      <c r="K86" s="624"/>
      <c r="L86" s="85"/>
      <c r="M86" s="624"/>
      <c r="N86" s="85"/>
      <c r="O86" s="624"/>
      <c r="P86" s="85"/>
      <c r="Q86" s="626">
        <f t="shared" si="3"/>
        <v>0</v>
      </c>
      <c r="R86" s="85"/>
      <c r="S86" s="624"/>
      <c r="T86" s="260"/>
      <c r="U86" s="624"/>
      <c r="V86" s="85"/>
      <c r="W86" s="624"/>
      <c r="X86" s="81"/>
      <c r="Y86" s="80"/>
      <c r="Z86" s="737">
        <f ca="1">MAX(0%,IF(Q86&lt;&gt;0,MIN((S86-Q86)/Q86/'Underwriting Risk'!$E$27,'Premium and Reserve Risk'!$Z$26),'Premium and Reserve Risk'!$Z$26))</f>
        <v>8.0000000000000016E-2</v>
      </c>
      <c r="AA86" s="80"/>
      <c r="AB86" s="80"/>
      <c r="AC86" s="737">
        <f ca="1">MAX(0%,IF(U86&lt;&gt;0,MIN((W86-U86)/U86/'Underwriting Risk'!$E$27,'Premium and Reserve Risk'!$AC$26),'Premium and Reserve Risk'!$AC$26))</f>
        <v>0.09</v>
      </c>
      <c r="AD86" s="81"/>
      <c r="AE86" s="97"/>
      <c r="AF86" s="97"/>
      <c r="AG86" s="97"/>
      <c r="AH86" s="97"/>
    </row>
    <row r="87" spans="1:34" ht="13.5" customHeight="1" x14ac:dyDescent="0.25">
      <c r="A87" s="97"/>
      <c r="B87" s="257">
        <v>60</v>
      </c>
      <c r="C87" s="652"/>
      <c r="D87" s="80"/>
      <c r="E87" s="80"/>
      <c r="F87" s="258">
        <f t="shared" ca="1" si="4"/>
        <v>0</v>
      </c>
      <c r="G87" s="624"/>
      <c r="H87" s="85"/>
      <c r="I87" s="624"/>
      <c r="J87" s="85"/>
      <c r="K87" s="624"/>
      <c r="L87" s="85"/>
      <c r="M87" s="624"/>
      <c r="N87" s="85"/>
      <c r="O87" s="624"/>
      <c r="P87" s="85"/>
      <c r="Q87" s="626">
        <f t="shared" si="3"/>
        <v>0</v>
      </c>
      <c r="R87" s="85"/>
      <c r="S87" s="624"/>
      <c r="T87" s="260"/>
      <c r="U87" s="624"/>
      <c r="V87" s="85"/>
      <c r="W87" s="624"/>
      <c r="X87" s="81"/>
      <c r="Y87" s="80"/>
      <c r="Z87" s="737">
        <f ca="1">MAX(0%,IF(Q87&lt;&gt;0,MIN((S87-Q87)/Q87/'Underwriting Risk'!$E$27,'Premium and Reserve Risk'!$Z$26),'Premium and Reserve Risk'!$Z$26))</f>
        <v>8.0000000000000016E-2</v>
      </c>
      <c r="AA87" s="80"/>
      <c r="AB87" s="80"/>
      <c r="AC87" s="737">
        <f ca="1">MAX(0%,IF(U87&lt;&gt;0,MIN((W87-U87)/U87/'Underwriting Risk'!$E$27,'Premium and Reserve Risk'!$AC$26),'Premium and Reserve Risk'!$AC$26))</f>
        <v>0.09</v>
      </c>
      <c r="AD87" s="81"/>
      <c r="AE87" s="97"/>
      <c r="AF87" s="97"/>
      <c r="AG87" s="97"/>
      <c r="AH87" s="97"/>
    </row>
    <row r="88" spans="1:34" ht="13.5" customHeight="1" x14ac:dyDescent="0.25">
      <c r="A88" s="97"/>
      <c r="B88" s="257">
        <v>61</v>
      </c>
      <c r="C88" s="652"/>
      <c r="D88" s="80"/>
      <c r="E88" s="80"/>
      <c r="F88" s="258">
        <f t="shared" ca="1" si="4"/>
        <v>0</v>
      </c>
      <c r="G88" s="624"/>
      <c r="H88" s="85"/>
      <c r="I88" s="624"/>
      <c r="J88" s="85"/>
      <c r="K88" s="624"/>
      <c r="L88" s="85"/>
      <c r="M88" s="624"/>
      <c r="N88" s="85"/>
      <c r="O88" s="624"/>
      <c r="P88" s="85"/>
      <c r="Q88" s="626">
        <f t="shared" si="3"/>
        <v>0</v>
      </c>
      <c r="R88" s="85"/>
      <c r="S88" s="624"/>
      <c r="T88" s="260"/>
      <c r="U88" s="624"/>
      <c r="V88" s="85"/>
      <c r="W88" s="624"/>
      <c r="X88" s="81"/>
      <c r="Y88" s="80"/>
      <c r="Z88" s="737">
        <f ca="1">MAX(0%,IF(Q88&lt;&gt;0,MIN((S88-Q88)/Q88/'Underwriting Risk'!$E$27,'Premium and Reserve Risk'!$Z$26),'Premium and Reserve Risk'!$Z$26))</f>
        <v>8.0000000000000016E-2</v>
      </c>
      <c r="AA88" s="80"/>
      <c r="AB88" s="80"/>
      <c r="AC88" s="737">
        <f ca="1">MAX(0%,IF(U88&lt;&gt;0,MIN((W88-U88)/U88/'Underwriting Risk'!$E$27,'Premium and Reserve Risk'!$AC$26),'Premium and Reserve Risk'!$AC$26))</f>
        <v>0.09</v>
      </c>
      <c r="AD88" s="81"/>
      <c r="AE88" s="97"/>
      <c r="AF88" s="97"/>
      <c r="AG88" s="97"/>
      <c r="AH88" s="97"/>
    </row>
    <row r="89" spans="1:34" ht="13.5" customHeight="1" x14ac:dyDescent="0.25">
      <c r="A89" s="97"/>
      <c r="B89" s="257">
        <v>62</v>
      </c>
      <c r="C89" s="652"/>
      <c r="D89" s="80"/>
      <c r="E89" s="80"/>
      <c r="F89" s="258">
        <f t="shared" ca="1" si="4"/>
        <v>0</v>
      </c>
      <c r="G89" s="624"/>
      <c r="H89" s="85"/>
      <c r="I89" s="624"/>
      <c r="J89" s="85"/>
      <c r="K89" s="624"/>
      <c r="L89" s="85"/>
      <c r="M89" s="624"/>
      <c r="N89" s="85"/>
      <c r="O89" s="624"/>
      <c r="P89" s="85"/>
      <c r="Q89" s="626">
        <f t="shared" si="3"/>
        <v>0</v>
      </c>
      <c r="R89" s="85"/>
      <c r="S89" s="624"/>
      <c r="T89" s="260"/>
      <c r="U89" s="624"/>
      <c r="V89" s="85"/>
      <c r="W89" s="624"/>
      <c r="X89" s="81"/>
      <c r="Y89" s="80"/>
      <c r="Z89" s="737">
        <f ca="1">MAX(0%,IF(Q89&lt;&gt;0,MIN((S89-Q89)/Q89/'Underwriting Risk'!$E$27,'Premium and Reserve Risk'!$Z$26),'Premium and Reserve Risk'!$Z$26))</f>
        <v>8.0000000000000016E-2</v>
      </c>
      <c r="AA89" s="80"/>
      <c r="AB89" s="80"/>
      <c r="AC89" s="737">
        <f ca="1">MAX(0%,IF(U89&lt;&gt;0,MIN((W89-U89)/U89/'Underwriting Risk'!$E$27,'Premium and Reserve Risk'!$AC$26),'Premium and Reserve Risk'!$AC$26))</f>
        <v>0.09</v>
      </c>
      <c r="AD89" s="81"/>
      <c r="AE89" s="97"/>
      <c r="AF89" s="97"/>
      <c r="AG89" s="97"/>
      <c r="AH89" s="97"/>
    </row>
    <row r="90" spans="1:34" ht="13.5" customHeight="1" x14ac:dyDescent="0.25">
      <c r="A90" s="97"/>
      <c r="B90" s="257">
        <v>63</v>
      </c>
      <c r="C90" s="652"/>
      <c r="D90" s="80"/>
      <c r="E90" s="80"/>
      <c r="F90" s="258">
        <f t="shared" ca="1" si="4"/>
        <v>0</v>
      </c>
      <c r="G90" s="624"/>
      <c r="H90" s="85"/>
      <c r="I90" s="624"/>
      <c r="J90" s="85"/>
      <c r="K90" s="624"/>
      <c r="L90" s="85"/>
      <c r="M90" s="624"/>
      <c r="N90" s="85"/>
      <c r="O90" s="624"/>
      <c r="P90" s="85"/>
      <c r="Q90" s="626">
        <f t="shared" si="3"/>
        <v>0</v>
      </c>
      <c r="R90" s="85"/>
      <c r="S90" s="624"/>
      <c r="T90" s="260"/>
      <c r="U90" s="624"/>
      <c r="V90" s="85"/>
      <c r="W90" s="624"/>
      <c r="X90" s="81"/>
      <c r="Y90" s="80"/>
      <c r="Z90" s="737">
        <f ca="1">MAX(0%,IF(Q90&lt;&gt;0,MIN((S90-Q90)/Q90/'Underwriting Risk'!$E$27,'Premium and Reserve Risk'!$Z$26),'Premium and Reserve Risk'!$Z$26))</f>
        <v>8.0000000000000016E-2</v>
      </c>
      <c r="AA90" s="80"/>
      <c r="AB90" s="80"/>
      <c r="AC90" s="737">
        <f ca="1">MAX(0%,IF(U90&lt;&gt;0,MIN((W90-U90)/U90/'Underwriting Risk'!$E$27,'Premium and Reserve Risk'!$AC$26),'Premium and Reserve Risk'!$AC$26))</f>
        <v>0.09</v>
      </c>
      <c r="AD90" s="81"/>
      <c r="AE90" s="97"/>
      <c r="AF90" s="97"/>
      <c r="AG90" s="97"/>
      <c r="AH90" s="97"/>
    </row>
    <row r="91" spans="1:34" ht="13.5" customHeight="1" x14ac:dyDescent="0.25">
      <c r="A91" s="97"/>
      <c r="B91" s="257">
        <v>64</v>
      </c>
      <c r="C91" s="652"/>
      <c r="D91" s="80"/>
      <c r="E91" s="80"/>
      <c r="F91" s="258">
        <f t="shared" ca="1" si="4"/>
        <v>0</v>
      </c>
      <c r="G91" s="624"/>
      <c r="H91" s="85"/>
      <c r="I91" s="624"/>
      <c r="J91" s="85"/>
      <c r="K91" s="624"/>
      <c r="L91" s="85"/>
      <c r="M91" s="624"/>
      <c r="N91" s="85"/>
      <c r="O91" s="624"/>
      <c r="P91" s="85"/>
      <c r="Q91" s="626">
        <f t="shared" si="3"/>
        <v>0</v>
      </c>
      <c r="R91" s="85"/>
      <c r="S91" s="624"/>
      <c r="T91" s="260"/>
      <c r="U91" s="624"/>
      <c r="V91" s="85"/>
      <c r="W91" s="624"/>
      <c r="X91" s="81"/>
      <c r="Y91" s="80"/>
      <c r="Z91" s="737">
        <f ca="1">MAX(0%,IF(Q91&lt;&gt;0,MIN((S91-Q91)/Q91/'Underwriting Risk'!$E$27,'Premium and Reserve Risk'!$Z$26),'Premium and Reserve Risk'!$Z$26))</f>
        <v>8.0000000000000016E-2</v>
      </c>
      <c r="AA91" s="80"/>
      <c r="AB91" s="80"/>
      <c r="AC91" s="737">
        <f ca="1">MAX(0%,IF(U91&lt;&gt;0,MIN((W91-U91)/U91/'Underwriting Risk'!$E$27,'Premium and Reserve Risk'!$AC$26),'Premium and Reserve Risk'!$AC$26))</f>
        <v>0.09</v>
      </c>
      <c r="AD91" s="81"/>
      <c r="AE91" s="97"/>
      <c r="AF91" s="97"/>
      <c r="AG91" s="97"/>
      <c r="AH91" s="97"/>
    </row>
    <row r="92" spans="1:34" ht="13.5" customHeight="1" x14ac:dyDescent="0.25">
      <c r="A92" s="97"/>
      <c r="B92" s="257">
        <v>65</v>
      </c>
      <c r="C92" s="652"/>
      <c r="D92" s="80"/>
      <c r="E92" s="80"/>
      <c r="F92" s="258">
        <f t="shared" ca="1" si="4"/>
        <v>0</v>
      </c>
      <c r="G92" s="624"/>
      <c r="H92" s="85"/>
      <c r="I92" s="624"/>
      <c r="J92" s="85"/>
      <c r="K92" s="624"/>
      <c r="L92" s="85"/>
      <c r="M92" s="624"/>
      <c r="N92" s="85"/>
      <c r="O92" s="624"/>
      <c r="P92" s="85"/>
      <c r="Q92" s="626">
        <f t="shared" si="3"/>
        <v>0</v>
      </c>
      <c r="R92" s="85"/>
      <c r="S92" s="624"/>
      <c r="T92" s="260"/>
      <c r="U92" s="624"/>
      <c r="V92" s="85"/>
      <c r="W92" s="624"/>
      <c r="X92" s="81"/>
      <c r="Y92" s="80"/>
      <c r="Z92" s="737">
        <f ca="1">MAX(0%,IF(Q92&lt;&gt;0,MIN((S92-Q92)/Q92/'Underwriting Risk'!$E$27,'Premium and Reserve Risk'!$Z$26),'Premium and Reserve Risk'!$Z$26))</f>
        <v>8.0000000000000016E-2</v>
      </c>
      <c r="AA92" s="80"/>
      <c r="AB92" s="80"/>
      <c r="AC92" s="737">
        <f ca="1">MAX(0%,IF(U92&lt;&gt;0,MIN((W92-U92)/U92/'Underwriting Risk'!$E$27,'Premium and Reserve Risk'!$AC$26),'Premium and Reserve Risk'!$AC$26))</f>
        <v>0.09</v>
      </c>
      <c r="AD92" s="81"/>
      <c r="AE92" s="97"/>
      <c r="AF92" s="97"/>
      <c r="AG92" s="97"/>
      <c r="AH92" s="97"/>
    </row>
    <row r="93" spans="1:34" ht="13.5" customHeight="1" x14ac:dyDescent="0.25">
      <c r="A93" s="97"/>
      <c r="B93" s="257">
        <v>66</v>
      </c>
      <c r="C93" s="652"/>
      <c r="D93" s="80"/>
      <c r="E93" s="80"/>
      <c r="F93" s="258">
        <f t="shared" ref="F93:F127" ca="1" si="5">IF(B93&lt;=OFFSET($Z$8,B$25-1,0),0,1)</f>
        <v>0</v>
      </c>
      <c r="G93" s="624"/>
      <c r="H93" s="85"/>
      <c r="I93" s="624"/>
      <c r="J93" s="85"/>
      <c r="K93" s="624"/>
      <c r="L93" s="85"/>
      <c r="M93" s="624"/>
      <c r="N93" s="85"/>
      <c r="O93" s="624"/>
      <c r="P93" s="85"/>
      <c r="Q93" s="626">
        <f t="shared" si="3"/>
        <v>0</v>
      </c>
      <c r="R93" s="85"/>
      <c r="S93" s="624"/>
      <c r="T93" s="260"/>
      <c r="U93" s="624"/>
      <c r="V93" s="85"/>
      <c r="W93" s="624"/>
      <c r="X93" s="81"/>
      <c r="Y93" s="80"/>
      <c r="Z93" s="737">
        <f ca="1">MAX(0%,IF(Q93&lt;&gt;0,MIN((S93-Q93)/Q93/'Underwriting Risk'!$E$27,'Premium and Reserve Risk'!$Z$26),'Premium and Reserve Risk'!$Z$26))</f>
        <v>8.0000000000000016E-2</v>
      </c>
      <c r="AA93" s="80"/>
      <c r="AB93" s="80"/>
      <c r="AC93" s="737">
        <f ca="1">MAX(0%,IF(U93&lt;&gt;0,MIN((W93-U93)/U93/'Underwriting Risk'!$E$27,'Premium and Reserve Risk'!$AC$26),'Premium and Reserve Risk'!$AC$26))</f>
        <v>0.09</v>
      </c>
      <c r="AD93" s="81"/>
      <c r="AE93" s="97"/>
      <c r="AF93" s="97"/>
      <c r="AG93" s="97"/>
      <c r="AH93" s="97"/>
    </row>
    <row r="94" spans="1:34" ht="13.5" customHeight="1" x14ac:dyDescent="0.25">
      <c r="A94" s="97"/>
      <c r="B94" s="257">
        <v>67</v>
      </c>
      <c r="C94" s="652"/>
      <c r="D94" s="80"/>
      <c r="E94" s="80"/>
      <c r="F94" s="258">
        <f t="shared" ca="1" si="5"/>
        <v>0</v>
      </c>
      <c r="G94" s="624"/>
      <c r="H94" s="85"/>
      <c r="I94" s="624"/>
      <c r="J94" s="85"/>
      <c r="K94" s="624"/>
      <c r="L94" s="85"/>
      <c r="M94" s="624"/>
      <c r="N94" s="85"/>
      <c r="O94" s="624"/>
      <c r="P94" s="85"/>
      <c r="Q94" s="626">
        <f t="shared" si="3"/>
        <v>0</v>
      </c>
      <c r="R94" s="85"/>
      <c r="S94" s="624"/>
      <c r="T94" s="260"/>
      <c r="U94" s="624"/>
      <c r="V94" s="85"/>
      <c r="W94" s="624"/>
      <c r="X94" s="81"/>
      <c r="Y94" s="80"/>
      <c r="Z94" s="737">
        <f ca="1">MAX(0%,IF(Q94&lt;&gt;0,MIN((S94-Q94)/Q94/'Underwriting Risk'!$E$27,'Premium and Reserve Risk'!$Z$26),'Premium and Reserve Risk'!$Z$26))</f>
        <v>8.0000000000000016E-2</v>
      </c>
      <c r="AA94" s="80"/>
      <c r="AB94" s="80"/>
      <c r="AC94" s="737">
        <f ca="1">MAX(0%,IF(U94&lt;&gt;0,MIN((W94-U94)/U94/'Underwriting Risk'!$E$27,'Premium and Reserve Risk'!$AC$26),'Premium and Reserve Risk'!$AC$26))</f>
        <v>0.09</v>
      </c>
      <c r="AD94" s="81"/>
      <c r="AE94" s="97"/>
      <c r="AF94" s="97"/>
      <c r="AG94" s="97"/>
      <c r="AH94" s="97"/>
    </row>
    <row r="95" spans="1:34" ht="13.5" customHeight="1" x14ac:dyDescent="0.25">
      <c r="A95" s="97"/>
      <c r="B95" s="257">
        <v>68</v>
      </c>
      <c r="C95" s="652"/>
      <c r="D95" s="80"/>
      <c r="E95" s="80"/>
      <c r="F95" s="258">
        <f t="shared" ca="1" si="5"/>
        <v>0</v>
      </c>
      <c r="G95" s="624"/>
      <c r="H95" s="85"/>
      <c r="I95" s="624"/>
      <c r="J95" s="85"/>
      <c r="K95" s="624"/>
      <c r="L95" s="85"/>
      <c r="M95" s="624"/>
      <c r="N95" s="85"/>
      <c r="O95" s="624"/>
      <c r="P95" s="85"/>
      <c r="Q95" s="626">
        <f t="shared" si="3"/>
        <v>0</v>
      </c>
      <c r="R95" s="85"/>
      <c r="S95" s="624"/>
      <c r="T95" s="260"/>
      <c r="U95" s="624"/>
      <c r="V95" s="85"/>
      <c r="W95" s="624"/>
      <c r="X95" s="81"/>
      <c r="Y95" s="80"/>
      <c r="Z95" s="737">
        <f ca="1">MAX(0%,IF(Q95&lt;&gt;0,MIN((S95-Q95)/Q95/'Underwriting Risk'!$E$27,'Premium and Reserve Risk'!$Z$26),'Premium and Reserve Risk'!$Z$26))</f>
        <v>8.0000000000000016E-2</v>
      </c>
      <c r="AA95" s="80"/>
      <c r="AB95" s="80"/>
      <c r="AC95" s="737">
        <f ca="1">MAX(0%,IF(U95&lt;&gt;0,MIN((W95-U95)/U95/'Underwriting Risk'!$E$27,'Premium and Reserve Risk'!$AC$26),'Premium and Reserve Risk'!$AC$26))</f>
        <v>0.09</v>
      </c>
      <c r="AD95" s="81"/>
      <c r="AE95" s="97"/>
      <c r="AF95" s="97"/>
      <c r="AG95" s="97"/>
      <c r="AH95" s="97"/>
    </row>
    <row r="96" spans="1:34" ht="13.5" customHeight="1" x14ac:dyDescent="0.25">
      <c r="A96" s="97"/>
      <c r="B96" s="257">
        <v>69</v>
      </c>
      <c r="C96" s="652"/>
      <c r="D96" s="80"/>
      <c r="E96" s="80"/>
      <c r="F96" s="258">
        <f t="shared" ca="1" si="5"/>
        <v>0</v>
      </c>
      <c r="G96" s="624"/>
      <c r="H96" s="85"/>
      <c r="I96" s="624"/>
      <c r="J96" s="85"/>
      <c r="K96" s="624"/>
      <c r="L96" s="85"/>
      <c r="M96" s="624"/>
      <c r="N96" s="85"/>
      <c r="O96" s="624"/>
      <c r="P96" s="85"/>
      <c r="Q96" s="626">
        <f t="shared" si="3"/>
        <v>0</v>
      </c>
      <c r="R96" s="85"/>
      <c r="S96" s="624"/>
      <c r="T96" s="260"/>
      <c r="U96" s="624"/>
      <c r="V96" s="85"/>
      <c r="W96" s="624"/>
      <c r="X96" s="81"/>
      <c r="Y96" s="80"/>
      <c r="Z96" s="737">
        <f ca="1">MAX(0%,IF(Q96&lt;&gt;0,MIN((S96-Q96)/Q96/'Underwriting Risk'!$E$27,'Premium and Reserve Risk'!$Z$26),'Premium and Reserve Risk'!$Z$26))</f>
        <v>8.0000000000000016E-2</v>
      </c>
      <c r="AA96" s="80"/>
      <c r="AB96" s="80"/>
      <c r="AC96" s="737">
        <f ca="1">MAX(0%,IF(U96&lt;&gt;0,MIN((W96-U96)/U96/'Underwriting Risk'!$E$27,'Premium and Reserve Risk'!$AC$26),'Premium and Reserve Risk'!$AC$26))</f>
        <v>0.09</v>
      </c>
      <c r="AD96" s="81"/>
      <c r="AE96" s="97"/>
      <c r="AF96" s="97"/>
      <c r="AG96" s="97"/>
      <c r="AH96" s="97"/>
    </row>
    <row r="97" spans="1:34" ht="13.5" customHeight="1" x14ac:dyDescent="0.25">
      <c r="A97" s="97"/>
      <c r="B97" s="257">
        <v>70</v>
      </c>
      <c r="C97" s="652"/>
      <c r="D97" s="80"/>
      <c r="E97" s="80"/>
      <c r="F97" s="258">
        <f t="shared" ca="1" si="5"/>
        <v>0</v>
      </c>
      <c r="G97" s="624"/>
      <c r="H97" s="85"/>
      <c r="I97" s="624"/>
      <c r="J97" s="85"/>
      <c r="K97" s="624"/>
      <c r="L97" s="85"/>
      <c r="M97" s="624"/>
      <c r="N97" s="85"/>
      <c r="O97" s="624"/>
      <c r="P97" s="85"/>
      <c r="Q97" s="626">
        <f t="shared" si="3"/>
        <v>0</v>
      </c>
      <c r="R97" s="85"/>
      <c r="S97" s="624"/>
      <c r="T97" s="260"/>
      <c r="U97" s="624"/>
      <c r="V97" s="85"/>
      <c r="W97" s="624"/>
      <c r="X97" s="81"/>
      <c r="Y97" s="80"/>
      <c r="Z97" s="737">
        <f ca="1">MAX(0%,IF(Q97&lt;&gt;0,MIN((S97-Q97)/Q97/'Underwriting Risk'!$E$27,'Premium and Reserve Risk'!$Z$26),'Premium and Reserve Risk'!$Z$26))</f>
        <v>8.0000000000000016E-2</v>
      </c>
      <c r="AA97" s="80"/>
      <c r="AB97" s="80"/>
      <c r="AC97" s="737">
        <f ca="1">MAX(0%,IF(U97&lt;&gt;0,MIN((W97-U97)/U97/'Underwriting Risk'!$E$27,'Premium and Reserve Risk'!$AC$26),'Premium and Reserve Risk'!$AC$26))</f>
        <v>0.09</v>
      </c>
      <c r="AD97" s="81"/>
      <c r="AE97" s="97"/>
      <c r="AF97" s="97"/>
      <c r="AG97" s="97"/>
      <c r="AH97" s="97"/>
    </row>
    <row r="98" spans="1:34" ht="13.5" customHeight="1" x14ac:dyDescent="0.25">
      <c r="A98" s="97"/>
      <c r="B98" s="257">
        <v>71</v>
      </c>
      <c r="C98" s="652"/>
      <c r="D98" s="80"/>
      <c r="E98" s="80"/>
      <c r="F98" s="258">
        <f t="shared" ca="1" si="5"/>
        <v>0</v>
      </c>
      <c r="G98" s="624"/>
      <c r="H98" s="85"/>
      <c r="I98" s="624"/>
      <c r="J98" s="85"/>
      <c r="K98" s="624"/>
      <c r="L98" s="85"/>
      <c r="M98" s="624"/>
      <c r="N98" s="85"/>
      <c r="O98" s="624"/>
      <c r="P98" s="85"/>
      <c r="Q98" s="626">
        <f t="shared" si="3"/>
        <v>0</v>
      </c>
      <c r="R98" s="85"/>
      <c r="S98" s="624"/>
      <c r="T98" s="260"/>
      <c r="U98" s="624"/>
      <c r="V98" s="85"/>
      <c r="W98" s="624"/>
      <c r="X98" s="81"/>
      <c r="Y98" s="80"/>
      <c r="Z98" s="737">
        <f ca="1">MAX(0%,IF(Q98&lt;&gt;0,MIN((S98-Q98)/Q98/'Underwriting Risk'!$E$27,'Premium and Reserve Risk'!$Z$26),'Premium and Reserve Risk'!$Z$26))</f>
        <v>8.0000000000000016E-2</v>
      </c>
      <c r="AA98" s="80"/>
      <c r="AB98" s="80"/>
      <c r="AC98" s="737">
        <f ca="1">MAX(0%,IF(U98&lt;&gt;0,MIN((W98-U98)/U98/'Underwriting Risk'!$E$27,'Premium and Reserve Risk'!$AC$26),'Premium and Reserve Risk'!$AC$26))</f>
        <v>0.09</v>
      </c>
      <c r="AD98" s="81"/>
      <c r="AE98" s="97"/>
      <c r="AF98" s="97"/>
      <c r="AG98" s="97"/>
      <c r="AH98" s="97"/>
    </row>
    <row r="99" spans="1:34" ht="13.5" customHeight="1" x14ac:dyDescent="0.25">
      <c r="A99" s="97"/>
      <c r="B99" s="257">
        <v>72</v>
      </c>
      <c r="C99" s="652"/>
      <c r="D99" s="80"/>
      <c r="E99" s="80"/>
      <c r="F99" s="258">
        <f t="shared" ca="1" si="5"/>
        <v>0</v>
      </c>
      <c r="G99" s="624"/>
      <c r="H99" s="85"/>
      <c r="I99" s="624"/>
      <c r="J99" s="85"/>
      <c r="K99" s="624"/>
      <c r="L99" s="85"/>
      <c r="M99" s="624"/>
      <c r="N99" s="85"/>
      <c r="O99" s="624"/>
      <c r="P99" s="85"/>
      <c r="Q99" s="626">
        <f t="shared" si="3"/>
        <v>0</v>
      </c>
      <c r="R99" s="85"/>
      <c r="S99" s="624"/>
      <c r="T99" s="260"/>
      <c r="U99" s="624"/>
      <c r="V99" s="85"/>
      <c r="W99" s="624"/>
      <c r="X99" s="81"/>
      <c r="Y99" s="80"/>
      <c r="Z99" s="737">
        <f ca="1">MAX(0%,IF(Q99&lt;&gt;0,MIN((S99-Q99)/Q99/'Underwriting Risk'!$E$27,'Premium and Reserve Risk'!$Z$26),'Premium and Reserve Risk'!$Z$26))</f>
        <v>8.0000000000000016E-2</v>
      </c>
      <c r="AA99" s="80"/>
      <c r="AB99" s="80"/>
      <c r="AC99" s="737">
        <f ca="1">MAX(0%,IF(U99&lt;&gt;0,MIN((W99-U99)/U99/'Underwriting Risk'!$E$27,'Premium and Reserve Risk'!$AC$26),'Premium and Reserve Risk'!$AC$26))</f>
        <v>0.09</v>
      </c>
      <c r="AD99" s="81"/>
      <c r="AE99" s="97"/>
      <c r="AF99" s="97"/>
      <c r="AG99" s="97"/>
      <c r="AH99" s="97"/>
    </row>
    <row r="100" spans="1:34" ht="13.5" customHeight="1" x14ac:dyDescent="0.25">
      <c r="A100" s="97"/>
      <c r="B100" s="257">
        <v>73</v>
      </c>
      <c r="C100" s="652"/>
      <c r="D100" s="80"/>
      <c r="E100" s="80"/>
      <c r="F100" s="258">
        <f t="shared" ca="1" si="5"/>
        <v>0</v>
      </c>
      <c r="G100" s="624"/>
      <c r="H100" s="85"/>
      <c r="I100" s="624"/>
      <c r="J100" s="85"/>
      <c r="K100" s="624"/>
      <c r="L100" s="85"/>
      <c r="M100" s="624"/>
      <c r="N100" s="85"/>
      <c r="O100" s="624"/>
      <c r="P100" s="85"/>
      <c r="Q100" s="626">
        <f t="shared" si="3"/>
        <v>0</v>
      </c>
      <c r="R100" s="85"/>
      <c r="S100" s="624"/>
      <c r="T100" s="260"/>
      <c r="U100" s="624"/>
      <c r="V100" s="85"/>
      <c r="W100" s="624"/>
      <c r="X100" s="81"/>
      <c r="Y100" s="80"/>
      <c r="Z100" s="737">
        <f ca="1">MAX(0%,IF(Q100&lt;&gt;0,MIN((S100-Q100)/Q100/'Underwriting Risk'!$E$27,'Premium and Reserve Risk'!$Z$26),'Premium and Reserve Risk'!$Z$26))</f>
        <v>8.0000000000000016E-2</v>
      </c>
      <c r="AA100" s="80"/>
      <c r="AB100" s="80"/>
      <c r="AC100" s="737">
        <f ca="1">MAX(0%,IF(U100&lt;&gt;0,MIN((W100-U100)/U100/'Underwriting Risk'!$E$27,'Premium and Reserve Risk'!$AC$26),'Premium and Reserve Risk'!$AC$26))</f>
        <v>0.09</v>
      </c>
      <c r="AD100" s="81"/>
      <c r="AE100" s="97"/>
      <c r="AF100" s="97"/>
      <c r="AG100" s="97"/>
      <c r="AH100" s="97"/>
    </row>
    <row r="101" spans="1:34" ht="13.5" customHeight="1" x14ac:dyDescent="0.25">
      <c r="A101" s="97"/>
      <c r="B101" s="257">
        <v>74</v>
      </c>
      <c r="C101" s="652"/>
      <c r="D101" s="80"/>
      <c r="E101" s="80"/>
      <c r="F101" s="258">
        <f t="shared" ca="1" si="5"/>
        <v>0</v>
      </c>
      <c r="G101" s="624"/>
      <c r="H101" s="85"/>
      <c r="I101" s="624"/>
      <c r="J101" s="85"/>
      <c r="K101" s="624"/>
      <c r="L101" s="85"/>
      <c r="M101" s="624"/>
      <c r="N101" s="85"/>
      <c r="O101" s="624"/>
      <c r="P101" s="85"/>
      <c r="Q101" s="626">
        <f t="shared" si="3"/>
        <v>0</v>
      </c>
      <c r="R101" s="85"/>
      <c r="S101" s="624"/>
      <c r="T101" s="260"/>
      <c r="U101" s="624"/>
      <c r="V101" s="85"/>
      <c r="W101" s="624"/>
      <c r="X101" s="81"/>
      <c r="Y101" s="80"/>
      <c r="Z101" s="737">
        <f ca="1">MAX(0%,IF(Q101&lt;&gt;0,MIN((S101-Q101)/Q101/'Underwriting Risk'!$E$27,'Premium and Reserve Risk'!$Z$26),'Premium and Reserve Risk'!$Z$26))</f>
        <v>8.0000000000000016E-2</v>
      </c>
      <c r="AA101" s="80"/>
      <c r="AB101" s="80"/>
      <c r="AC101" s="737">
        <f ca="1">MAX(0%,IF(U101&lt;&gt;0,MIN((W101-U101)/U101/'Underwriting Risk'!$E$27,'Premium and Reserve Risk'!$AC$26),'Premium and Reserve Risk'!$AC$26))</f>
        <v>0.09</v>
      </c>
      <c r="AD101" s="81"/>
      <c r="AE101" s="97"/>
      <c r="AF101" s="97"/>
      <c r="AG101" s="97"/>
      <c r="AH101" s="97"/>
    </row>
    <row r="102" spans="1:34" ht="13.5" customHeight="1" x14ac:dyDescent="0.25">
      <c r="A102" s="97"/>
      <c r="B102" s="257">
        <v>75</v>
      </c>
      <c r="C102" s="652"/>
      <c r="D102" s="80"/>
      <c r="E102" s="80"/>
      <c r="F102" s="258">
        <f t="shared" ca="1" si="5"/>
        <v>0</v>
      </c>
      <c r="G102" s="624"/>
      <c r="H102" s="85"/>
      <c r="I102" s="624"/>
      <c r="J102" s="85"/>
      <c r="K102" s="624"/>
      <c r="L102" s="85"/>
      <c r="M102" s="624"/>
      <c r="N102" s="85"/>
      <c r="O102" s="624"/>
      <c r="P102" s="85"/>
      <c r="Q102" s="626">
        <f t="shared" si="3"/>
        <v>0</v>
      </c>
      <c r="R102" s="85"/>
      <c r="S102" s="624"/>
      <c r="T102" s="260"/>
      <c r="U102" s="624"/>
      <c r="V102" s="85"/>
      <c r="W102" s="624"/>
      <c r="X102" s="81"/>
      <c r="Y102" s="80"/>
      <c r="Z102" s="737">
        <f ca="1">MAX(0%,IF(Q102&lt;&gt;0,MIN((S102-Q102)/Q102/'Underwriting Risk'!$E$27,'Premium and Reserve Risk'!$Z$26),'Premium and Reserve Risk'!$Z$26))</f>
        <v>8.0000000000000016E-2</v>
      </c>
      <c r="AA102" s="80"/>
      <c r="AB102" s="80"/>
      <c r="AC102" s="737">
        <f ca="1">MAX(0%,IF(U102&lt;&gt;0,MIN((W102-U102)/U102/'Underwriting Risk'!$E$27,'Premium and Reserve Risk'!$AC$26),'Premium and Reserve Risk'!$AC$26))</f>
        <v>0.09</v>
      </c>
      <c r="AD102" s="81"/>
      <c r="AE102" s="97"/>
      <c r="AF102" s="97"/>
      <c r="AG102" s="97"/>
      <c r="AH102" s="97"/>
    </row>
    <row r="103" spans="1:34" ht="13.5" customHeight="1" x14ac:dyDescent="0.25">
      <c r="A103" s="97"/>
      <c r="B103" s="257">
        <v>76</v>
      </c>
      <c r="C103" s="652"/>
      <c r="D103" s="80"/>
      <c r="E103" s="80"/>
      <c r="F103" s="258">
        <f t="shared" ca="1" si="5"/>
        <v>0</v>
      </c>
      <c r="G103" s="624"/>
      <c r="H103" s="85"/>
      <c r="I103" s="624"/>
      <c r="J103" s="85"/>
      <c r="K103" s="624"/>
      <c r="L103" s="85"/>
      <c r="M103" s="624"/>
      <c r="N103" s="85"/>
      <c r="O103" s="624"/>
      <c r="P103" s="85"/>
      <c r="Q103" s="626">
        <f t="shared" si="3"/>
        <v>0</v>
      </c>
      <c r="R103" s="85"/>
      <c r="S103" s="624"/>
      <c r="T103" s="260"/>
      <c r="U103" s="624"/>
      <c r="V103" s="85"/>
      <c r="W103" s="624"/>
      <c r="X103" s="81"/>
      <c r="Y103" s="80"/>
      <c r="Z103" s="737">
        <f ca="1">MAX(0%,IF(Q103&lt;&gt;0,MIN((S103-Q103)/Q103/'Underwriting Risk'!$E$27,'Premium and Reserve Risk'!$Z$26),'Premium and Reserve Risk'!$Z$26))</f>
        <v>8.0000000000000016E-2</v>
      </c>
      <c r="AA103" s="80"/>
      <c r="AB103" s="80"/>
      <c r="AC103" s="737">
        <f ca="1">MAX(0%,IF(U103&lt;&gt;0,MIN((W103-U103)/U103/'Underwriting Risk'!$E$27,'Premium and Reserve Risk'!$AC$26),'Premium and Reserve Risk'!$AC$26))</f>
        <v>0.09</v>
      </c>
      <c r="AD103" s="81"/>
      <c r="AE103" s="97"/>
      <c r="AF103" s="97"/>
      <c r="AG103" s="97"/>
      <c r="AH103" s="97"/>
    </row>
    <row r="104" spans="1:34" ht="13.5" customHeight="1" x14ac:dyDescent="0.25">
      <c r="A104" s="97"/>
      <c r="B104" s="257">
        <v>77</v>
      </c>
      <c r="C104" s="652"/>
      <c r="D104" s="80"/>
      <c r="E104" s="80"/>
      <c r="F104" s="258">
        <f t="shared" ca="1" si="5"/>
        <v>0</v>
      </c>
      <c r="G104" s="624"/>
      <c r="H104" s="85"/>
      <c r="I104" s="624"/>
      <c r="J104" s="85"/>
      <c r="K104" s="624"/>
      <c r="L104" s="85"/>
      <c r="M104" s="624"/>
      <c r="N104" s="85"/>
      <c r="O104" s="624"/>
      <c r="P104" s="85"/>
      <c r="Q104" s="626">
        <f t="shared" si="3"/>
        <v>0</v>
      </c>
      <c r="R104" s="85"/>
      <c r="S104" s="624"/>
      <c r="T104" s="260"/>
      <c r="U104" s="624"/>
      <c r="V104" s="85"/>
      <c r="W104" s="624"/>
      <c r="X104" s="81"/>
      <c r="Y104" s="80"/>
      <c r="Z104" s="737">
        <f ca="1">MAX(0%,IF(Q104&lt;&gt;0,MIN((S104-Q104)/Q104/'Underwriting Risk'!$E$27,'Premium and Reserve Risk'!$Z$26),'Premium and Reserve Risk'!$Z$26))</f>
        <v>8.0000000000000016E-2</v>
      </c>
      <c r="AA104" s="80"/>
      <c r="AB104" s="80"/>
      <c r="AC104" s="737">
        <f ca="1">MAX(0%,IF(U104&lt;&gt;0,MIN((W104-U104)/U104/'Underwriting Risk'!$E$27,'Premium and Reserve Risk'!$AC$26),'Premium and Reserve Risk'!$AC$26))</f>
        <v>0.09</v>
      </c>
      <c r="AD104" s="81"/>
      <c r="AE104" s="97"/>
      <c r="AF104" s="97"/>
      <c r="AG104" s="97"/>
      <c r="AH104" s="97"/>
    </row>
    <row r="105" spans="1:34" ht="13.5" customHeight="1" x14ac:dyDescent="0.25">
      <c r="A105" s="97"/>
      <c r="B105" s="257">
        <v>78</v>
      </c>
      <c r="C105" s="652"/>
      <c r="D105" s="80"/>
      <c r="E105" s="80"/>
      <c r="F105" s="258">
        <f t="shared" ca="1" si="5"/>
        <v>0</v>
      </c>
      <c r="G105" s="624"/>
      <c r="H105" s="85"/>
      <c r="I105" s="624"/>
      <c r="J105" s="85"/>
      <c r="K105" s="624"/>
      <c r="L105" s="85"/>
      <c r="M105" s="624"/>
      <c r="N105" s="85"/>
      <c r="O105" s="624"/>
      <c r="P105" s="85"/>
      <c r="Q105" s="626">
        <f t="shared" si="3"/>
        <v>0</v>
      </c>
      <c r="R105" s="85"/>
      <c r="S105" s="624"/>
      <c r="T105" s="260"/>
      <c r="U105" s="624"/>
      <c r="V105" s="85"/>
      <c r="W105" s="624"/>
      <c r="X105" s="81"/>
      <c r="Y105" s="80"/>
      <c r="Z105" s="737">
        <f ca="1">MAX(0%,IF(Q105&lt;&gt;0,MIN((S105-Q105)/Q105/'Underwriting Risk'!$E$27,'Premium and Reserve Risk'!$Z$26),'Premium and Reserve Risk'!$Z$26))</f>
        <v>8.0000000000000016E-2</v>
      </c>
      <c r="AA105" s="80"/>
      <c r="AB105" s="80"/>
      <c r="AC105" s="737">
        <f ca="1">MAX(0%,IF(U105&lt;&gt;0,MIN((W105-U105)/U105/'Underwriting Risk'!$E$27,'Premium and Reserve Risk'!$AC$26),'Premium and Reserve Risk'!$AC$26))</f>
        <v>0.09</v>
      </c>
      <c r="AD105" s="81"/>
      <c r="AE105" s="97"/>
      <c r="AF105" s="97"/>
      <c r="AG105" s="97"/>
      <c r="AH105" s="97"/>
    </row>
    <row r="106" spans="1:34" ht="13.5" customHeight="1" x14ac:dyDescent="0.25">
      <c r="A106" s="97"/>
      <c r="B106" s="257">
        <v>79</v>
      </c>
      <c r="C106" s="652"/>
      <c r="D106" s="80"/>
      <c r="E106" s="80"/>
      <c r="F106" s="258">
        <f t="shared" ca="1" si="5"/>
        <v>0</v>
      </c>
      <c r="G106" s="624"/>
      <c r="H106" s="85"/>
      <c r="I106" s="624"/>
      <c r="J106" s="85"/>
      <c r="K106" s="624"/>
      <c r="L106" s="85"/>
      <c r="M106" s="624"/>
      <c r="N106" s="85"/>
      <c r="O106" s="624"/>
      <c r="P106" s="85"/>
      <c r="Q106" s="626">
        <f t="shared" si="3"/>
        <v>0</v>
      </c>
      <c r="R106" s="85"/>
      <c r="S106" s="624"/>
      <c r="T106" s="260"/>
      <c r="U106" s="624"/>
      <c r="V106" s="85"/>
      <c r="W106" s="624"/>
      <c r="X106" s="81"/>
      <c r="Y106" s="80"/>
      <c r="Z106" s="737">
        <f ca="1">MAX(0%,IF(Q106&lt;&gt;0,MIN((S106-Q106)/Q106/'Underwriting Risk'!$E$27,'Premium and Reserve Risk'!$Z$26),'Premium and Reserve Risk'!$Z$26))</f>
        <v>8.0000000000000016E-2</v>
      </c>
      <c r="AA106" s="80"/>
      <c r="AB106" s="80"/>
      <c r="AC106" s="737">
        <f ca="1">MAX(0%,IF(U106&lt;&gt;0,MIN((W106-U106)/U106/'Underwriting Risk'!$E$27,'Premium and Reserve Risk'!$AC$26),'Premium and Reserve Risk'!$AC$26))</f>
        <v>0.09</v>
      </c>
      <c r="AD106" s="81"/>
      <c r="AE106" s="97"/>
      <c r="AF106" s="97"/>
      <c r="AG106" s="97"/>
      <c r="AH106" s="97"/>
    </row>
    <row r="107" spans="1:34" ht="13.5" customHeight="1" x14ac:dyDescent="0.25">
      <c r="A107" s="97"/>
      <c r="B107" s="257">
        <v>80</v>
      </c>
      <c r="C107" s="652"/>
      <c r="D107" s="80"/>
      <c r="E107" s="80"/>
      <c r="F107" s="258">
        <f t="shared" ca="1" si="5"/>
        <v>0</v>
      </c>
      <c r="G107" s="624"/>
      <c r="H107" s="85"/>
      <c r="I107" s="624"/>
      <c r="J107" s="85"/>
      <c r="K107" s="624"/>
      <c r="L107" s="85"/>
      <c r="M107" s="624"/>
      <c r="N107" s="85"/>
      <c r="O107" s="624"/>
      <c r="P107" s="85"/>
      <c r="Q107" s="626">
        <f t="shared" si="3"/>
        <v>0</v>
      </c>
      <c r="R107" s="85"/>
      <c r="S107" s="624"/>
      <c r="T107" s="260"/>
      <c r="U107" s="624"/>
      <c r="V107" s="85"/>
      <c r="W107" s="624"/>
      <c r="X107" s="81"/>
      <c r="Y107" s="80"/>
      <c r="Z107" s="737">
        <f ca="1">MAX(0%,IF(Q107&lt;&gt;0,MIN((S107-Q107)/Q107/'Underwriting Risk'!$E$27,'Premium and Reserve Risk'!$Z$26),'Premium and Reserve Risk'!$Z$26))</f>
        <v>8.0000000000000016E-2</v>
      </c>
      <c r="AA107" s="80"/>
      <c r="AB107" s="80"/>
      <c r="AC107" s="737">
        <f ca="1">MAX(0%,IF(U107&lt;&gt;0,MIN((W107-U107)/U107/'Underwriting Risk'!$E$27,'Premium and Reserve Risk'!$AC$26),'Premium and Reserve Risk'!$AC$26))</f>
        <v>0.09</v>
      </c>
      <c r="AD107" s="81"/>
      <c r="AE107" s="97"/>
      <c r="AF107" s="97"/>
      <c r="AG107" s="97"/>
      <c r="AH107" s="97"/>
    </row>
    <row r="108" spans="1:34" ht="13.5" customHeight="1" x14ac:dyDescent="0.25">
      <c r="A108" s="97"/>
      <c r="B108" s="257">
        <v>81</v>
      </c>
      <c r="C108" s="652"/>
      <c r="D108" s="80"/>
      <c r="E108" s="80"/>
      <c r="F108" s="258">
        <f t="shared" ca="1" si="5"/>
        <v>0</v>
      </c>
      <c r="G108" s="624"/>
      <c r="H108" s="85"/>
      <c r="I108" s="624"/>
      <c r="J108" s="85"/>
      <c r="K108" s="624"/>
      <c r="L108" s="85"/>
      <c r="M108" s="624"/>
      <c r="N108" s="85"/>
      <c r="O108" s="624"/>
      <c r="P108" s="85"/>
      <c r="Q108" s="626">
        <f t="shared" si="3"/>
        <v>0</v>
      </c>
      <c r="R108" s="85"/>
      <c r="S108" s="624"/>
      <c r="T108" s="260"/>
      <c r="U108" s="624"/>
      <c r="V108" s="85"/>
      <c r="W108" s="624"/>
      <c r="X108" s="81"/>
      <c r="Y108" s="80"/>
      <c r="Z108" s="737">
        <f ca="1">MAX(0%,IF(Q108&lt;&gt;0,MIN((S108-Q108)/Q108/'Underwriting Risk'!$E$27,'Premium and Reserve Risk'!$Z$26),'Premium and Reserve Risk'!$Z$26))</f>
        <v>8.0000000000000016E-2</v>
      </c>
      <c r="AA108" s="80"/>
      <c r="AB108" s="80"/>
      <c r="AC108" s="737">
        <f ca="1">MAX(0%,IF(U108&lt;&gt;0,MIN((W108-U108)/U108/'Underwriting Risk'!$E$27,'Premium and Reserve Risk'!$AC$26),'Premium and Reserve Risk'!$AC$26))</f>
        <v>0.09</v>
      </c>
      <c r="AD108" s="81"/>
      <c r="AE108" s="97"/>
      <c r="AF108" s="97"/>
      <c r="AG108" s="97"/>
      <c r="AH108" s="97"/>
    </row>
    <row r="109" spans="1:34" ht="13.5" customHeight="1" x14ac:dyDescent="0.25">
      <c r="A109" s="97"/>
      <c r="B109" s="257">
        <v>82</v>
      </c>
      <c r="C109" s="652"/>
      <c r="D109" s="80"/>
      <c r="E109" s="80"/>
      <c r="F109" s="258">
        <f t="shared" ca="1" si="5"/>
        <v>0</v>
      </c>
      <c r="G109" s="624"/>
      <c r="H109" s="85"/>
      <c r="I109" s="624"/>
      <c r="J109" s="85"/>
      <c r="K109" s="624"/>
      <c r="L109" s="85"/>
      <c r="M109" s="624"/>
      <c r="N109" s="85"/>
      <c r="O109" s="624"/>
      <c r="P109" s="85"/>
      <c r="Q109" s="626">
        <f t="shared" si="3"/>
        <v>0</v>
      </c>
      <c r="R109" s="85"/>
      <c r="S109" s="624"/>
      <c r="T109" s="260"/>
      <c r="U109" s="624"/>
      <c r="V109" s="85"/>
      <c r="W109" s="624"/>
      <c r="X109" s="81"/>
      <c r="Y109" s="80"/>
      <c r="Z109" s="737">
        <f ca="1">MAX(0%,IF(Q109&lt;&gt;0,MIN((S109-Q109)/Q109/'Underwriting Risk'!$E$27,'Premium and Reserve Risk'!$Z$26),'Premium and Reserve Risk'!$Z$26))</f>
        <v>8.0000000000000016E-2</v>
      </c>
      <c r="AA109" s="80"/>
      <c r="AB109" s="80"/>
      <c r="AC109" s="737">
        <f ca="1">MAX(0%,IF(U109&lt;&gt;0,MIN((W109-U109)/U109/'Underwriting Risk'!$E$27,'Premium and Reserve Risk'!$AC$26),'Premium and Reserve Risk'!$AC$26))</f>
        <v>0.09</v>
      </c>
      <c r="AD109" s="81"/>
      <c r="AE109" s="97"/>
      <c r="AF109" s="97"/>
      <c r="AG109" s="97"/>
      <c r="AH109" s="97"/>
    </row>
    <row r="110" spans="1:34" ht="13.5" customHeight="1" x14ac:dyDescent="0.25">
      <c r="A110" s="97"/>
      <c r="B110" s="257">
        <v>83</v>
      </c>
      <c r="C110" s="652"/>
      <c r="D110" s="80"/>
      <c r="E110" s="80"/>
      <c r="F110" s="258">
        <f t="shared" ca="1" si="5"/>
        <v>0</v>
      </c>
      <c r="G110" s="624"/>
      <c r="H110" s="85"/>
      <c r="I110" s="624"/>
      <c r="J110" s="85"/>
      <c r="K110" s="624"/>
      <c r="L110" s="85"/>
      <c r="M110" s="624"/>
      <c r="N110" s="85"/>
      <c r="O110" s="624"/>
      <c r="P110" s="85"/>
      <c r="Q110" s="626">
        <f t="shared" si="3"/>
        <v>0</v>
      </c>
      <c r="R110" s="85"/>
      <c r="S110" s="624"/>
      <c r="T110" s="260"/>
      <c r="U110" s="624"/>
      <c r="V110" s="85"/>
      <c r="W110" s="624"/>
      <c r="X110" s="81"/>
      <c r="Y110" s="80"/>
      <c r="Z110" s="737">
        <f ca="1">MAX(0%,IF(Q110&lt;&gt;0,MIN((S110-Q110)/Q110/'Underwriting Risk'!$E$27,'Premium and Reserve Risk'!$Z$26),'Premium and Reserve Risk'!$Z$26))</f>
        <v>8.0000000000000016E-2</v>
      </c>
      <c r="AA110" s="80"/>
      <c r="AB110" s="80"/>
      <c r="AC110" s="737">
        <f ca="1">MAX(0%,IF(U110&lt;&gt;0,MIN((W110-U110)/U110/'Underwriting Risk'!$E$27,'Premium and Reserve Risk'!$AC$26),'Premium and Reserve Risk'!$AC$26))</f>
        <v>0.09</v>
      </c>
      <c r="AD110" s="81"/>
      <c r="AE110" s="97"/>
      <c r="AF110" s="97"/>
      <c r="AG110" s="97"/>
      <c r="AH110" s="97"/>
    </row>
    <row r="111" spans="1:34" ht="13.5" customHeight="1" x14ac:dyDescent="0.25">
      <c r="A111" s="97"/>
      <c r="B111" s="257">
        <v>84</v>
      </c>
      <c r="C111" s="652"/>
      <c r="D111" s="80"/>
      <c r="E111" s="80"/>
      <c r="F111" s="258">
        <f t="shared" ca="1" si="5"/>
        <v>0</v>
      </c>
      <c r="G111" s="624"/>
      <c r="H111" s="85"/>
      <c r="I111" s="624"/>
      <c r="J111" s="85"/>
      <c r="K111" s="624"/>
      <c r="L111" s="85"/>
      <c r="M111" s="624"/>
      <c r="N111" s="85"/>
      <c r="O111" s="624"/>
      <c r="P111" s="85"/>
      <c r="Q111" s="626">
        <f t="shared" si="3"/>
        <v>0</v>
      </c>
      <c r="R111" s="85"/>
      <c r="S111" s="624"/>
      <c r="T111" s="260"/>
      <c r="U111" s="624"/>
      <c r="V111" s="85"/>
      <c r="W111" s="624"/>
      <c r="X111" s="81"/>
      <c r="Y111" s="80"/>
      <c r="Z111" s="737">
        <f ca="1">MAX(0%,IF(Q111&lt;&gt;0,MIN((S111-Q111)/Q111/'Underwriting Risk'!$E$27,'Premium and Reserve Risk'!$Z$26),'Premium and Reserve Risk'!$Z$26))</f>
        <v>8.0000000000000016E-2</v>
      </c>
      <c r="AA111" s="80"/>
      <c r="AB111" s="80"/>
      <c r="AC111" s="737">
        <f ca="1">MAX(0%,IF(U111&lt;&gt;0,MIN((W111-U111)/U111/'Underwriting Risk'!$E$27,'Premium and Reserve Risk'!$AC$26),'Premium and Reserve Risk'!$AC$26))</f>
        <v>0.09</v>
      </c>
      <c r="AD111" s="81"/>
      <c r="AE111" s="97"/>
      <c r="AF111" s="97"/>
      <c r="AG111" s="97"/>
      <c r="AH111" s="97"/>
    </row>
    <row r="112" spans="1:34" ht="13.5" customHeight="1" x14ac:dyDescent="0.25">
      <c r="A112" s="97"/>
      <c r="B112" s="257">
        <v>85</v>
      </c>
      <c r="C112" s="652"/>
      <c r="D112" s="80"/>
      <c r="E112" s="80"/>
      <c r="F112" s="258">
        <f t="shared" ca="1" si="5"/>
        <v>0</v>
      </c>
      <c r="G112" s="624"/>
      <c r="H112" s="85"/>
      <c r="I112" s="624"/>
      <c r="J112" s="85"/>
      <c r="K112" s="624"/>
      <c r="L112" s="85"/>
      <c r="M112" s="624"/>
      <c r="N112" s="85"/>
      <c r="O112" s="624"/>
      <c r="P112" s="85"/>
      <c r="Q112" s="626">
        <f t="shared" si="3"/>
        <v>0</v>
      </c>
      <c r="R112" s="85"/>
      <c r="S112" s="624"/>
      <c r="T112" s="260"/>
      <c r="U112" s="624"/>
      <c r="V112" s="85"/>
      <c r="W112" s="624"/>
      <c r="X112" s="81"/>
      <c r="Y112" s="80"/>
      <c r="Z112" s="737">
        <f ca="1">MAX(0%,IF(Q112&lt;&gt;0,MIN((S112-Q112)/Q112/'Underwriting Risk'!$E$27,'Premium and Reserve Risk'!$Z$26),'Premium and Reserve Risk'!$Z$26))</f>
        <v>8.0000000000000016E-2</v>
      </c>
      <c r="AA112" s="80"/>
      <c r="AB112" s="80"/>
      <c r="AC112" s="737">
        <f ca="1">MAX(0%,IF(U112&lt;&gt;0,MIN((W112-U112)/U112/'Underwriting Risk'!$E$27,'Premium and Reserve Risk'!$AC$26),'Premium and Reserve Risk'!$AC$26))</f>
        <v>0.09</v>
      </c>
      <c r="AD112" s="81"/>
      <c r="AE112" s="97"/>
      <c r="AF112" s="97"/>
      <c r="AG112" s="97"/>
      <c r="AH112" s="97"/>
    </row>
    <row r="113" spans="1:34" ht="13.5" customHeight="1" x14ac:dyDescent="0.25">
      <c r="A113" s="97"/>
      <c r="B113" s="257">
        <v>86</v>
      </c>
      <c r="C113" s="652"/>
      <c r="D113" s="80"/>
      <c r="E113" s="80"/>
      <c r="F113" s="258">
        <f t="shared" ca="1" si="5"/>
        <v>0</v>
      </c>
      <c r="G113" s="624"/>
      <c r="H113" s="85"/>
      <c r="I113" s="624"/>
      <c r="J113" s="85"/>
      <c r="K113" s="624"/>
      <c r="L113" s="85"/>
      <c r="M113" s="624"/>
      <c r="N113" s="85"/>
      <c r="O113" s="624"/>
      <c r="P113" s="85"/>
      <c r="Q113" s="626">
        <f t="shared" si="3"/>
        <v>0</v>
      </c>
      <c r="R113" s="85"/>
      <c r="S113" s="624"/>
      <c r="T113" s="260"/>
      <c r="U113" s="624"/>
      <c r="V113" s="85"/>
      <c r="W113" s="624"/>
      <c r="X113" s="81"/>
      <c r="Y113" s="80"/>
      <c r="Z113" s="737">
        <f ca="1">MAX(0%,IF(Q113&lt;&gt;0,MIN((S113-Q113)/Q113/'Underwriting Risk'!$E$27,'Premium and Reserve Risk'!$Z$26),'Premium and Reserve Risk'!$Z$26))</f>
        <v>8.0000000000000016E-2</v>
      </c>
      <c r="AA113" s="80"/>
      <c r="AB113" s="80"/>
      <c r="AC113" s="737">
        <f ca="1">MAX(0%,IF(U113&lt;&gt;0,MIN((W113-U113)/U113/'Underwriting Risk'!$E$27,'Premium and Reserve Risk'!$AC$26),'Premium and Reserve Risk'!$AC$26))</f>
        <v>0.09</v>
      </c>
      <c r="AD113" s="81"/>
      <c r="AE113" s="97"/>
      <c r="AF113" s="97"/>
      <c r="AG113" s="97"/>
      <c r="AH113" s="97"/>
    </row>
    <row r="114" spans="1:34" ht="13.5" customHeight="1" x14ac:dyDescent="0.25">
      <c r="A114" s="97"/>
      <c r="B114" s="257">
        <v>87</v>
      </c>
      <c r="C114" s="652"/>
      <c r="D114" s="80"/>
      <c r="E114" s="80"/>
      <c r="F114" s="258">
        <f t="shared" ca="1" si="5"/>
        <v>0</v>
      </c>
      <c r="G114" s="624"/>
      <c r="H114" s="85"/>
      <c r="I114" s="624"/>
      <c r="J114" s="85"/>
      <c r="K114" s="624"/>
      <c r="L114" s="85"/>
      <c r="M114" s="624"/>
      <c r="N114" s="85"/>
      <c r="O114" s="624"/>
      <c r="P114" s="85"/>
      <c r="Q114" s="626">
        <f t="shared" si="3"/>
        <v>0</v>
      </c>
      <c r="R114" s="85"/>
      <c r="S114" s="624"/>
      <c r="T114" s="260"/>
      <c r="U114" s="624"/>
      <c r="V114" s="85"/>
      <c r="W114" s="624"/>
      <c r="X114" s="81"/>
      <c r="Y114" s="80"/>
      <c r="Z114" s="737">
        <f ca="1">MAX(0%,IF(Q114&lt;&gt;0,MIN((S114-Q114)/Q114/'Underwriting Risk'!$E$27,'Premium and Reserve Risk'!$Z$26),'Premium and Reserve Risk'!$Z$26))</f>
        <v>8.0000000000000016E-2</v>
      </c>
      <c r="AA114" s="80"/>
      <c r="AB114" s="80"/>
      <c r="AC114" s="737">
        <f ca="1">MAX(0%,IF(U114&lt;&gt;0,MIN((W114-U114)/U114/'Underwriting Risk'!$E$27,'Premium and Reserve Risk'!$AC$26),'Premium and Reserve Risk'!$AC$26))</f>
        <v>0.09</v>
      </c>
      <c r="AD114" s="81"/>
      <c r="AE114" s="97"/>
      <c r="AF114" s="97"/>
      <c r="AG114" s="97"/>
      <c r="AH114" s="97"/>
    </row>
    <row r="115" spans="1:34" ht="13.5" customHeight="1" x14ac:dyDescent="0.25">
      <c r="A115" s="97"/>
      <c r="B115" s="257">
        <v>88</v>
      </c>
      <c r="C115" s="652"/>
      <c r="D115" s="80"/>
      <c r="E115" s="80"/>
      <c r="F115" s="258">
        <f t="shared" ca="1" si="5"/>
        <v>0</v>
      </c>
      <c r="G115" s="624"/>
      <c r="H115" s="85"/>
      <c r="I115" s="624"/>
      <c r="J115" s="85"/>
      <c r="K115" s="624"/>
      <c r="L115" s="85"/>
      <c r="M115" s="624"/>
      <c r="N115" s="85"/>
      <c r="O115" s="624"/>
      <c r="P115" s="85"/>
      <c r="Q115" s="626">
        <f t="shared" si="3"/>
        <v>0</v>
      </c>
      <c r="R115" s="85"/>
      <c r="S115" s="624"/>
      <c r="T115" s="260"/>
      <c r="U115" s="624"/>
      <c r="V115" s="85"/>
      <c r="W115" s="624"/>
      <c r="X115" s="81"/>
      <c r="Y115" s="80"/>
      <c r="Z115" s="737">
        <f ca="1">MAX(0%,IF(Q115&lt;&gt;0,MIN((S115-Q115)/Q115/'Underwriting Risk'!$E$27,'Premium and Reserve Risk'!$Z$26),'Premium and Reserve Risk'!$Z$26))</f>
        <v>8.0000000000000016E-2</v>
      </c>
      <c r="AA115" s="80"/>
      <c r="AB115" s="80"/>
      <c r="AC115" s="737">
        <f ca="1">MAX(0%,IF(U115&lt;&gt;0,MIN((W115-U115)/U115/'Underwriting Risk'!$E$27,'Premium and Reserve Risk'!$AC$26),'Premium and Reserve Risk'!$AC$26))</f>
        <v>0.09</v>
      </c>
      <c r="AD115" s="81"/>
      <c r="AE115" s="97"/>
      <c r="AF115" s="97"/>
      <c r="AG115" s="97"/>
      <c r="AH115" s="97"/>
    </row>
    <row r="116" spans="1:34" ht="13.5" customHeight="1" x14ac:dyDescent="0.25">
      <c r="A116" s="97"/>
      <c r="B116" s="257">
        <v>89</v>
      </c>
      <c r="C116" s="652"/>
      <c r="D116" s="80"/>
      <c r="E116" s="80"/>
      <c r="F116" s="258">
        <f t="shared" ca="1" si="5"/>
        <v>0</v>
      </c>
      <c r="G116" s="624"/>
      <c r="H116" s="85"/>
      <c r="I116" s="624"/>
      <c r="J116" s="85"/>
      <c r="K116" s="624"/>
      <c r="L116" s="85"/>
      <c r="M116" s="624"/>
      <c r="N116" s="85"/>
      <c r="O116" s="624"/>
      <c r="P116" s="85"/>
      <c r="Q116" s="626">
        <f t="shared" si="3"/>
        <v>0</v>
      </c>
      <c r="R116" s="85"/>
      <c r="S116" s="624"/>
      <c r="T116" s="260"/>
      <c r="U116" s="624"/>
      <c r="V116" s="85"/>
      <c r="W116" s="624"/>
      <c r="X116" s="81"/>
      <c r="Y116" s="80"/>
      <c r="Z116" s="737">
        <f ca="1">MAX(0%,IF(Q116&lt;&gt;0,MIN((S116-Q116)/Q116/'Underwriting Risk'!$E$27,'Premium and Reserve Risk'!$Z$26),'Premium and Reserve Risk'!$Z$26))</f>
        <v>8.0000000000000016E-2</v>
      </c>
      <c r="AA116" s="80"/>
      <c r="AB116" s="80"/>
      <c r="AC116" s="737">
        <f ca="1">MAX(0%,IF(U116&lt;&gt;0,MIN((W116-U116)/U116/'Underwriting Risk'!$E$27,'Premium and Reserve Risk'!$AC$26),'Premium and Reserve Risk'!$AC$26))</f>
        <v>0.09</v>
      </c>
      <c r="AD116" s="81"/>
      <c r="AE116" s="97"/>
      <c r="AF116" s="97"/>
      <c r="AG116" s="97"/>
      <c r="AH116" s="97"/>
    </row>
    <row r="117" spans="1:34" ht="13.5" customHeight="1" x14ac:dyDescent="0.25">
      <c r="A117" s="97"/>
      <c r="B117" s="257">
        <v>90</v>
      </c>
      <c r="C117" s="652"/>
      <c r="D117" s="80"/>
      <c r="E117" s="80"/>
      <c r="F117" s="258">
        <f t="shared" ca="1" si="5"/>
        <v>0</v>
      </c>
      <c r="G117" s="624"/>
      <c r="H117" s="85"/>
      <c r="I117" s="624"/>
      <c r="J117" s="85"/>
      <c r="K117" s="624"/>
      <c r="L117" s="85"/>
      <c r="M117" s="624"/>
      <c r="N117" s="85"/>
      <c r="O117" s="624"/>
      <c r="P117" s="85"/>
      <c r="Q117" s="626">
        <f t="shared" si="3"/>
        <v>0</v>
      </c>
      <c r="R117" s="85"/>
      <c r="S117" s="624"/>
      <c r="T117" s="260"/>
      <c r="U117" s="624"/>
      <c r="V117" s="85"/>
      <c r="W117" s="624"/>
      <c r="X117" s="81"/>
      <c r="Y117" s="80"/>
      <c r="Z117" s="737">
        <f ca="1">MAX(0%,IF(Q117&lt;&gt;0,MIN((S117-Q117)/Q117/'Underwriting Risk'!$E$27,'Premium and Reserve Risk'!$Z$26),'Premium and Reserve Risk'!$Z$26))</f>
        <v>8.0000000000000016E-2</v>
      </c>
      <c r="AA117" s="80"/>
      <c r="AB117" s="80"/>
      <c r="AC117" s="737">
        <f ca="1">MAX(0%,IF(U117&lt;&gt;0,MIN((W117-U117)/U117/'Underwriting Risk'!$E$27,'Premium and Reserve Risk'!$AC$26),'Premium and Reserve Risk'!$AC$26))</f>
        <v>0.09</v>
      </c>
      <c r="AD117" s="81"/>
      <c r="AE117" s="97"/>
      <c r="AF117" s="97"/>
      <c r="AG117" s="97"/>
      <c r="AH117" s="97"/>
    </row>
    <row r="118" spans="1:34" ht="13.5" customHeight="1" x14ac:dyDescent="0.25">
      <c r="A118" s="97"/>
      <c r="B118" s="257">
        <v>91</v>
      </c>
      <c r="C118" s="652"/>
      <c r="D118" s="80"/>
      <c r="E118" s="80"/>
      <c r="F118" s="258">
        <f t="shared" ca="1" si="5"/>
        <v>0</v>
      </c>
      <c r="G118" s="624"/>
      <c r="H118" s="85"/>
      <c r="I118" s="624"/>
      <c r="J118" s="85"/>
      <c r="K118" s="624"/>
      <c r="L118" s="85"/>
      <c r="M118" s="624"/>
      <c r="N118" s="85"/>
      <c r="O118" s="624"/>
      <c r="P118" s="85"/>
      <c r="Q118" s="626">
        <f t="shared" si="3"/>
        <v>0</v>
      </c>
      <c r="R118" s="85"/>
      <c r="S118" s="624"/>
      <c r="T118" s="260"/>
      <c r="U118" s="624"/>
      <c r="V118" s="85"/>
      <c r="W118" s="624"/>
      <c r="X118" s="81"/>
      <c r="Y118" s="80"/>
      <c r="Z118" s="737">
        <f ca="1">MAX(0%,IF(Q118&lt;&gt;0,MIN((S118-Q118)/Q118/'Underwriting Risk'!$E$27,'Premium and Reserve Risk'!$Z$26),'Premium and Reserve Risk'!$Z$26))</f>
        <v>8.0000000000000016E-2</v>
      </c>
      <c r="AA118" s="80"/>
      <c r="AB118" s="80"/>
      <c r="AC118" s="737">
        <f ca="1">MAX(0%,IF(U118&lt;&gt;0,MIN((W118-U118)/U118/'Underwriting Risk'!$E$27,'Premium and Reserve Risk'!$AC$26),'Premium and Reserve Risk'!$AC$26))</f>
        <v>0.09</v>
      </c>
      <c r="AD118" s="81"/>
      <c r="AE118" s="97"/>
      <c r="AF118" s="97"/>
      <c r="AG118" s="97"/>
      <c r="AH118" s="97"/>
    </row>
    <row r="119" spans="1:34" ht="13.5" customHeight="1" x14ac:dyDescent="0.25">
      <c r="A119" s="97"/>
      <c r="B119" s="257">
        <v>92</v>
      </c>
      <c r="C119" s="652"/>
      <c r="D119" s="80"/>
      <c r="E119" s="80"/>
      <c r="F119" s="258">
        <f t="shared" ca="1" si="5"/>
        <v>0</v>
      </c>
      <c r="G119" s="624"/>
      <c r="H119" s="85"/>
      <c r="I119" s="624"/>
      <c r="J119" s="85"/>
      <c r="K119" s="624"/>
      <c r="L119" s="85"/>
      <c r="M119" s="624"/>
      <c r="N119" s="85"/>
      <c r="O119" s="624"/>
      <c r="P119" s="85"/>
      <c r="Q119" s="626">
        <f t="shared" si="3"/>
        <v>0</v>
      </c>
      <c r="R119" s="85"/>
      <c r="S119" s="624"/>
      <c r="T119" s="260"/>
      <c r="U119" s="624"/>
      <c r="V119" s="85"/>
      <c r="W119" s="624"/>
      <c r="X119" s="81"/>
      <c r="Y119" s="80"/>
      <c r="Z119" s="737">
        <f ca="1">MAX(0%,IF(Q119&lt;&gt;0,MIN((S119-Q119)/Q119/'Underwriting Risk'!$E$27,'Premium and Reserve Risk'!$Z$26),'Premium and Reserve Risk'!$Z$26))</f>
        <v>8.0000000000000016E-2</v>
      </c>
      <c r="AA119" s="80"/>
      <c r="AB119" s="80"/>
      <c r="AC119" s="737">
        <f ca="1">MAX(0%,IF(U119&lt;&gt;0,MIN((W119-U119)/U119/'Underwriting Risk'!$E$27,'Premium and Reserve Risk'!$AC$26),'Premium and Reserve Risk'!$AC$26))</f>
        <v>0.09</v>
      </c>
      <c r="AD119" s="81"/>
      <c r="AE119" s="97"/>
      <c r="AF119" s="97"/>
      <c r="AG119" s="97"/>
      <c r="AH119" s="97"/>
    </row>
    <row r="120" spans="1:34" ht="13.5" customHeight="1" x14ac:dyDescent="0.25">
      <c r="A120" s="97"/>
      <c r="B120" s="257">
        <v>93</v>
      </c>
      <c r="C120" s="652"/>
      <c r="D120" s="80"/>
      <c r="E120" s="80"/>
      <c r="F120" s="258">
        <f t="shared" ca="1" si="5"/>
        <v>0</v>
      </c>
      <c r="G120" s="624"/>
      <c r="H120" s="85"/>
      <c r="I120" s="624"/>
      <c r="J120" s="85"/>
      <c r="K120" s="624"/>
      <c r="L120" s="85"/>
      <c r="M120" s="624"/>
      <c r="N120" s="85"/>
      <c r="O120" s="624"/>
      <c r="P120" s="85"/>
      <c r="Q120" s="626">
        <f t="shared" si="3"/>
        <v>0</v>
      </c>
      <c r="R120" s="85"/>
      <c r="S120" s="624"/>
      <c r="T120" s="260"/>
      <c r="U120" s="624"/>
      <c r="V120" s="85"/>
      <c r="W120" s="624"/>
      <c r="X120" s="81"/>
      <c r="Y120" s="80"/>
      <c r="Z120" s="737">
        <f ca="1">MAX(0%,IF(Q120&lt;&gt;0,MIN((S120-Q120)/Q120/'Underwriting Risk'!$E$27,'Premium and Reserve Risk'!$Z$26),'Premium and Reserve Risk'!$Z$26))</f>
        <v>8.0000000000000016E-2</v>
      </c>
      <c r="AA120" s="80"/>
      <c r="AB120" s="80"/>
      <c r="AC120" s="737">
        <f ca="1">MAX(0%,IF(U120&lt;&gt;0,MIN((W120-U120)/U120/'Underwriting Risk'!$E$27,'Premium and Reserve Risk'!$AC$26),'Premium and Reserve Risk'!$AC$26))</f>
        <v>0.09</v>
      </c>
      <c r="AD120" s="81"/>
      <c r="AE120" s="97"/>
      <c r="AF120" s="97"/>
      <c r="AG120" s="97"/>
      <c r="AH120" s="97"/>
    </row>
    <row r="121" spans="1:34" ht="13.5" customHeight="1" x14ac:dyDescent="0.25">
      <c r="A121" s="97"/>
      <c r="B121" s="257">
        <v>94</v>
      </c>
      <c r="C121" s="652"/>
      <c r="D121" s="80"/>
      <c r="E121" s="80"/>
      <c r="F121" s="258">
        <f t="shared" ca="1" si="5"/>
        <v>0</v>
      </c>
      <c r="G121" s="624"/>
      <c r="H121" s="85"/>
      <c r="I121" s="624"/>
      <c r="J121" s="85"/>
      <c r="K121" s="624"/>
      <c r="L121" s="85"/>
      <c r="M121" s="624"/>
      <c r="N121" s="85"/>
      <c r="O121" s="624"/>
      <c r="P121" s="85"/>
      <c r="Q121" s="626">
        <f t="shared" si="3"/>
        <v>0</v>
      </c>
      <c r="R121" s="85"/>
      <c r="S121" s="624"/>
      <c r="T121" s="260"/>
      <c r="U121" s="624"/>
      <c r="V121" s="85"/>
      <c r="W121" s="624"/>
      <c r="X121" s="81"/>
      <c r="Y121" s="80"/>
      <c r="Z121" s="737">
        <f ca="1">MAX(0%,IF(Q121&lt;&gt;0,MIN((S121-Q121)/Q121/'Underwriting Risk'!$E$27,'Premium and Reserve Risk'!$Z$26),'Premium and Reserve Risk'!$Z$26))</f>
        <v>8.0000000000000016E-2</v>
      </c>
      <c r="AA121" s="80"/>
      <c r="AB121" s="80"/>
      <c r="AC121" s="737">
        <f ca="1">MAX(0%,IF(U121&lt;&gt;0,MIN((W121-U121)/U121/'Underwriting Risk'!$E$27,'Premium and Reserve Risk'!$AC$26),'Premium and Reserve Risk'!$AC$26))</f>
        <v>0.09</v>
      </c>
      <c r="AD121" s="81"/>
      <c r="AE121" s="97"/>
      <c r="AF121" s="97"/>
      <c r="AG121" s="97"/>
      <c r="AH121" s="97"/>
    </row>
    <row r="122" spans="1:34" ht="13.5" customHeight="1" x14ac:dyDescent="0.25">
      <c r="A122" s="97"/>
      <c r="B122" s="257">
        <v>95</v>
      </c>
      <c r="C122" s="652"/>
      <c r="D122" s="80"/>
      <c r="E122" s="80"/>
      <c r="F122" s="258">
        <f t="shared" ca="1" si="5"/>
        <v>0</v>
      </c>
      <c r="G122" s="624"/>
      <c r="H122" s="85"/>
      <c r="I122" s="624"/>
      <c r="J122" s="85"/>
      <c r="K122" s="624"/>
      <c r="L122" s="85"/>
      <c r="M122" s="624"/>
      <c r="N122" s="85"/>
      <c r="O122" s="624"/>
      <c r="P122" s="85"/>
      <c r="Q122" s="626">
        <f t="shared" si="3"/>
        <v>0</v>
      </c>
      <c r="R122" s="85"/>
      <c r="S122" s="624"/>
      <c r="T122" s="260"/>
      <c r="U122" s="624"/>
      <c r="V122" s="85"/>
      <c r="W122" s="624"/>
      <c r="X122" s="81"/>
      <c r="Y122" s="80"/>
      <c r="Z122" s="737">
        <f ca="1">MAX(0%,IF(Q122&lt;&gt;0,MIN((S122-Q122)/Q122/'Underwriting Risk'!$E$27,'Premium and Reserve Risk'!$Z$26),'Premium and Reserve Risk'!$Z$26))</f>
        <v>8.0000000000000016E-2</v>
      </c>
      <c r="AA122" s="80"/>
      <c r="AB122" s="80"/>
      <c r="AC122" s="737">
        <f ca="1">MAX(0%,IF(U122&lt;&gt;0,MIN((W122-U122)/U122/'Underwriting Risk'!$E$27,'Premium and Reserve Risk'!$AC$26),'Premium and Reserve Risk'!$AC$26))</f>
        <v>0.09</v>
      </c>
      <c r="AD122" s="81"/>
      <c r="AE122" s="97"/>
      <c r="AF122" s="97"/>
      <c r="AG122" s="97"/>
      <c r="AH122" s="97"/>
    </row>
    <row r="123" spans="1:34" ht="13.5" customHeight="1" x14ac:dyDescent="0.25">
      <c r="A123" s="97"/>
      <c r="B123" s="257">
        <v>96</v>
      </c>
      <c r="C123" s="652"/>
      <c r="D123" s="80"/>
      <c r="E123" s="80"/>
      <c r="F123" s="258">
        <f t="shared" ca="1" si="5"/>
        <v>0</v>
      </c>
      <c r="G123" s="624"/>
      <c r="H123" s="85"/>
      <c r="I123" s="624"/>
      <c r="J123" s="85"/>
      <c r="K123" s="624"/>
      <c r="L123" s="85"/>
      <c r="M123" s="624"/>
      <c r="N123" s="85"/>
      <c r="O123" s="624"/>
      <c r="P123" s="85"/>
      <c r="Q123" s="626">
        <f t="shared" si="3"/>
        <v>0</v>
      </c>
      <c r="R123" s="85"/>
      <c r="S123" s="624"/>
      <c r="T123" s="260"/>
      <c r="U123" s="624"/>
      <c r="V123" s="85"/>
      <c r="W123" s="624"/>
      <c r="X123" s="81"/>
      <c r="Y123" s="80"/>
      <c r="Z123" s="737">
        <f ca="1">MAX(0%,IF(Q123&lt;&gt;0,MIN((S123-Q123)/Q123/'Underwriting Risk'!$E$27,'Premium and Reserve Risk'!$Z$26),'Premium and Reserve Risk'!$Z$26))</f>
        <v>8.0000000000000016E-2</v>
      </c>
      <c r="AA123" s="80"/>
      <c r="AB123" s="80"/>
      <c r="AC123" s="737">
        <f ca="1">MAX(0%,IF(U123&lt;&gt;0,MIN((W123-U123)/U123/'Underwriting Risk'!$E$27,'Premium and Reserve Risk'!$AC$26),'Premium and Reserve Risk'!$AC$26))</f>
        <v>0.09</v>
      </c>
      <c r="AD123" s="81"/>
      <c r="AE123" s="97"/>
      <c r="AF123" s="97"/>
      <c r="AG123" s="97"/>
      <c r="AH123" s="97"/>
    </row>
    <row r="124" spans="1:34" ht="13.5" customHeight="1" x14ac:dyDescent="0.25">
      <c r="A124" s="97"/>
      <c r="B124" s="257">
        <v>97</v>
      </c>
      <c r="C124" s="652"/>
      <c r="D124" s="80"/>
      <c r="E124" s="80"/>
      <c r="F124" s="258">
        <f t="shared" ca="1" si="5"/>
        <v>0</v>
      </c>
      <c r="G124" s="624"/>
      <c r="H124" s="85"/>
      <c r="I124" s="624"/>
      <c r="J124" s="85"/>
      <c r="K124" s="624"/>
      <c r="L124" s="85"/>
      <c r="M124" s="624"/>
      <c r="N124" s="85"/>
      <c r="O124" s="624"/>
      <c r="P124" s="85"/>
      <c r="Q124" s="626">
        <f t="shared" si="3"/>
        <v>0</v>
      </c>
      <c r="R124" s="85"/>
      <c r="S124" s="624"/>
      <c r="T124" s="260"/>
      <c r="U124" s="624"/>
      <c r="V124" s="85"/>
      <c r="W124" s="624"/>
      <c r="X124" s="81"/>
      <c r="Y124" s="80"/>
      <c r="Z124" s="737">
        <f ca="1">MAX(0%,IF(Q124&lt;&gt;0,MIN((S124-Q124)/Q124/'Underwriting Risk'!$E$27,'Premium and Reserve Risk'!$Z$26),'Premium and Reserve Risk'!$Z$26))</f>
        <v>8.0000000000000016E-2</v>
      </c>
      <c r="AA124" s="80"/>
      <c r="AB124" s="80"/>
      <c r="AC124" s="737">
        <f ca="1">MAX(0%,IF(U124&lt;&gt;0,MIN((W124-U124)/U124/'Underwriting Risk'!$E$27,'Premium and Reserve Risk'!$AC$26),'Premium and Reserve Risk'!$AC$26))</f>
        <v>0.09</v>
      </c>
      <c r="AD124" s="81"/>
      <c r="AE124" s="97"/>
      <c r="AF124" s="97"/>
      <c r="AG124" s="97"/>
      <c r="AH124" s="97"/>
    </row>
    <row r="125" spans="1:34" ht="13.5" customHeight="1" x14ac:dyDescent="0.25">
      <c r="A125" s="97"/>
      <c r="B125" s="257">
        <v>98</v>
      </c>
      <c r="C125" s="652"/>
      <c r="D125" s="80"/>
      <c r="E125" s="80"/>
      <c r="F125" s="258">
        <f t="shared" ca="1" si="5"/>
        <v>0</v>
      </c>
      <c r="G125" s="624"/>
      <c r="H125" s="85"/>
      <c r="I125" s="624"/>
      <c r="J125" s="85"/>
      <c r="K125" s="624"/>
      <c r="L125" s="85"/>
      <c r="M125" s="624"/>
      <c r="N125" s="85"/>
      <c r="O125" s="624"/>
      <c r="P125" s="85"/>
      <c r="Q125" s="626">
        <f t="shared" si="3"/>
        <v>0</v>
      </c>
      <c r="R125" s="85"/>
      <c r="S125" s="624"/>
      <c r="T125" s="260"/>
      <c r="U125" s="624"/>
      <c r="V125" s="85"/>
      <c r="W125" s="624"/>
      <c r="X125" s="81"/>
      <c r="Y125" s="80"/>
      <c r="Z125" s="737">
        <f ca="1">MAX(0%,IF(Q125&lt;&gt;0,MIN((S125-Q125)/Q125/'Underwriting Risk'!$E$27,'Premium and Reserve Risk'!$Z$26),'Premium and Reserve Risk'!$Z$26))</f>
        <v>8.0000000000000016E-2</v>
      </c>
      <c r="AA125" s="80"/>
      <c r="AB125" s="80"/>
      <c r="AC125" s="737">
        <f ca="1">MAX(0%,IF(U125&lt;&gt;0,MIN((W125-U125)/U125/'Underwriting Risk'!$E$27,'Premium and Reserve Risk'!$AC$26),'Premium and Reserve Risk'!$AC$26))</f>
        <v>0.09</v>
      </c>
      <c r="AD125" s="81"/>
      <c r="AE125" s="97"/>
      <c r="AF125" s="97"/>
      <c r="AG125" s="97"/>
      <c r="AH125" s="97"/>
    </row>
    <row r="126" spans="1:34" ht="13.5" customHeight="1" x14ac:dyDescent="0.25">
      <c r="A126" s="97"/>
      <c r="B126" s="257">
        <v>99</v>
      </c>
      <c r="C126" s="652"/>
      <c r="D126" s="80"/>
      <c r="E126" s="80"/>
      <c r="F126" s="258">
        <f t="shared" ca="1" si="5"/>
        <v>0</v>
      </c>
      <c r="G126" s="624"/>
      <c r="H126" s="85"/>
      <c r="I126" s="624"/>
      <c r="J126" s="85"/>
      <c r="K126" s="624"/>
      <c r="L126" s="85"/>
      <c r="M126" s="624"/>
      <c r="N126" s="85"/>
      <c r="O126" s="624"/>
      <c r="P126" s="85"/>
      <c r="Q126" s="626">
        <f t="shared" si="3"/>
        <v>0</v>
      </c>
      <c r="R126" s="85"/>
      <c r="S126" s="624"/>
      <c r="T126" s="260"/>
      <c r="U126" s="624"/>
      <c r="V126" s="85"/>
      <c r="W126" s="624"/>
      <c r="X126" s="81"/>
      <c r="Y126" s="80"/>
      <c r="Z126" s="737">
        <f ca="1">MAX(0%,IF(Q126&lt;&gt;0,MIN((S126-Q126)/Q126/'Underwriting Risk'!$E$27,'Premium and Reserve Risk'!$Z$26),'Premium and Reserve Risk'!$Z$26))</f>
        <v>8.0000000000000016E-2</v>
      </c>
      <c r="AA126" s="80"/>
      <c r="AB126" s="80"/>
      <c r="AC126" s="737">
        <f ca="1">MAX(0%,IF(U126&lt;&gt;0,MIN((W126-U126)/U126/'Underwriting Risk'!$E$27,'Premium and Reserve Risk'!$AC$26),'Premium and Reserve Risk'!$AC$26))</f>
        <v>0.09</v>
      </c>
      <c r="AD126" s="81"/>
      <c r="AE126" s="97"/>
      <c r="AF126" s="97"/>
      <c r="AG126" s="97"/>
      <c r="AH126" s="97"/>
    </row>
    <row r="127" spans="1:34" ht="13.5" customHeight="1" x14ac:dyDescent="0.25">
      <c r="A127" s="97"/>
      <c r="B127" s="257">
        <v>100</v>
      </c>
      <c r="C127" s="652"/>
      <c r="D127" s="80"/>
      <c r="E127" s="80"/>
      <c r="F127" s="258">
        <f t="shared" ca="1" si="5"/>
        <v>0</v>
      </c>
      <c r="G127" s="624"/>
      <c r="H127" s="85"/>
      <c r="I127" s="624"/>
      <c r="J127" s="85"/>
      <c r="K127" s="624"/>
      <c r="L127" s="85"/>
      <c r="M127" s="624"/>
      <c r="N127" s="85"/>
      <c r="O127" s="624"/>
      <c r="P127" s="85"/>
      <c r="Q127" s="626">
        <f t="shared" ref="Q127" si="6">MAX(G127,I127)+K127+M127+0.3*O127</f>
        <v>0</v>
      </c>
      <c r="R127" s="85"/>
      <c r="S127" s="624"/>
      <c r="T127" s="260"/>
      <c r="U127" s="624"/>
      <c r="V127" s="85"/>
      <c r="W127" s="624"/>
      <c r="X127" s="81"/>
      <c r="Y127" s="80"/>
      <c r="Z127" s="737">
        <f ca="1">MAX(0%,IF(Q127&lt;&gt;0,MIN((S127-Q127)/Q127/'Underwriting Risk'!$E$27,'Premium and Reserve Risk'!$Z$26),'Premium and Reserve Risk'!$Z$26))</f>
        <v>8.0000000000000016E-2</v>
      </c>
      <c r="AA127" s="80"/>
      <c r="AB127" s="80"/>
      <c r="AC127" s="737">
        <f ca="1">MAX(0%,IF(U127&lt;&gt;0,MIN((W127-U127)/U127/'Underwriting Risk'!$E$27,'Premium and Reserve Risk'!$AC$26),'Premium and Reserve Risk'!$AC$26))</f>
        <v>0.09</v>
      </c>
      <c r="AD127" s="81"/>
      <c r="AE127" s="97"/>
      <c r="AF127" s="97"/>
      <c r="AG127" s="97"/>
      <c r="AH127" s="97"/>
    </row>
    <row r="128" spans="1:34" ht="6" customHeight="1" thickBot="1" x14ac:dyDescent="0.3">
      <c r="A128" s="97"/>
      <c r="B128" s="110"/>
      <c r="C128" s="93"/>
      <c r="D128" s="93"/>
      <c r="E128" s="93"/>
      <c r="F128" s="261">
        <f ca="1">IF(OFFSET($Z$8,B25-1,0)=0,1,0)</f>
        <v>0</v>
      </c>
      <c r="G128" s="134"/>
      <c r="H128" s="134"/>
      <c r="I128" s="134"/>
      <c r="J128" s="134"/>
      <c r="K128" s="134"/>
      <c r="L128" s="134"/>
      <c r="M128" s="134"/>
      <c r="N128" s="134"/>
      <c r="O128" s="134"/>
      <c r="P128" s="134"/>
      <c r="Q128" s="134"/>
      <c r="R128" s="134"/>
      <c r="S128" s="134"/>
      <c r="T128" s="134"/>
      <c r="U128" s="134"/>
      <c r="V128" s="134"/>
      <c r="W128" s="134"/>
      <c r="X128" s="94"/>
      <c r="Y128" s="93"/>
      <c r="Z128" s="93"/>
      <c r="AA128" s="93"/>
      <c r="AB128" s="93"/>
      <c r="AC128" s="93"/>
      <c r="AD128" s="94"/>
      <c r="AE128" s="97"/>
      <c r="AF128" s="97"/>
      <c r="AG128" s="97"/>
      <c r="AH128" s="97"/>
    </row>
    <row r="129" spans="1:34" ht="16.5" thickBot="1" x14ac:dyDescent="0.3">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row>
    <row r="130" spans="1:34" ht="31.5" x14ac:dyDescent="0.25">
      <c r="A130" s="97"/>
      <c r="B130" s="187">
        <v>2</v>
      </c>
      <c r="C130" s="187" t="str">
        <f ca="1">RIGHT(OFFSET($B$8,B130-1,0),LEN(OFFSET($B$8,B130-1,0))-5)</f>
        <v xml:space="preserve"> Other Motor &amp; 14 Prop. Reins.</v>
      </c>
      <c r="D130" s="68"/>
      <c r="E130" s="68"/>
      <c r="F130" s="68"/>
      <c r="G130" s="68"/>
      <c r="H130" s="68"/>
      <c r="I130" s="68"/>
      <c r="J130" s="68"/>
      <c r="K130" s="68"/>
      <c r="L130" s="68"/>
      <c r="M130" s="68"/>
      <c r="N130" s="68"/>
      <c r="O130" s="68"/>
      <c r="P130" s="68"/>
      <c r="Q130" s="68"/>
      <c r="R130" s="68"/>
      <c r="S130" s="68"/>
      <c r="T130" s="68"/>
      <c r="U130" s="68"/>
      <c r="V130" s="68"/>
      <c r="W130" s="68"/>
      <c r="X130" s="251"/>
      <c r="Y130" s="68"/>
      <c r="Z130" s="250" t="s">
        <v>458</v>
      </c>
      <c r="AA130" s="736"/>
      <c r="AB130" s="736"/>
      <c r="AC130" s="250" t="s">
        <v>459</v>
      </c>
      <c r="AD130" s="251"/>
      <c r="AE130" s="97"/>
      <c r="AF130" s="97"/>
      <c r="AG130" s="97"/>
      <c r="AH130" s="97"/>
    </row>
    <row r="131" spans="1:34" ht="129.75" thickBot="1" x14ac:dyDescent="0.3">
      <c r="A131" s="97"/>
      <c r="B131" s="252"/>
      <c r="C131" s="253" t="s">
        <v>460</v>
      </c>
      <c r="D131" s="237"/>
      <c r="E131" s="237"/>
      <c r="F131" s="254">
        <f ca="1">IF(OFFSET($Z$8,B130-1,0)=0,1,0)</f>
        <v>0</v>
      </c>
      <c r="G131" s="792" t="s">
        <v>1130</v>
      </c>
      <c r="H131" s="793"/>
      <c r="I131" s="791" t="s">
        <v>438</v>
      </c>
      <c r="J131" s="791"/>
      <c r="K131" s="791" t="s">
        <v>439</v>
      </c>
      <c r="L131" s="791"/>
      <c r="M131" s="791" t="s">
        <v>1131</v>
      </c>
      <c r="N131" s="791"/>
      <c r="O131" s="791" t="s">
        <v>1132</v>
      </c>
      <c r="P131" s="363"/>
      <c r="Q131" s="237" t="s">
        <v>440</v>
      </c>
      <c r="R131" s="237"/>
      <c r="S131" s="237" t="s">
        <v>461</v>
      </c>
      <c r="T131" s="237" t="s">
        <v>462</v>
      </c>
      <c r="U131" s="237" t="s">
        <v>463</v>
      </c>
      <c r="V131" s="237"/>
      <c r="W131" s="237" t="s">
        <v>464</v>
      </c>
      <c r="X131" s="238"/>
      <c r="Y131" s="237"/>
      <c r="Z131" s="255">
        <f ca="1">OFFSET('Underwriting Risk'!$K$55,'Premium and Reserve Risk'!B130-1,0)</f>
        <v>0.08</v>
      </c>
      <c r="AA131" s="237"/>
      <c r="AB131" s="237"/>
      <c r="AC131" s="255">
        <f ca="1">OFFSET('Underwriting Risk'!$M$55,'Premium and Reserve Risk'!B130-1,0)</f>
        <v>0.08</v>
      </c>
      <c r="AD131" s="238"/>
      <c r="AE131" s="97"/>
      <c r="AF131" s="97"/>
      <c r="AG131" s="97"/>
      <c r="AH131" s="97"/>
    </row>
    <row r="132" spans="1:34" ht="6" customHeight="1" x14ac:dyDescent="0.25">
      <c r="A132" s="97"/>
      <c r="B132" s="106"/>
      <c r="C132" s="80"/>
      <c r="D132" s="80"/>
      <c r="E132" s="80"/>
      <c r="F132" s="256">
        <f ca="1">IF(OFFSET($Z$8,B130-1,0)=0,1,0)</f>
        <v>0</v>
      </c>
      <c r="G132" s="85"/>
      <c r="H132" s="85"/>
      <c r="I132" s="85"/>
      <c r="J132" s="85"/>
      <c r="K132" s="85"/>
      <c r="L132" s="85"/>
      <c r="M132" s="85"/>
      <c r="N132" s="85"/>
      <c r="O132" s="85"/>
      <c r="P132" s="85"/>
      <c r="Q132" s="85"/>
      <c r="R132" s="85"/>
      <c r="S132" s="85"/>
      <c r="T132" s="85"/>
      <c r="U132" s="85"/>
      <c r="V132" s="85"/>
      <c r="W132" s="85"/>
      <c r="X132" s="81"/>
      <c r="Y132" s="80"/>
      <c r="Z132" s="80"/>
      <c r="AA132" s="80"/>
      <c r="AB132" s="80"/>
      <c r="AC132" s="80"/>
      <c r="AD132" s="81"/>
      <c r="AE132" s="97"/>
      <c r="AF132" s="97"/>
      <c r="AG132" s="97"/>
      <c r="AH132" s="97"/>
    </row>
    <row r="133" spans="1:34" ht="13.5" customHeight="1" x14ac:dyDescent="0.25">
      <c r="A133" s="97"/>
      <c r="B133" s="257">
        <v>1</v>
      </c>
      <c r="C133" s="652"/>
      <c r="D133" s="80"/>
      <c r="E133" s="80"/>
      <c r="F133" s="258">
        <f ca="1">IF(B133&lt;=OFFSET($Z$8,B$130-1,0),0,1)</f>
        <v>0</v>
      </c>
      <c r="G133" s="624"/>
      <c r="H133" s="85"/>
      <c r="I133" s="624"/>
      <c r="J133" s="85"/>
      <c r="K133" s="624"/>
      <c r="L133" s="85"/>
      <c r="M133" s="624"/>
      <c r="N133" s="85"/>
      <c r="O133" s="624"/>
      <c r="P133" s="85"/>
      <c r="Q133" s="626">
        <f t="shared" ref="Q133:Q232" si="7">MAX(G133,I133)+K133+M133+0.3*O133</f>
        <v>0</v>
      </c>
      <c r="R133" s="85"/>
      <c r="S133" s="624"/>
      <c r="T133" s="260"/>
      <c r="U133" s="624"/>
      <c r="V133" s="85"/>
      <c r="W133" s="624"/>
      <c r="X133" s="81"/>
      <c r="Y133" s="80"/>
      <c r="Z133" s="737">
        <f ca="1">MAX(0%,IF(Q133&lt;&gt;0,MIN((S133-Q133)/Q133/'Underwriting Risk'!$E$27,'Premium and Reserve Risk'!$Z$131),'Premium and Reserve Risk'!$Z$131))</f>
        <v>0.08</v>
      </c>
      <c r="AA133" s="80"/>
      <c r="AB133" s="80"/>
      <c r="AC133" s="737">
        <f ca="1">MAX(0%,IF(U133&lt;&gt;0,MIN((W133-U133)/U133/'Underwriting Risk'!$E$27,'Premium and Reserve Risk'!$AC$131),'Premium and Reserve Risk'!$AC$131))</f>
        <v>0.08</v>
      </c>
      <c r="AD133" s="81"/>
      <c r="AE133" s="97"/>
      <c r="AF133" s="97"/>
      <c r="AG133" s="97"/>
      <c r="AH133" s="97"/>
    </row>
    <row r="134" spans="1:34" ht="13.5" customHeight="1" x14ac:dyDescent="0.25">
      <c r="A134" s="97"/>
      <c r="B134" s="257">
        <v>2</v>
      </c>
      <c r="C134" s="652"/>
      <c r="D134" s="80"/>
      <c r="E134" s="80"/>
      <c r="F134" s="258">
        <f t="shared" ref="F134:F197" ca="1" si="8">IF(B134&lt;=OFFSET($Z$8,B$130-1,0),0,1)</f>
        <v>0</v>
      </c>
      <c r="G134" s="624"/>
      <c r="H134" s="85"/>
      <c r="I134" s="624"/>
      <c r="J134" s="85"/>
      <c r="K134" s="624"/>
      <c r="L134" s="85"/>
      <c r="M134" s="624"/>
      <c r="N134" s="85"/>
      <c r="O134" s="624"/>
      <c r="P134" s="85"/>
      <c r="Q134" s="626">
        <f t="shared" si="7"/>
        <v>0</v>
      </c>
      <c r="R134" s="85"/>
      <c r="S134" s="624"/>
      <c r="T134" s="260"/>
      <c r="U134" s="624"/>
      <c r="V134" s="85"/>
      <c r="W134" s="624"/>
      <c r="X134" s="81"/>
      <c r="Y134" s="80"/>
      <c r="Z134" s="737">
        <f ca="1">MAX(0%,IF(Q134&lt;&gt;0,MIN((S134-Q134)/Q134/'Underwriting Risk'!$E$27,'Premium and Reserve Risk'!$Z$131),'Premium and Reserve Risk'!$Z$131))</f>
        <v>0.08</v>
      </c>
      <c r="AA134" s="80"/>
      <c r="AB134" s="80"/>
      <c r="AC134" s="737">
        <f ca="1">MAX(0%,IF(U134&lt;&gt;0,MIN((W134-U134)/U134/'Underwriting Risk'!$E$27,'Premium and Reserve Risk'!$AC$131),'Premium and Reserve Risk'!$AC$131))</f>
        <v>0.08</v>
      </c>
      <c r="AD134" s="81"/>
      <c r="AE134" s="97"/>
      <c r="AF134" s="97"/>
      <c r="AG134" s="97"/>
      <c r="AH134" s="97"/>
    </row>
    <row r="135" spans="1:34" ht="13.5" customHeight="1" x14ac:dyDescent="0.25">
      <c r="A135" s="97"/>
      <c r="B135" s="257">
        <v>3</v>
      </c>
      <c r="C135" s="652"/>
      <c r="D135" s="80"/>
      <c r="E135" s="80"/>
      <c r="F135" s="258">
        <f t="shared" ca="1" si="8"/>
        <v>0</v>
      </c>
      <c r="G135" s="624"/>
      <c r="H135" s="85"/>
      <c r="I135" s="624"/>
      <c r="J135" s="85"/>
      <c r="K135" s="624"/>
      <c r="L135" s="85"/>
      <c r="M135" s="624"/>
      <c r="N135" s="85"/>
      <c r="O135" s="624"/>
      <c r="P135" s="85"/>
      <c r="Q135" s="626">
        <f t="shared" si="7"/>
        <v>0</v>
      </c>
      <c r="R135" s="85"/>
      <c r="S135" s="624"/>
      <c r="T135" s="260"/>
      <c r="U135" s="624"/>
      <c r="V135" s="85"/>
      <c r="W135" s="624"/>
      <c r="X135" s="81"/>
      <c r="Y135" s="80"/>
      <c r="Z135" s="737">
        <f ca="1">MAX(0%,IF(Q135&lt;&gt;0,MIN((S135-Q135)/Q135/'Underwriting Risk'!$E$27,'Premium and Reserve Risk'!$Z$131),'Premium and Reserve Risk'!$Z$131))</f>
        <v>0.08</v>
      </c>
      <c r="AA135" s="80"/>
      <c r="AB135" s="80"/>
      <c r="AC135" s="737">
        <f ca="1">MAX(0%,IF(U135&lt;&gt;0,MIN((W135-U135)/U135/'Underwriting Risk'!$E$27,'Premium and Reserve Risk'!$AC$131),'Premium and Reserve Risk'!$AC$131))</f>
        <v>0.08</v>
      </c>
      <c r="AD135" s="81"/>
      <c r="AE135" s="97"/>
      <c r="AF135" s="97"/>
      <c r="AG135" s="97"/>
      <c r="AH135" s="97"/>
    </row>
    <row r="136" spans="1:34" ht="13.5" customHeight="1" x14ac:dyDescent="0.25">
      <c r="A136" s="97"/>
      <c r="B136" s="257">
        <v>4</v>
      </c>
      <c r="C136" s="652"/>
      <c r="D136" s="80"/>
      <c r="E136" s="80"/>
      <c r="F136" s="258">
        <f t="shared" ca="1" si="8"/>
        <v>0</v>
      </c>
      <c r="G136" s="624"/>
      <c r="H136" s="85"/>
      <c r="I136" s="624"/>
      <c r="J136" s="85"/>
      <c r="K136" s="624"/>
      <c r="L136" s="85"/>
      <c r="M136" s="624"/>
      <c r="N136" s="85"/>
      <c r="O136" s="624"/>
      <c r="P136" s="85"/>
      <c r="Q136" s="626">
        <f t="shared" si="7"/>
        <v>0</v>
      </c>
      <c r="R136" s="85"/>
      <c r="S136" s="624"/>
      <c r="T136" s="260"/>
      <c r="U136" s="624"/>
      <c r="V136" s="85"/>
      <c r="W136" s="624"/>
      <c r="X136" s="81"/>
      <c r="Y136" s="80"/>
      <c r="Z136" s="737">
        <f ca="1">MAX(0%,IF(Q136&lt;&gt;0,MIN((S136-Q136)/Q136/'Underwriting Risk'!$E$27,'Premium and Reserve Risk'!$Z$131),'Premium and Reserve Risk'!$Z$131))</f>
        <v>0.08</v>
      </c>
      <c r="AA136" s="80"/>
      <c r="AB136" s="80"/>
      <c r="AC136" s="737">
        <f ca="1">MAX(0%,IF(U136&lt;&gt;0,MIN((W136-U136)/U136/'Underwriting Risk'!$E$27,'Premium and Reserve Risk'!$AC$131),'Premium and Reserve Risk'!$AC$131))</f>
        <v>0.08</v>
      </c>
      <c r="AD136" s="81"/>
      <c r="AE136" s="97"/>
      <c r="AF136" s="97"/>
      <c r="AG136" s="97"/>
      <c r="AH136" s="97"/>
    </row>
    <row r="137" spans="1:34" ht="13.5" customHeight="1" x14ac:dyDescent="0.25">
      <c r="A137" s="97"/>
      <c r="B137" s="257">
        <v>5</v>
      </c>
      <c r="C137" s="652"/>
      <c r="D137" s="80"/>
      <c r="E137" s="80"/>
      <c r="F137" s="258">
        <f t="shared" ca="1" si="8"/>
        <v>0</v>
      </c>
      <c r="G137" s="624"/>
      <c r="H137" s="85"/>
      <c r="I137" s="624"/>
      <c r="J137" s="85"/>
      <c r="K137" s="624"/>
      <c r="L137" s="85"/>
      <c r="M137" s="624"/>
      <c r="N137" s="85"/>
      <c r="O137" s="624"/>
      <c r="P137" s="85"/>
      <c r="Q137" s="626">
        <f t="shared" si="7"/>
        <v>0</v>
      </c>
      <c r="R137" s="85"/>
      <c r="S137" s="624"/>
      <c r="T137" s="260"/>
      <c r="U137" s="624"/>
      <c r="V137" s="85"/>
      <c r="W137" s="624"/>
      <c r="X137" s="81"/>
      <c r="Y137" s="80"/>
      <c r="Z137" s="737">
        <f ca="1">MAX(0%,IF(Q137&lt;&gt;0,MIN((S137-Q137)/Q137/'Underwriting Risk'!$E$27,'Premium and Reserve Risk'!$Z$131),'Premium and Reserve Risk'!$Z$131))</f>
        <v>0.08</v>
      </c>
      <c r="AA137" s="80"/>
      <c r="AB137" s="80"/>
      <c r="AC137" s="737">
        <f ca="1">MAX(0%,IF(U137&lt;&gt;0,MIN((W137-U137)/U137/'Underwriting Risk'!$E$27,'Premium and Reserve Risk'!$AC$131),'Premium and Reserve Risk'!$AC$131))</f>
        <v>0.08</v>
      </c>
      <c r="AD137" s="81"/>
      <c r="AE137" s="97"/>
      <c r="AF137" s="97"/>
      <c r="AG137" s="97"/>
      <c r="AH137" s="97"/>
    </row>
    <row r="138" spans="1:34" ht="13.5" customHeight="1" x14ac:dyDescent="0.25">
      <c r="A138" s="97"/>
      <c r="B138" s="257">
        <v>6</v>
      </c>
      <c r="C138" s="652"/>
      <c r="D138" s="80"/>
      <c r="E138" s="80"/>
      <c r="F138" s="258">
        <f t="shared" ca="1" si="8"/>
        <v>0</v>
      </c>
      <c r="G138" s="624"/>
      <c r="H138" s="85"/>
      <c r="I138" s="624"/>
      <c r="J138" s="85"/>
      <c r="K138" s="624"/>
      <c r="L138" s="85"/>
      <c r="M138" s="624"/>
      <c r="N138" s="85"/>
      <c r="O138" s="624"/>
      <c r="P138" s="85"/>
      <c r="Q138" s="626">
        <f t="shared" si="7"/>
        <v>0</v>
      </c>
      <c r="R138" s="85"/>
      <c r="S138" s="624"/>
      <c r="T138" s="260"/>
      <c r="U138" s="624"/>
      <c r="V138" s="85"/>
      <c r="W138" s="624"/>
      <c r="X138" s="81"/>
      <c r="Y138" s="80"/>
      <c r="Z138" s="737">
        <f ca="1">MAX(0%,IF(Q138&lt;&gt;0,MIN((S138-Q138)/Q138/'Underwriting Risk'!$E$27,'Premium and Reserve Risk'!$Z$131),'Premium and Reserve Risk'!$Z$131))</f>
        <v>0.08</v>
      </c>
      <c r="AA138" s="80"/>
      <c r="AB138" s="80"/>
      <c r="AC138" s="737">
        <f ca="1">MAX(0%,IF(U138&lt;&gt;0,MIN((W138-U138)/U138/'Underwriting Risk'!$E$27,'Premium and Reserve Risk'!$AC$131),'Premium and Reserve Risk'!$AC$131))</f>
        <v>0.08</v>
      </c>
      <c r="AD138" s="81"/>
      <c r="AE138" s="97"/>
      <c r="AF138" s="97"/>
      <c r="AG138" s="97"/>
      <c r="AH138" s="97"/>
    </row>
    <row r="139" spans="1:34" ht="13.5" customHeight="1" x14ac:dyDescent="0.25">
      <c r="A139" s="97"/>
      <c r="B139" s="257">
        <v>7</v>
      </c>
      <c r="C139" s="652"/>
      <c r="D139" s="80"/>
      <c r="E139" s="80"/>
      <c r="F139" s="258">
        <f t="shared" ca="1" si="8"/>
        <v>0</v>
      </c>
      <c r="G139" s="624"/>
      <c r="H139" s="85"/>
      <c r="I139" s="624"/>
      <c r="J139" s="85"/>
      <c r="K139" s="624"/>
      <c r="L139" s="85"/>
      <c r="M139" s="624"/>
      <c r="N139" s="85"/>
      <c r="O139" s="624"/>
      <c r="P139" s="85"/>
      <c r="Q139" s="626">
        <f t="shared" si="7"/>
        <v>0</v>
      </c>
      <c r="R139" s="85"/>
      <c r="S139" s="624"/>
      <c r="T139" s="260"/>
      <c r="U139" s="624"/>
      <c r="V139" s="85"/>
      <c r="W139" s="624"/>
      <c r="X139" s="81"/>
      <c r="Y139" s="80"/>
      <c r="Z139" s="737">
        <f ca="1">MAX(0%,IF(Q139&lt;&gt;0,MIN((S139-Q139)/Q139/'Underwriting Risk'!$E$27,'Premium and Reserve Risk'!$Z$131),'Premium and Reserve Risk'!$Z$131))</f>
        <v>0.08</v>
      </c>
      <c r="AA139" s="80"/>
      <c r="AB139" s="80"/>
      <c r="AC139" s="737">
        <f ca="1">MAX(0%,IF(U139&lt;&gt;0,MIN((W139-U139)/U139/'Underwriting Risk'!$E$27,'Premium and Reserve Risk'!$AC$131),'Premium and Reserve Risk'!$AC$131))</f>
        <v>0.08</v>
      </c>
      <c r="AD139" s="81"/>
      <c r="AE139" s="97"/>
      <c r="AF139" s="97"/>
      <c r="AG139" s="97"/>
      <c r="AH139" s="97"/>
    </row>
    <row r="140" spans="1:34" ht="13.5" customHeight="1" x14ac:dyDescent="0.25">
      <c r="A140" s="97"/>
      <c r="B140" s="257">
        <v>8</v>
      </c>
      <c r="C140" s="652"/>
      <c r="D140" s="80"/>
      <c r="E140" s="80"/>
      <c r="F140" s="258">
        <f t="shared" ca="1" si="8"/>
        <v>0</v>
      </c>
      <c r="G140" s="624"/>
      <c r="H140" s="85"/>
      <c r="I140" s="624"/>
      <c r="J140" s="85"/>
      <c r="K140" s="624"/>
      <c r="L140" s="85"/>
      <c r="M140" s="624"/>
      <c r="N140" s="85"/>
      <c r="O140" s="624"/>
      <c r="P140" s="85"/>
      <c r="Q140" s="626">
        <f t="shared" si="7"/>
        <v>0</v>
      </c>
      <c r="R140" s="85"/>
      <c r="S140" s="624"/>
      <c r="T140" s="260"/>
      <c r="U140" s="624"/>
      <c r="V140" s="85"/>
      <c r="W140" s="624"/>
      <c r="X140" s="81"/>
      <c r="Y140" s="80"/>
      <c r="Z140" s="737">
        <f ca="1">MAX(0%,IF(Q140&lt;&gt;0,MIN((S140-Q140)/Q140/'Underwriting Risk'!$E$27,'Premium and Reserve Risk'!$Z$131),'Premium and Reserve Risk'!$Z$131))</f>
        <v>0.08</v>
      </c>
      <c r="AA140" s="80"/>
      <c r="AB140" s="80"/>
      <c r="AC140" s="737">
        <f ca="1">MAX(0%,IF(U140&lt;&gt;0,MIN((W140-U140)/U140/'Underwriting Risk'!$E$27,'Premium and Reserve Risk'!$AC$131),'Premium and Reserve Risk'!$AC$131))</f>
        <v>0.08</v>
      </c>
      <c r="AD140" s="81"/>
      <c r="AE140" s="97"/>
      <c r="AF140" s="97"/>
      <c r="AG140" s="97"/>
      <c r="AH140" s="97"/>
    </row>
    <row r="141" spans="1:34" ht="13.5" customHeight="1" x14ac:dyDescent="0.25">
      <c r="A141" s="97"/>
      <c r="B141" s="257">
        <v>9</v>
      </c>
      <c r="C141" s="652"/>
      <c r="D141" s="80"/>
      <c r="E141" s="80"/>
      <c r="F141" s="258">
        <f t="shared" ca="1" si="8"/>
        <v>0</v>
      </c>
      <c r="G141" s="624"/>
      <c r="H141" s="85"/>
      <c r="I141" s="624"/>
      <c r="J141" s="85"/>
      <c r="K141" s="624"/>
      <c r="L141" s="85"/>
      <c r="M141" s="624"/>
      <c r="N141" s="85"/>
      <c r="O141" s="624"/>
      <c r="P141" s="85"/>
      <c r="Q141" s="626">
        <f t="shared" si="7"/>
        <v>0</v>
      </c>
      <c r="R141" s="85"/>
      <c r="S141" s="624"/>
      <c r="T141" s="260"/>
      <c r="U141" s="624"/>
      <c r="V141" s="85"/>
      <c r="W141" s="624"/>
      <c r="X141" s="81"/>
      <c r="Y141" s="80"/>
      <c r="Z141" s="737">
        <f ca="1">MAX(0%,IF(Q141&lt;&gt;0,MIN((S141-Q141)/Q141/'Underwriting Risk'!$E$27,'Premium and Reserve Risk'!$Z$131),'Premium and Reserve Risk'!$Z$131))</f>
        <v>0.08</v>
      </c>
      <c r="AA141" s="80"/>
      <c r="AB141" s="80"/>
      <c r="AC141" s="737">
        <f ca="1">MAX(0%,IF(U141&lt;&gt;0,MIN((W141-U141)/U141/'Underwriting Risk'!$E$27,'Premium and Reserve Risk'!$AC$131),'Premium and Reserve Risk'!$AC$131))</f>
        <v>0.08</v>
      </c>
      <c r="AD141" s="81"/>
      <c r="AE141" s="97"/>
      <c r="AF141" s="97"/>
      <c r="AG141" s="97"/>
      <c r="AH141" s="97"/>
    </row>
    <row r="142" spans="1:34" ht="13.5" customHeight="1" x14ac:dyDescent="0.25">
      <c r="A142" s="97"/>
      <c r="B142" s="257">
        <v>10</v>
      </c>
      <c r="C142" s="652"/>
      <c r="D142" s="80"/>
      <c r="E142" s="80"/>
      <c r="F142" s="258">
        <f t="shared" ca="1" si="8"/>
        <v>0</v>
      </c>
      <c r="G142" s="624"/>
      <c r="H142" s="85"/>
      <c r="I142" s="624"/>
      <c r="J142" s="85"/>
      <c r="K142" s="624"/>
      <c r="L142" s="85"/>
      <c r="M142" s="624"/>
      <c r="N142" s="85"/>
      <c r="O142" s="624"/>
      <c r="P142" s="85"/>
      <c r="Q142" s="626">
        <f t="shared" si="7"/>
        <v>0</v>
      </c>
      <c r="R142" s="85"/>
      <c r="S142" s="624"/>
      <c r="T142" s="260"/>
      <c r="U142" s="624"/>
      <c r="V142" s="85"/>
      <c r="W142" s="624"/>
      <c r="X142" s="81"/>
      <c r="Y142" s="80"/>
      <c r="Z142" s="737">
        <f ca="1">MAX(0%,IF(Q142&lt;&gt;0,MIN((S142-Q142)/Q142/'Underwriting Risk'!$E$27,'Premium and Reserve Risk'!$Z$131),'Premium and Reserve Risk'!$Z$131))</f>
        <v>0.08</v>
      </c>
      <c r="AA142" s="80"/>
      <c r="AB142" s="80"/>
      <c r="AC142" s="737">
        <f ca="1">MAX(0%,IF(U142&lt;&gt;0,MIN((W142-U142)/U142/'Underwriting Risk'!$E$27,'Premium and Reserve Risk'!$AC$131),'Premium and Reserve Risk'!$AC$131))</f>
        <v>0.08</v>
      </c>
      <c r="AD142" s="81"/>
      <c r="AE142" s="97"/>
      <c r="AF142" s="97"/>
      <c r="AG142" s="97"/>
      <c r="AH142" s="97"/>
    </row>
    <row r="143" spans="1:34" ht="13.5" customHeight="1" x14ac:dyDescent="0.25">
      <c r="A143" s="97"/>
      <c r="B143" s="257">
        <v>11</v>
      </c>
      <c r="C143" s="652"/>
      <c r="D143" s="80"/>
      <c r="E143" s="80"/>
      <c r="F143" s="258">
        <f t="shared" ca="1" si="8"/>
        <v>0</v>
      </c>
      <c r="G143" s="624"/>
      <c r="H143" s="85"/>
      <c r="I143" s="624"/>
      <c r="J143" s="85"/>
      <c r="K143" s="624"/>
      <c r="L143" s="85"/>
      <c r="M143" s="624"/>
      <c r="N143" s="85"/>
      <c r="O143" s="624"/>
      <c r="P143" s="85"/>
      <c r="Q143" s="626">
        <f t="shared" si="7"/>
        <v>0</v>
      </c>
      <c r="R143" s="85"/>
      <c r="S143" s="624"/>
      <c r="T143" s="260"/>
      <c r="U143" s="624"/>
      <c r="V143" s="85"/>
      <c r="W143" s="624"/>
      <c r="X143" s="81"/>
      <c r="Y143" s="80"/>
      <c r="Z143" s="737">
        <f ca="1">MAX(0%,IF(Q143&lt;&gt;0,MIN((S143-Q143)/Q143/'Underwriting Risk'!$E$27,'Premium and Reserve Risk'!$Z$131),'Premium and Reserve Risk'!$Z$131))</f>
        <v>0.08</v>
      </c>
      <c r="AA143" s="80"/>
      <c r="AB143" s="80"/>
      <c r="AC143" s="737">
        <f ca="1">MAX(0%,IF(U143&lt;&gt;0,MIN((W143-U143)/U143/'Underwriting Risk'!$E$27,'Premium and Reserve Risk'!$AC$131),'Premium and Reserve Risk'!$AC$131))</f>
        <v>0.08</v>
      </c>
      <c r="AD143" s="81"/>
      <c r="AE143" s="97"/>
      <c r="AF143" s="97"/>
      <c r="AG143" s="97"/>
      <c r="AH143" s="97"/>
    </row>
    <row r="144" spans="1:34" ht="13.5" customHeight="1" x14ac:dyDescent="0.25">
      <c r="A144" s="97"/>
      <c r="B144" s="257">
        <v>12</v>
      </c>
      <c r="C144" s="652"/>
      <c r="D144" s="80"/>
      <c r="E144" s="80"/>
      <c r="F144" s="258">
        <f t="shared" ca="1" si="8"/>
        <v>0</v>
      </c>
      <c r="G144" s="624"/>
      <c r="H144" s="85"/>
      <c r="I144" s="624"/>
      <c r="J144" s="85"/>
      <c r="K144" s="624"/>
      <c r="L144" s="85"/>
      <c r="M144" s="624"/>
      <c r="N144" s="85"/>
      <c r="O144" s="624"/>
      <c r="P144" s="85"/>
      <c r="Q144" s="626">
        <f t="shared" si="7"/>
        <v>0</v>
      </c>
      <c r="R144" s="85"/>
      <c r="S144" s="624"/>
      <c r="T144" s="260"/>
      <c r="U144" s="624"/>
      <c r="V144" s="85"/>
      <c r="W144" s="624"/>
      <c r="X144" s="81"/>
      <c r="Y144" s="80"/>
      <c r="Z144" s="737">
        <f ca="1">MAX(0%,IF(Q144&lt;&gt;0,MIN((S144-Q144)/Q144/'Underwriting Risk'!$E$27,'Premium and Reserve Risk'!$Z$131),'Premium and Reserve Risk'!$Z$131))</f>
        <v>0.08</v>
      </c>
      <c r="AA144" s="80"/>
      <c r="AB144" s="80"/>
      <c r="AC144" s="737">
        <f ca="1">MAX(0%,IF(U144&lt;&gt;0,MIN((W144-U144)/U144/'Underwriting Risk'!$E$27,'Premium and Reserve Risk'!$AC$131),'Premium and Reserve Risk'!$AC$131))</f>
        <v>0.08</v>
      </c>
      <c r="AD144" s="81"/>
      <c r="AE144" s="97"/>
      <c r="AF144" s="97"/>
      <c r="AG144" s="97"/>
      <c r="AH144" s="97"/>
    </row>
    <row r="145" spans="1:34" ht="13.5" customHeight="1" x14ac:dyDescent="0.25">
      <c r="A145" s="97"/>
      <c r="B145" s="257">
        <v>13</v>
      </c>
      <c r="C145" s="652"/>
      <c r="D145" s="80"/>
      <c r="E145" s="80"/>
      <c r="F145" s="258">
        <f t="shared" ca="1" si="8"/>
        <v>0</v>
      </c>
      <c r="G145" s="624"/>
      <c r="H145" s="85"/>
      <c r="I145" s="624"/>
      <c r="J145" s="85"/>
      <c r="K145" s="624"/>
      <c r="L145" s="85"/>
      <c r="M145" s="624"/>
      <c r="N145" s="85"/>
      <c r="O145" s="624"/>
      <c r="P145" s="85"/>
      <c r="Q145" s="626">
        <f t="shared" si="7"/>
        <v>0</v>
      </c>
      <c r="R145" s="85"/>
      <c r="S145" s="624"/>
      <c r="T145" s="260"/>
      <c r="U145" s="624"/>
      <c r="V145" s="85"/>
      <c r="W145" s="624"/>
      <c r="X145" s="81"/>
      <c r="Y145" s="80"/>
      <c r="Z145" s="737">
        <f ca="1">MAX(0%,IF(Q145&lt;&gt;0,MIN((S145-Q145)/Q145/'Underwriting Risk'!$E$27,'Premium and Reserve Risk'!$Z$131),'Premium and Reserve Risk'!$Z$131))</f>
        <v>0.08</v>
      </c>
      <c r="AA145" s="80"/>
      <c r="AB145" s="80"/>
      <c r="AC145" s="737">
        <f ca="1">MAX(0%,IF(U145&lt;&gt;0,MIN((W145-U145)/U145/'Underwriting Risk'!$E$27,'Premium and Reserve Risk'!$AC$131),'Premium and Reserve Risk'!$AC$131))</f>
        <v>0.08</v>
      </c>
      <c r="AD145" s="81"/>
      <c r="AE145" s="97"/>
      <c r="AF145" s="97"/>
      <c r="AG145" s="97"/>
      <c r="AH145" s="97"/>
    </row>
    <row r="146" spans="1:34" ht="13.5" customHeight="1" x14ac:dyDescent="0.25">
      <c r="A146" s="97"/>
      <c r="B146" s="257">
        <v>14</v>
      </c>
      <c r="C146" s="652"/>
      <c r="D146" s="80"/>
      <c r="E146" s="80"/>
      <c r="F146" s="258">
        <f t="shared" ca="1" si="8"/>
        <v>0</v>
      </c>
      <c r="G146" s="624"/>
      <c r="H146" s="85"/>
      <c r="I146" s="624"/>
      <c r="J146" s="85"/>
      <c r="K146" s="624"/>
      <c r="L146" s="85"/>
      <c r="M146" s="624"/>
      <c r="N146" s="85"/>
      <c r="O146" s="624"/>
      <c r="P146" s="85"/>
      <c r="Q146" s="626">
        <f t="shared" si="7"/>
        <v>0</v>
      </c>
      <c r="R146" s="85"/>
      <c r="S146" s="624"/>
      <c r="T146" s="260"/>
      <c r="U146" s="624"/>
      <c r="V146" s="85"/>
      <c r="W146" s="624"/>
      <c r="X146" s="81"/>
      <c r="Y146" s="80"/>
      <c r="Z146" s="737">
        <f ca="1">MAX(0%,IF(Q146&lt;&gt;0,MIN((S146-Q146)/Q146/'Underwriting Risk'!$E$27,'Premium and Reserve Risk'!$Z$131),'Premium and Reserve Risk'!$Z$131))</f>
        <v>0.08</v>
      </c>
      <c r="AA146" s="80"/>
      <c r="AB146" s="80"/>
      <c r="AC146" s="737">
        <f ca="1">MAX(0%,IF(U146&lt;&gt;0,MIN((W146-U146)/U146/'Underwriting Risk'!$E$27,'Premium and Reserve Risk'!$AC$131),'Premium and Reserve Risk'!$AC$131))</f>
        <v>0.08</v>
      </c>
      <c r="AD146" s="81"/>
      <c r="AE146" s="97"/>
      <c r="AF146" s="97"/>
      <c r="AG146" s="97"/>
      <c r="AH146" s="97"/>
    </row>
    <row r="147" spans="1:34" ht="13.5" customHeight="1" x14ac:dyDescent="0.25">
      <c r="A147" s="97"/>
      <c r="B147" s="257">
        <v>15</v>
      </c>
      <c r="C147" s="652"/>
      <c r="D147" s="80"/>
      <c r="E147" s="80"/>
      <c r="F147" s="258">
        <f t="shared" ca="1" si="8"/>
        <v>0</v>
      </c>
      <c r="G147" s="624"/>
      <c r="H147" s="85"/>
      <c r="I147" s="624"/>
      <c r="J147" s="85"/>
      <c r="K147" s="624"/>
      <c r="L147" s="85"/>
      <c r="M147" s="624"/>
      <c r="N147" s="85"/>
      <c r="O147" s="624"/>
      <c r="P147" s="85"/>
      <c r="Q147" s="626">
        <f t="shared" si="7"/>
        <v>0</v>
      </c>
      <c r="R147" s="85"/>
      <c r="S147" s="624"/>
      <c r="T147" s="260"/>
      <c r="U147" s="624"/>
      <c r="V147" s="85"/>
      <c r="W147" s="624"/>
      <c r="X147" s="81"/>
      <c r="Y147" s="80"/>
      <c r="Z147" s="737">
        <f ca="1">MAX(0%,IF(Q147&lt;&gt;0,MIN((S147-Q147)/Q147/'Underwriting Risk'!$E$27,'Premium and Reserve Risk'!$Z$131),'Premium and Reserve Risk'!$Z$131))</f>
        <v>0.08</v>
      </c>
      <c r="AA147" s="80"/>
      <c r="AB147" s="80"/>
      <c r="AC147" s="737">
        <f ca="1">MAX(0%,IF(U147&lt;&gt;0,MIN((W147-U147)/U147/'Underwriting Risk'!$E$27,'Premium and Reserve Risk'!$AC$131),'Premium and Reserve Risk'!$AC$131))</f>
        <v>0.08</v>
      </c>
      <c r="AD147" s="81"/>
      <c r="AE147" s="97"/>
      <c r="AF147" s="97"/>
      <c r="AG147" s="97"/>
      <c r="AH147" s="97"/>
    </row>
    <row r="148" spans="1:34" ht="13.5" customHeight="1" x14ac:dyDescent="0.25">
      <c r="A148" s="97"/>
      <c r="B148" s="257">
        <v>16</v>
      </c>
      <c r="C148" s="652"/>
      <c r="D148" s="80"/>
      <c r="E148" s="80"/>
      <c r="F148" s="258">
        <f t="shared" ca="1" si="8"/>
        <v>0</v>
      </c>
      <c r="G148" s="624"/>
      <c r="H148" s="85"/>
      <c r="I148" s="624"/>
      <c r="J148" s="85"/>
      <c r="K148" s="624"/>
      <c r="L148" s="85"/>
      <c r="M148" s="624"/>
      <c r="N148" s="85"/>
      <c r="O148" s="624"/>
      <c r="P148" s="85"/>
      <c r="Q148" s="626">
        <f t="shared" si="7"/>
        <v>0</v>
      </c>
      <c r="R148" s="85"/>
      <c r="S148" s="624"/>
      <c r="T148" s="260"/>
      <c r="U148" s="624"/>
      <c r="V148" s="85"/>
      <c r="W148" s="624"/>
      <c r="X148" s="81"/>
      <c r="Y148" s="80"/>
      <c r="Z148" s="737">
        <f ca="1">MAX(0%,IF(Q148&lt;&gt;0,MIN((S148-Q148)/Q148/'Underwriting Risk'!$E$27,'Premium and Reserve Risk'!$Z$131),'Premium and Reserve Risk'!$Z$131))</f>
        <v>0.08</v>
      </c>
      <c r="AA148" s="80"/>
      <c r="AB148" s="80"/>
      <c r="AC148" s="737">
        <f ca="1">MAX(0%,IF(U148&lt;&gt;0,MIN((W148-U148)/U148/'Underwriting Risk'!$E$27,'Premium and Reserve Risk'!$AC$131),'Premium and Reserve Risk'!$AC$131))</f>
        <v>0.08</v>
      </c>
      <c r="AD148" s="81"/>
      <c r="AE148" s="97"/>
      <c r="AF148" s="97"/>
      <c r="AG148" s="97"/>
      <c r="AH148" s="97"/>
    </row>
    <row r="149" spans="1:34" ht="13.5" customHeight="1" x14ac:dyDescent="0.25">
      <c r="A149" s="97"/>
      <c r="B149" s="257">
        <v>17</v>
      </c>
      <c r="C149" s="652"/>
      <c r="D149" s="80"/>
      <c r="E149" s="80"/>
      <c r="F149" s="258">
        <f t="shared" ca="1" si="8"/>
        <v>0</v>
      </c>
      <c r="G149" s="624"/>
      <c r="H149" s="85"/>
      <c r="I149" s="624"/>
      <c r="J149" s="85"/>
      <c r="K149" s="624"/>
      <c r="L149" s="85"/>
      <c r="M149" s="624"/>
      <c r="N149" s="85"/>
      <c r="O149" s="624"/>
      <c r="P149" s="85"/>
      <c r="Q149" s="626">
        <f t="shared" si="7"/>
        <v>0</v>
      </c>
      <c r="R149" s="85"/>
      <c r="S149" s="624"/>
      <c r="T149" s="260"/>
      <c r="U149" s="624"/>
      <c r="V149" s="85"/>
      <c r="W149" s="624"/>
      <c r="X149" s="81"/>
      <c r="Y149" s="80"/>
      <c r="Z149" s="737">
        <f ca="1">MAX(0%,IF(Q149&lt;&gt;0,MIN((S149-Q149)/Q149/'Underwriting Risk'!$E$27,'Premium and Reserve Risk'!$Z$131),'Premium and Reserve Risk'!$Z$131))</f>
        <v>0.08</v>
      </c>
      <c r="AA149" s="80"/>
      <c r="AB149" s="80"/>
      <c r="AC149" s="737">
        <f ca="1">MAX(0%,IF(U149&lt;&gt;0,MIN((W149-U149)/U149/'Underwriting Risk'!$E$27,'Premium and Reserve Risk'!$AC$131),'Premium and Reserve Risk'!$AC$131))</f>
        <v>0.08</v>
      </c>
      <c r="AD149" s="81"/>
      <c r="AE149" s="97"/>
      <c r="AF149" s="97"/>
      <c r="AG149" s="97"/>
      <c r="AH149" s="97"/>
    </row>
    <row r="150" spans="1:34" ht="13.5" customHeight="1" x14ac:dyDescent="0.25">
      <c r="A150" s="97"/>
      <c r="B150" s="257">
        <v>18</v>
      </c>
      <c r="C150" s="652"/>
      <c r="D150" s="80"/>
      <c r="E150" s="80"/>
      <c r="F150" s="258">
        <f t="shared" ca="1" si="8"/>
        <v>0</v>
      </c>
      <c r="G150" s="624"/>
      <c r="H150" s="85"/>
      <c r="I150" s="624"/>
      <c r="J150" s="85"/>
      <c r="K150" s="624"/>
      <c r="L150" s="85"/>
      <c r="M150" s="624"/>
      <c r="N150" s="85"/>
      <c r="O150" s="624"/>
      <c r="P150" s="85"/>
      <c r="Q150" s="626">
        <f t="shared" si="7"/>
        <v>0</v>
      </c>
      <c r="R150" s="85"/>
      <c r="S150" s="624"/>
      <c r="T150" s="260"/>
      <c r="U150" s="624"/>
      <c r="V150" s="85"/>
      <c r="W150" s="624"/>
      <c r="X150" s="81"/>
      <c r="Y150" s="80"/>
      <c r="Z150" s="737">
        <f ca="1">MAX(0%,IF(Q150&lt;&gt;0,MIN((S150-Q150)/Q150/'Underwriting Risk'!$E$27,'Premium and Reserve Risk'!$Z$131),'Premium and Reserve Risk'!$Z$131))</f>
        <v>0.08</v>
      </c>
      <c r="AA150" s="80"/>
      <c r="AB150" s="80"/>
      <c r="AC150" s="737">
        <f ca="1">MAX(0%,IF(U150&lt;&gt;0,MIN((W150-U150)/U150/'Underwriting Risk'!$E$27,'Premium and Reserve Risk'!$AC$131),'Premium and Reserve Risk'!$AC$131))</f>
        <v>0.08</v>
      </c>
      <c r="AD150" s="81"/>
      <c r="AE150" s="97"/>
      <c r="AF150" s="97"/>
      <c r="AG150" s="97"/>
      <c r="AH150" s="97"/>
    </row>
    <row r="151" spans="1:34" ht="13.5" customHeight="1" x14ac:dyDescent="0.25">
      <c r="A151" s="97"/>
      <c r="B151" s="257">
        <v>19</v>
      </c>
      <c r="C151" s="652"/>
      <c r="D151" s="80"/>
      <c r="E151" s="80"/>
      <c r="F151" s="258">
        <f t="shared" ca="1" si="8"/>
        <v>0</v>
      </c>
      <c r="G151" s="624"/>
      <c r="H151" s="85"/>
      <c r="I151" s="624"/>
      <c r="J151" s="85"/>
      <c r="K151" s="624"/>
      <c r="L151" s="85"/>
      <c r="M151" s="624"/>
      <c r="N151" s="85"/>
      <c r="O151" s="624"/>
      <c r="P151" s="85"/>
      <c r="Q151" s="626">
        <f t="shared" si="7"/>
        <v>0</v>
      </c>
      <c r="R151" s="85"/>
      <c r="S151" s="624"/>
      <c r="T151" s="260"/>
      <c r="U151" s="624"/>
      <c r="V151" s="85"/>
      <c r="W151" s="624"/>
      <c r="X151" s="81"/>
      <c r="Y151" s="80"/>
      <c r="Z151" s="737">
        <f ca="1">MAX(0%,IF(Q151&lt;&gt;0,MIN((S151-Q151)/Q151/'Underwriting Risk'!$E$27,'Premium and Reserve Risk'!$Z$131),'Premium and Reserve Risk'!$Z$131))</f>
        <v>0.08</v>
      </c>
      <c r="AA151" s="80"/>
      <c r="AB151" s="80"/>
      <c r="AC151" s="737">
        <f ca="1">MAX(0%,IF(U151&lt;&gt;0,MIN((W151-U151)/U151/'Underwriting Risk'!$E$27,'Premium and Reserve Risk'!$AC$131),'Premium and Reserve Risk'!$AC$131))</f>
        <v>0.08</v>
      </c>
      <c r="AD151" s="81"/>
      <c r="AE151" s="97"/>
      <c r="AF151" s="97"/>
      <c r="AG151" s="97"/>
      <c r="AH151" s="97"/>
    </row>
    <row r="152" spans="1:34" ht="13.5" customHeight="1" x14ac:dyDescent="0.25">
      <c r="A152" s="97"/>
      <c r="B152" s="257">
        <v>20</v>
      </c>
      <c r="C152" s="652"/>
      <c r="D152" s="80"/>
      <c r="E152" s="80"/>
      <c r="F152" s="258">
        <f t="shared" ca="1" si="8"/>
        <v>0</v>
      </c>
      <c r="G152" s="624"/>
      <c r="H152" s="85"/>
      <c r="I152" s="624"/>
      <c r="J152" s="85"/>
      <c r="K152" s="624"/>
      <c r="L152" s="85"/>
      <c r="M152" s="624"/>
      <c r="N152" s="85"/>
      <c r="O152" s="624"/>
      <c r="P152" s="85"/>
      <c r="Q152" s="626">
        <f t="shared" si="7"/>
        <v>0</v>
      </c>
      <c r="R152" s="85"/>
      <c r="S152" s="624"/>
      <c r="T152" s="260"/>
      <c r="U152" s="624"/>
      <c r="V152" s="85"/>
      <c r="W152" s="624"/>
      <c r="X152" s="81"/>
      <c r="Y152" s="80"/>
      <c r="Z152" s="737">
        <f ca="1">MAX(0%,IF(Q152&lt;&gt;0,MIN((S152-Q152)/Q152/'Underwriting Risk'!$E$27,'Premium and Reserve Risk'!$Z$131),'Premium and Reserve Risk'!$Z$131))</f>
        <v>0.08</v>
      </c>
      <c r="AA152" s="80"/>
      <c r="AB152" s="80"/>
      <c r="AC152" s="737">
        <f ca="1">MAX(0%,IF(U152&lt;&gt;0,MIN((W152-U152)/U152/'Underwriting Risk'!$E$27,'Premium and Reserve Risk'!$AC$131),'Premium and Reserve Risk'!$AC$131))</f>
        <v>0.08</v>
      </c>
      <c r="AD152" s="81"/>
      <c r="AE152" s="97"/>
      <c r="AF152" s="97"/>
      <c r="AG152" s="97"/>
      <c r="AH152" s="97"/>
    </row>
    <row r="153" spans="1:34" ht="13.5" customHeight="1" x14ac:dyDescent="0.25">
      <c r="A153" s="97"/>
      <c r="B153" s="257">
        <v>21</v>
      </c>
      <c r="C153" s="652"/>
      <c r="D153" s="80"/>
      <c r="E153" s="80"/>
      <c r="F153" s="258">
        <f t="shared" ca="1" si="8"/>
        <v>0</v>
      </c>
      <c r="G153" s="624"/>
      <c r="H153" s="85"/>
      <c r="I153" s="624"/>
      <c r="J153" s="85"/>
      <c r="K153" s="624"/>
      <c r="L153" s="85"/>
      <c r="M153" s="624"/>
      <c r="N153" s="85"/>
      <c r="O153" s="624"/>
      <c r="P153" s="85"/>
      <c r="Q153" s="626">
        <f t="shared" si="7"/>
        <v>0</v>
      </c>
      <c r="R153" s="85"/>
      <c r="S153" s="624"/>
      <c r="T153" s="260"/>
      <c r="U153" s="624"/>
      <c r="V153" s="85"/>
      <c r="W153" s="624"/>
      <c r="X153" s="81"/>
      <c r="Y153" s="80"/>
      <c r="Z153" s="737">
        <f ca="1">MAX(0%,IF(Q153&lt;&gt;0,MIN((S153-Q153)/Q153/'Underwriting Risk'!$E$27,'Premium and Reserve Risk'!$Z$131),'Premium and Reserve Risk'!$Z$131))</f>
        <v>0.08</v>
      </c>
      <c r="AA153" s="80"/>
      <c r="AB153" s="80"/>
      <c r="AC153" s="737">
        <f ca="1">MAX(0%,IF(U153&lt;&gt;0,MIN((W153-U153)/U153/'Underwriting Risk'!$E$27,'Premium and Reserve Risk'!$AC$131),'Premium and Reserve Risk'!$AC$131))</f>
        <v>0.08</v>
      </c>
      <c r="AD153" s="81"/>
      <c r="AE153" s="97"/>
      <c r="AF153" s="97"/>
      <c r="AG153" s="97"/>
      <c r="AH153" s="97"/>
    </row>
    <row r="154" spans="1:34" ht="13.5" customHeight="1" x14ac:dyDescent="0.25">
      <c r="A154" s="97"/>
      <c r="B154" s="257">
        <v>22</v>
      </c>
      <c r="C154" s="652"/>
      <c r="D154" s="80"/>
      <c r="E154" s="80"/>
      <c r="F154" s="258">
        <f t="shared" ca="1" si="8"/>
        <v>0</v>
      </c>
      <c r="G154" s="624"/>
      <c r="H154" s="85"/>
      <c r="I154" s="624"/>
      <c r="J154" s="85"/>
      <c r="K154" s="624"/>
      <c r="L154" s="85"/>
      <c r="M154" s="624"/>
      <c r="N154" s="85"/>
      <c r="O154" s="624"/>
      <c r="P154" s="85"/>
      <c r="Q154" s="626">
        <f t="shared" si="7"/>
        <v>0</v>
      </c>
      <c r="R154" s="85"/>
      <c r="S154" s="624"/>
      <c r="T154" s="260"/>
      <c r="U154" s="624"/>
      <c r="V154" s="85"/>
      <c r="W154" s="624"/>
      <c r="X154" s="81"/>
      <c r="Y154" s="80"/>
      <c r="Z154" s="737">
        <f ca="1">MAX(0%,IF(Q154&lt;&gt;0,MIN((S154-Q154)/Q154/'Underwriting Risk'!$E$27,'Premium and Reserve Risk'!$Z$131),'Premium and Reserve Risk'!$Z$131))</f>
        <v>0.08</v>
      </c>
      <c r="AA154" s="80"/>
      <c r="AB154" s="80"/>
      <c r="AC154" s="737">
        <f ca="1">MAX(0%,IF(U154&lt;&gt;0,MIN((W154-U154)/U154/'Underwriting Risk'!$E$27,'Premium and Reserve Risk'!$AC$131),'Premium and Reserve Risk'!$AC$131))</f>
        <v>0.08</v>
      </c>
      <c r="AD154" s="81"/>
      <c r="AE154" s="97"/>
      <c r="AF154" s="97"/>
      <c r="AG154" s="97"/>
      <c r="AH154" s="97"/>
    </row>
    <row r="155" spans="1:34" ht="13.5" customHeight="1" x14ac:dyDescent="0.25">
      <c r="A155" s="97"/>
      <c r="B155" s="257">
        <v>23</v>
      </c>
      <c r="C155" s="652"/>
      <c r="D155" s="80"/>
      <c r="E155" s="80"/>
      <c r="F155" s="258">
        <f t="shared" ca="1" si="8"/>
        <v>0</v>
      </c>
      <c r="G155" s="624"/>
      <c r="H155" s="85"/>
      <c r="I155" s="624"/>
      <c r="J155" s="85"/>
      <c r="K155" s="624"/>
      <c r="L155" s="85"/>
      <c r="M155" s="624"/>
      <c r="N155" s="85"/>
      <c r="O155" s="624"/>
      <c r="P155" s="85"/>
      <c r="Q155" s="626">
        <f t="shared" si="7"/>
        <v>0</v>
      </c>
      <c r="R155" s="85"/>
      <c r="S155" s="624"/>
      <c r="T155" s="260"/>
      <c r="U155" s="624"/>
      <c r="V155" s="85"/>
      <c r="W155" s="624"/>
      <c r="X155" s="81"/>
      <c r="Y155" s="80"/>
      <c r="Z155" s="737">
        <f ca="1">MAX(0%,IF(Q155&lt;&gt;0,MIN((S155-Q155)/Q155/'Underwriting Risk'!$E$27,'Premium and Reserve Risk'!$Z$131),'Premium and Reserve Risk'!$Z$131))</f>
        <v>0.08</v>
      </c>
      <c r="AA155" s="80"/>
      <c r="AB155" s="80"/>
      <c r="AC155" s="737">
        <f ca="1">MAX(0%,IF(U155&lt;&gt;0,MIN((W155-U155)/U155/'Underwriting Risk'!$E$27,'Premium and Reserve Risk'!$AC$131),'Premium and Reserve Risk'!$AC$131))</f>
        <v>0.08</v>
      </c>
      <c r="AD155" s="81"/>
      <c r="AE155" s="97"/>
      <c r="AF155" s="97"/>
      <c r="AG155" s="97"/>
      <c r="AH155" s="97"/>
    </row>
    <row r="156" spans="1:34" ht="13.5" customHeight="1" x14ac:dyDescent="0.25">
      <c r="A156" s="97"/>
      <c r="B156" s="257">
        <v>24</v>
      </c>
      <c r="C156" s="652"/>
      <c r="D156" s="80"/>
      <c r="E156" s="80"/>
      <c r="F156" s="258">
        <f t="shared" ca="1" si="8"/>
        <v>0</v>
      </c>
      <c r="G156" s="624"/>
      <c r="H156" s="85"/>
      <c r="I156" s="624"/>
      <c r="J156" s="85"/>
      <c r="K156" s="624"/>
      <c r="L156" s="85"/>
      <c r="M156" s="624"/>
      <c r="N156" s="85"/>
      <c r="O156" s="624"/>
      <c r="P156" s="85"/>
      <c r="Q156" s="626">
        <f t="shared" si="7"/>
        <v>0</v>
      </c>
      <c r="R156" s="85"/>
      <c r="S156" s="624"/>
      <c r="T156" s="260"/>
      <c r="U156" s="624"/>
      <c r="V156" s="85"/>
      <c r="W156" s="624"/>
      <c r="X156" s="81"/>
      <c r="Y156" s="80"/>
      <c r="Z156" s="737">
        <f ca="1">MAX(0%,IF(Q156&lt;&gt;0,MIN((S156-Q156)/Q156/'Underwriting Risk'!$E$27,'Premium and Reserve Risk'!$Z$131),'Premium and Reserve Risk'!$Z$131))</f>
        <v>0.08</v>
      </c>
      <c r="AA156" s="80"/>
      <c r="AB156" s="80"/>
      <c r="AC156" s="737">
        <f ca="1">MAX(0%,IF(U156&lt;&gt;0,MIN((W156-U156)/U156/'Underwriting Risk'!$E$27,'Premium and Reserve Risk'!$AC$131),'Premium and Reserve Risk'!$AC$131))</f>
        <v>0.08</v>
      </c>
      <c r="AD156" s="81"/>
      <c r="AE156" s="97"/>
      <c r="AF156" s="97"/>
      <c r="AG156" s="97"/>
      <c r="AH156" s="97"/>
    </row>
    <row r="157" spans="1:34" ht="13.5" customHeight="1" x14ac:dyDescent="0.25">
      <c r="A157" s="97"/>
      <c r="B157" s="257">
        <v>25</v>
      </c>
      <c r="C157" s="652"/>
      <c r="D157" s="80"/>
      <c r="E157" s="80"/>
      <c r="F157" s="258">
        <f t="shared" ca="1" si="8"/>
        <v>0</v>
      </c>
      <c r="G157" s="624"/>
      <c r="H157" s="85"/>
      <c r="I157" s="624"/>
      <c r="J157" s="85"/>
      <c r="K157" s="624"/>
      <c r="L157" s="85"/>
      <c r="M157" s="624"/>
      <c r="N157" s="85"/>
      <c r="O157" s="624"/>
      <c r="P157" s="85"/>
      <c r="Q157" s="626">
        <f t="shared" si="7"/>
        <v>0</v>
      </c>
      <c r="R157" s="85"/>
      <c r="S157" s="624"/>
      <c r="T157" s="260"/>
      <c r="U157" s="624"/>
      <c r="V157" s="85"/>
      <c r="W157" s="624"/>
      <c r="X157" s="81"/>
      <c r="Y157" s="80"/>
      <c r="Z157" s="737">
        <f ca="1">MAX(0%,IF(Q157&lt;&gt;0,MIN((S157-Q157)/Q157/'Underwriting Risk'!$E$27,'Premium and Reserve Risk'!$Z$131),'Premium and Reserve Risk'!$Z$131))</f>
        <v>0.08</v>
      </c>
      <c r="AA157" s="80"/>
      <c r="AB157" s="80"/>
      <c r="AC157" s="737">
        <f ca="1">MAX(0%,IF(U157&lt;&gt;0,MIN((W157-U157)/U157/'Underwriting Risk'!$E$27,'Premium and Reserve Risk'!$AC$131),'Premium and Reserve Risk'!$AC$131))</f>
        <v>0.08</v>
      </c>
      <c r="AD157" s="81"/>
      <c r="AE157" s="97"/>
      <c r="AF157" s="97"/>
      <c r="AG157" s="97"/>
      <c r="AH157" s="97"/>
    </row>
    <row r="158" spans="1:34" ht="13.5" customHeight="1" x14ac:dyDescent="0.25">
      <c r="A158" s="97"/>
      <c r="B158" s="257">
        <v>26</v>
      </c>
      <c r="C158" s="652"/>
      <c r="D158" s="80"/>
      <c r="E158" s="80"/>
      <c r="F158" s="258">
        <f t="shared" ca="1" si="8"/>
        <v>0</v>
      </c>
      <c r="G158" s="624"/>
      <c r="H158" s="85"/>
      <c r="I158" s="624"/>
      <c r="J158" s="85"/>
      <c r="K158" s="624"/>
      <c r="L158" s="85"/>
      <c r="M158" s="624"/>
      <c r="N158" s="85"/>
      <c r="O158" s="624"/>
      <c r="P158" s="85"/>
      <c r="Q158" s="626">
        <f t="shared" si="7"/>
        <v>0</v>
      </c>
      <c r="R158" s="85"/>
      <c r="S158" s="624"/>
      <c r="T158" s="260"/>
      <c r="U158" s="624"/>
      <c r="V158" s="85"/>
      <c r="W158" s="624"/>
      <c r="X158" s="81"/>
      <c r="Y158" s="80"/>
      <c r="Z158" s="737">
        <f ca="1">MAX(0%,IF(Q158&lt;&gt;0,MIN((S158-Q158)/Q158/'Underwriting Risk'!$E$27,'Premium and Reserve Risk'!$Z$131),'Premium and Reserve Risk'!$Z$131))</f>
        <v>0.08</v>
      </c>
      <c r="AA158" s="80"/>
      <c r="AB158" s="80"/>
      <c r="AC158" s="737">
        <f ca="1">MAX(0%,IF(U158&lt;&gt;0,MIN((W158-U158)/U158/'Underwriting Risk'!$E$27,'Premium and Reserve Risk'!$AC$131),'Premium and Reserve Risk'!$AC$131))</f>
        <v>0.08</v>
      </c>
      <c r="AD158" s="81"/>
      <c r="AE158" s="97"/>
      <c r="AF158" s="97"/>
      <c r="AG158" s="97"/>
      <c r="AH158" s="97"/>
    </row>
    <row r="159" spans="1:34" ht="13.5" customHeight="1" x14ac:dyDescent="0.25">
      <c r="A159" s="97"/>
      <c r="B159" s="257">
        <v>27</v>
      </c>
      <c r="C159" s="652"/>
      <c r="D159" s="80"/>
      <c r="E159" s="80"/>
      <c r="F159" s="258">
        <f t="shared" ca="1" si="8"/>
        <v>0</v>
      </c>
      <c r="G159" s="624"/>
      <c r="H159" s="85"/>
      <c r="I159" s="624"/>
      <c r="J159" s="85"/>
      <c r="K159" s="624"/>
      <c r="L159" s="85"/>
      <c r="M159" s="624"/>
      <c r="N159" s="85"/>
      <c r="O159" s="624"/>
      <c r="P159" s="85"/>
      <c r="Q159" s="626">
        <f t="shared" si="7"/>
        <v>0</v>
      </c>
      <c r="R159" s="85"/>
      <c r="S159" s="624"/>
      <c r="T159" s="260"/>
      <c r="U159" s="624"/>
      <c r="V159" s="85"/>
      <c r="W159" s="624"/>
      <c r="X159" s="81"/>
      <c r="Y159" s="80"/>
      <c r="Z159" s="737">
        <f ca="1">MAX(0%,IF(Q159&lt;&gt;0,MIN((S159-Q159)/Q159/'Underwriting Risk'!$E$27,'Premium and Reserve Risk'!$Z$131),'Premium and Reserve Risk'!$Z$131))</f>
        <v>0.08</v>
      </c>
      <c r="AA159" s="80"/>
      <c r="AB159" s="80"/>
      <c r="AC159" s="737">
        <f ca="1">MAX(0%,IF(U159&lt;&gt;0,MIN((W159-U159)/U159/'Underwriting Risk'!$E$27,'Premium and Reserve Risk'!$AC$131),'Premium and Reserve Risk'!$AC$131))</f>
        <v>0.08</v>
      </c>
      <c r="AD159" s="81"/>
      <c r="AE159" s="97"/>
      <c r="AF159" s="97"/>
      <c r="AG159" s="97"/>
      <c r="AH159" s="97"/>
    </row>
    <row r="160" spans="1:34" ht="13.5" customHeight="1" x14ac:dyDescent="0.25">
      <c r="A160" s="97"/>
      <c r="B160" s="257">
        <v>28</v>
      </c>
      <c r="C160" s="652"/>
      <c r="D160" s="80"/>
      <c r="E160" s="80"/>
      <c r="F160" s="258">
        <f t="shared" ca="1" si="8"/>
        <v>0</v>
      </c>
      <c r="G160" s="624"/>
      <c r="H160" s="85"/>
      <c r="I160" s="624"/>
      <c r="J160" s="85"/>
      <c r="K160" s="624"/>
      <c r="L160" s="85"/>
      <c r="M160" s="624"/>
      <c r="N160" s="85"/>
      <c r="O160" s="624"/>
      <c r="P160" s="85"/>
      <c r="Q160" s="626">
        <f t="shared" si="7"/>
        <v>0</v>
      </c>
      <c r="R160" s="85"/>
      <c r="S160" s="624"/>
      <c r="T160" s="260"/>
      <c r="U160" s="624"/>
      <c r="V160" s="85"/>
      <c r="W160" s="624"/>
      <c r="X160" s="81"/>
      <c r="Y160" s="80"/>
      <c r="Z160" s="737">
        <f ca="1">MAX(0%,IF(Q160&lt;&gt;0,MIN((S160-Q160)/Q160/'Underwriting Risk'!$E$27,'Premium and Reserve Risk'!$Z$131),'Premium and Reserve Risk'!$Z$131))</f>
        <v>0.08</v>
      </c>
      <c r="AA160" s="80"/>
      <c r="AB160" s="80"/>
      <c r="AC160" s="737">
        <f ca="1">MAX(0%,IF(U160&lt;&gt;0,MIN((W160-U160)/U160/'Underwriting Risk'!$E$27,'Premium and Reserve Risk'!$AC$131),'Premium and Reserve Risk'!$AC$131))</f>
        <v>0.08</v>
      </c>
      <c r="AD160" s="81"/>
      <c r="AE160" s="97"/>
      <c r="AF160" s="97"/>
      <c r="AG160" s="97"/>
      <c r="AH160" s="97"/>
    </row>
    <row r="161" spans="1:34" ht="13.5" customHeight="1" x14ac:dyDescent="0.25">
      <c r="A161" s="97"/>
      <c r="B161" s="257">
        <v>29</v>
      </c>
      <c r="C161" s="652"/>
      <c r="D161" s="80"/>
      <c r="E161" s="80"/>
      <c r="F161" s="258">
        <f t="shared" ca="1" si="8"/>
        <v>0</v>
      </c>
      <c r="G161" s="624"/>
      <c r="H161" s="85"/>
      <c r="I161" s="624"/>
      <c r="J161" s="85"/>
      <c r="K161" s="624"/>
      <c r="L161" s="85"/>
      <c r="M161" s="624"/>
      <c r="N161" s="85"/>
      <c r="O161" s="624"/>
      <c r="P161" s="85"/>
      <c r="Q161" s="626">
        <f t="shared" si="7"/>
        <v>0</v>
      </c>
      <c r="R161" s="85"/>
      <c r="S161" s="624"/>
      <c r="T161" s="260"/>
      <c r="U161" s="624"/>
      <c r="V161" s="85"/>
      <c r="W161" s="624"/>
      <c r="X161" s="81"/>
      <c r="Y161" s="80"/>
      <c r="Z161" s="737">
        <f ca="1">MAX(0%,IF(Q161&lt;&gt;0,MIN((S161-Q161)/Q161/'Underwriting Risk'!$E$27,'Premium and Reserve Risk'!$Z$131),'Premium and Reserve Risk'!$Z$131))</f>
        <v>0.08</v>
      </c>
      <c r="AA161" s="80"/>
      <c r="AB161" s="80"/>
      <c r="AC161" s="737">
        <f ca="1">MAX(0%,IF(U161&lt;&gt;0,MIN((W161-U161)/U161/'Underwriting Risk'!$E$27,'Premium and Reserve Risk'!$AC$131),'Premium and Reserve Risk'!$AC$131))</f>
        <v>0.08</v>
      </c>
      <c r="AD161" s="81"/>
      <c r="AE161" s="97"/>
      <c r="AF161" s="97"/>
      <c r="AG161" s="97"/>
      <c r="AH161" s="97"/>
    </row>
    <row r="162" spans="1:34" ht="13.5" customHeight="1" x14ac:dyDescent="0.25">
      <c r="A162" s="97"/>
      <c r="B162" s="257">
        <v>30</v>
      </c>
      <c r="C162" s="652"/>
      <c r="D162" s="80"/>
      <c r="E162" s="80"/>
      <c r="F162" s="258">
        <f t="shared" ca="1" si="8"/>
        <v>0</v>
      </c>
      <c r="G162" s="624"/>
      <c r="H162" s="85"/>
      <c r="I162" s="624"/>
      <c r="J162" s="85"/>
      <c r="K162" s="624"/>
      <c r="L162" s="85"/>
      <c r="M162" s="624"/>
      <c r="N162" s="85"/>
      <c r="O162" s="624"/>
      <c r="P162" s="85"/>
      <c r="Q162" s="626">
        <f t="shared" si="7"/>
        <v>0</v>
      </c>
      <c r="R162" s="85"/>
      <c r="S162" s="624"/>
      <c r="T162" s="260"/>
      <c r="U162" s="624"/>
      <c r="V162" s="85"/>
      <c r="W162" s="624"/>
      <c r="X162" s="81"/>
      <c r="Y162" s="80"/>
      <c r="Z162" s="737">
        <f ca="1">MAX(0%,IF(Q162&lt;&gt;0,MIN((S162-Q162)/Q162/'Underwriting Risk'!$E$27,'Premium and Reserve Risk'!$Z$131),'Premium and Reserve Risk'!$Z$131))</f>
        <v>0.08</v>
      </c>
      <c r="AA162" s="80"/>
      <c r="AB162" s="80"/>
      <c r="AC162" s="737">
        <f ca="1">MAX(0%,IF(U162&lt;&gt;0,MIN((W162-U162)/U162/'Underwriting Risk'!$E$27,'Premium and Reserve Risk'!$AC$131),'Premium and Reserve Risk'!$AC$131))</f>
        <v>0.08</v>
      </c>
      <c r="AD162" s="81"/>
      <c r="AE162" s="97"/>
      <c r="AF162" s="97"/>
      <c r="AG162" s="97"/>
      <c r="AH162" s="97"/>
    </row>
    <row r="163" spans="1:34" ht="13.5" customHeight="1" x14ac:dyDescent="0.25">
      <c r="A163" s="97"/>
      <c r="B163" s="257">
        <v>31</v>
      </c>
      <c r="C163" s="652"/>
      <c r="D163" s="80"/>
      <c r="E163" s="80"/>
      <c r="F163" s="258">
        <f t="shared" ca="1" si="8"/>
        <v>0</v>
      </c>
      <c r="G163" s="624"/>
      <c r="H163" s="85"/>
      <c r="I163" s="624"/>
      <c r="J163" s="85"/>
      <c r="K163" s="624"/>
      <c r="L163" s="85"/>
      <c r="M163" s="624"/>
      <c r="N163" s="85"/>
      <c r="O163" s="624"/>
      <c r="P163" s="85"/>
      <c r="Q163" s="626">
        <f t="shared" si="7"/>
        <v>0</v>
      </c>
      <c r="R163" s="85"/>
      <c r="S163" s="624"/>
      <c r="T163" s="260"/>
      <c r="U163" s="624"/>
      <c r="V163" s="85"/>
      <c r="W163" s="624"/>
      <c r="X163" s="81"/>
      <c r="Y163" s="80"/>
      <c r="Z163" s="737">
        <f ca="1">MAX(0%,IF(Q163&lt;&gt;0,MIN((S163-Q163)/Q163/'Underwriting Risk'!$E$27,'Premium and Reserve Risk'!$Z$131),'Premium and Reserve Risk'!$Z$131))</f>
        <v>0.08</v>
      </c>
      <c r="AA163" s="80"/>
      <c r="AB163" s="80"/>
      <c r="AC163" s="737">
        <f ca="1">MAX(0%,IF(U163&lt;&gt;0,MIN((W163-U163)/U163/'Underwriting Risk'!$E$27,'Premium and Reserve Risk'!$AC$131),'Premium and Reserve Risk'!$AC$131))</f>
        <v>0.08</v>
      </c>
      <c r="AD163" s="81"/>
      <c r="AE163" s="97"/>
      <c r="AF163" s="97"/>
      <c r="AG163" s="97"/>
      <c r="AH163" s="97"/>
    </row>
    <row r="164" spans="1:34" ht="13.5" customHeight="1" x14ac:dyDescent="0.25">
      <c r="A164" s="97"/>
      <c r="B164" s="257">
        <v>32</v>
      </c>
      <c r="C164" s="652"/>
      <c r="D164" s="80"/>
      <c r="E164" s="80"/>
      <c r="F164" s="258">
        <f t="shared" ca="1" si="8"/>
        <v>0</v>
      </c>
      <c r="G164" s="624"/>
      <c r="H164" s="85"/>
      <c r="I164" s="624"/>
      <c r="J164" s="85"/>
      <c r="K164" s="624"/>
      <c r="L164" s="85"/>
      <c r="M164" s="624"/>
      <c r="N164" s="85"/>
      <c r="O164" s="624"/>
      <c r="P164" s="85"/>
      <c r="Q164" s="626">
        <f t="shared" si="7"/>
        <v>0</v>
      </c>
      <c r="R164" s="85"/>
      <c r="S164" s="624"/>
      <c r="T164" s="260"/>
      <c r="U164" s="624"/>
      <c r="V164" s="85"/>
      <c r="W164" s="624"/>
      <c r="X164" s="81"/>
      <c r="Y164" s="80"/>
      <c r="Z164" s="737">
        <f ca="1">MAX(0%,IF(Q164&lt;&gt;0,MIN((S164-Q164)/Q164/'Underwriting Risk'!$E$27,'Premium and Reserve Risk'!$Z$131),'Premium and Reserve Risk'!$Z$131))</f>
        <v>0.08</v>
      </c>
      <c r="AA164" s="80"/>
      <c r="AB164" s="80"/>
      <c r="AC164" s="737">
        <f ca="1">MAX(0%,IF(U164&lt;&gt;0,MIN((W164-U164)/U164/'Underwriting Risk'!$E$27,'Premium and Reserve Risk'!$AC$131),'Premium and Reserve Risk'!$AC$131))</f>
        <v>0.08</v>
      </c>
      <c r="AD164" s="81"/>
      <c r="AE164" s="97"/>
      <c r="AF164" s="97"/>
      <c r="AG164" s="97"/>
      <c r="AH164" s="97"/>
    </row>
    <row r="165" spans="1:34" ht="13.5" customHeight="1" x14ac:dyDescent="0.25">
      <c r="A165" s="97"/>
      <c r="B165" s="257">
        <v>33</v>
      </c>
      <c r="C165" s="652"/>
      <c r="D165" s="80"/>
      <c r="E165" s="80"/>
      <c r="F165" s="258">
        <f t="shared" ca="1" si="8"/>
        <v>0</v>
      </c>
      <c r="G165" s="624"/>
      <c r="H165" s="85"/>
      <c r="I165" s="624"/>
      <c r="J165" s="85"/>
      <c r="K165" s="624"/>
      <c r="L165" s="85"/>
      <c r="M165" s="624"/>
      <c r="N165" s="85"/>
      <c r="O165" s="624"/>
      <c r="P165" s="85"/>
      <c r="Q165" s="626">
        <f t="shared" si="7"/>
        <v>0</v>
      </c>
      <c r="R165" s="85"/>
      <c r="S165" s="624"/>
      <c r="T165" s="260"/>
      <c r="U165" s="624"/>
      <c r="V165" s="85"/>
      <c r="W165" s="624"/>
      <c r="X165" s="81"/>
      <c r="Y165" s="80"/>
      <c r="Z165" s="737">
        <f ca="1">MAX(0%,IF(Q165&lt;&gt;0,MIN((S165-Q165)/Q165/'Underwriting Risk'!$E$27,'Premium and Reserve Risk'!$Z$131),'Premium and Reserve Risk'!$Z$131))</f>
        <v>0.08</v>
      </c>
      <c r="AA165" s="80"/>
      <c r="AB165" s="80"/>
      <c r="AC165" s="737">
        <f ca="1">MAX(0%,IF(U165&lt;&gt;0,MIN((W165-U165)/U165/'Underwriting Risk'!$E$27,'Premium and Reserve Risk'!$AC$131),'Premium and Reserve Risk'!$AC$131))</f>
        <v>0.08</v>
      </c>
      <c r="AD165" s="81"/>
      <c r="AE165" s="97"/>
      <c r="AF165" s="97"/>
      <c r="AG165" s="97"/>
      <c r="AH165" s="97"/>
    </row>
    <row r="166" spans="1:34" ht="13.5" customHeight="1" x14ac:dyDescent="0.25">
      <c r="A166" s="97"/>
      <c r="B166" s="257">
        <v>34</v>
      </c>
      <c r="C166" s="652"/>
      <c r="D166" s="80"/>
      <c r="E166" s="80"/>
      <c r="F166" s="258">
        <f t="shared" ca="1" si="8"/>
        <v>0</v>
      </c>
      <c r="G166" s="624"/>
      <c r="H166" s="85"/>
      <c r="I166" s="624"/>
      <c r="J166" s="85"/>
      <c r="K166" s="624"/>
      <c r="L166" s="85"/>
      <c r="M166" s="624"/>
      <c r="N166" s="85"/>
      <c r="O166" s="624"/>
      <c r="P166" s="85"/>
      <c r="Q166" s="626">
        <f t="shared" si="7"/>
        <v>0</v>
      </c>
      <c r="R166" s="85"/>
      <c r="S166" s="624"/>
      <c r="T166" s="260"/>
      <c r="U166" s="624"/>
      <c r="V166" s="85"/>
      <c r="W166" s="624"/>
      <c r="X166" s="81"/>
      <c r="Y166" s="80"/>
      <c r="Z166" s="737">
        <f ca="1">MAX(0%,IF(Q166&lt;&gt;0,MIN((S166-Q166)/Q166/'Underwriting Risk'!$E$27,'Premium and Reserve Risk'!$Z$131),'Premium and Reserve Risk'!$Z$131))</f>
        <v>0.08</v>
      </c>
      <c r="AA166" s="80"/>
      <c r="AB166" s="80"/>
      <c r="AC166" s="737">
        <f ca="1">MAX(0%,IF(U166&lt;&gt;0,MIN((W166-U166)/U166/'Underwriting Risk'!$E$27,'Premium and Reserve Risk'!$AC$131),'Premium and Reserve Risk'!$AC$131))</f>
        <v>0.08</v>
      </c>
      <c r="AD166" s="81"/>
      <c r="AE166" s="97"/>
      <c r="AF166" s="97"/>
      <c r="AG166" s="97"/>
      <c r="AH166" s="97"/>
    </row>
    <row r="167" spans="1:34" ht="13.5" customHeight="1" x14ac:dyDescent="0.25">
      <c r="A167" s="97"/>
      <c r="B167" s="257">
        <v>35</v>
      </c>
      <c r="C167" s="652"/>
      <c r="D167" s="80"/>
      <c r="E167" s="80"/>
      <c r="F167" s="258">
        <f t="shared" ca="1" si="8"/>
        <v>0</v>
      </c>
      <c r="G167" s="624"/>
      <c r="H167" s="85"/>
      <c r="I167" s="624"/>
      <c r="J167" s="85"/>
      <c r="K167" s="624"/>
      <c r="L167" s="85"/>
      <c r="M167" s="624"/>
      <c r="N167" s="85"/>
      <c r="O167" s="624"/>
      <c r="P167" s="85"/>
      <c r="Q167" s="626">
        <f t="shared" si="7"/>
        <v>0</v>
      </c>
      <c r="R167" s="85"/>
      <c r="S167" s="624"/>
      <c r="T167" s="260"/>
      <c r="U167" s="624"/>
      <c r="V167" s="85"/>
      <c r="W167" s="624"/>
      <c r="X167" s="81"/>
      <c r="Y167" s="80"/>
      <c r="Z167" s="737">
        <f ca="1">MAX(0%,IF(Q167&lt;&gt;0,MIN((S167-Q167)/Q167/'Underwriting Risk'!$E$27,'Premium and Reserve Risk'!$Z$131),'Premium and Reserve Risk'!$Z$131))</f>
        <v>0.08</v>
      </c>
      <c r="AA167" s="80"/>
      <c r="AB167" s="80"/>
      <c r="AC167" s="737">
        <f ca="1">MAX(0%,IF(U167&lt;&gt;0,MIN((W167-U167)/U167/'Underwriting Risk'!$E$27,'Premium and Reserve Risk'!$AC$131),'Premium and Reserve Risk'!$AC$131))</f>
        <v>0.08</v>
      </c>
      <c r="AD167" s="81"/>
      <c r="AE167" s="97"/>
      <c r="AF167" s="97"/>
      <c r="AG167" s="97"/>
      <c r="AH167" s="97"/>
    </row>
    <row r="168" spans="1:34" ht="13.5" customHeight="1" x14ac:dyDescent="0.25">
      <c r="A168" s="97"/>
      <c r="B168" s="257">
        <v>36</v>
      </c>
      <c r="C168" s="652"/>
      <c r="D168" s="80"/>
      <c r="E168" s="80"/>
      <c r="F168" s="258">
        <f t="shared" ca="1" si="8"/>
        <v>0</v>
      </c>
      <c r="G168" s="624"/>
      <c r="H168" s="85"/>
      <c r="I168" s="624"/>
      <c r="J168" s="85"/>
      <c r="K168" s="624"/>
      <c r="L168" s="85"/>
      <c r="M168" s="624"/>
      <c r="N168" s="85"/>
      <c r="O168" s="624"/>
      <c r="P168" s="85"/>
      <c r="Q168" s="626">
        <f t="shared" si="7"/>
        <v>0</v>
      </c>
      <c r="R168" s="85"/>
      <c r="S168" s="624"/>
      <c r="T168" s="260"/>
      <c r="U168" s="624"/>
      <c r="V168" s="85"/>
      <c r="W168" s="624"/>
      <c r="X168" s="81"/>
      <c r="Y168" s="80"/>
      <c r="Z168" s="737">
        <f ca="1">MAX(0%,IF(Q168&lt;&gt;0,MIN((S168-Q168)/Q168/'Underwriting Risk'!$E$27,'Premium and Reserve Risk'!$Z$131),'Premium and Reserve Risk'!$Z$131))</f>
        <v>0.08</v>
      </c>
      <c r="AA168" s="80"/>
      <c r="AB168" s="80"/>
      <c r="AC168" s="737">
        <f ca="1">MAX(0%,IF(U168&lt;&gt;0,MIN((W168-U168)/U168/'Underwriting Risk'!$E$27,'Premium and Reserve Risk'!$AC$131),'Premium and Reserve Risk'!$AC$131))</f>
        <v>0.08</v>
      </c>
      <c r="AD168" s="81"/>
      <c r="AE168" s="97"/>
      <c r="AF168" s="97"/>
      <c r="AG168" s="97"/>
      <c r="AH168" s="97"/>
    </row>
    <row r="169" spans="1:34" ht="13.5" customHeight="1" x14ac:dyDescent="0.25">
      <c r="A169" s="97"/>
      <c r="B169" s="257">
        <v>37</v>
      </c>
      <c r="C169" s="652"/>
      <c r="D169" s="80"/>
      <c r="E169" s="80"/>
      <c r="F169" s="258">
        <f t="shared" ca="1" si="8"/>
        <v>0</v>
      </c>
      <c r="G169" s="624"/>
      <c r="H169" s="85"/>
      <c r="I169" s="624"/>
      <c r="J169" s="85"/>
      <c r="K169" s="624"/>
      <c r="L169" s="85"/>
      <c r="M169" s="624"/>
      <c r="N169" s="85"/>
      <c r="O169" s="624"/>
      <c r="P169" s="85"/>
      <c r="Q169" s="626">
        <f t="shared" si="7"/>
        <v>0</v>
      </c>
      <c r="R169" s="85"/>
      <c r="S169" s="624"/>
      <c r="T169" s="260"/>
      <c r="U169" s="624"/>
      <c r="V169" s="85"/>
      <c r="W169" s="624"/>
      <c r="X169" s="81"/>
      <c r="Y169" s="80"/>
      <c r="Z169" s="737">
        <f ca="1">MAX(0%,IF(Q169&lt;&gt;0,MIN((S169-Q169)/Q169/'Underwriting Risk'!$E$27,'Premium and Reserve Risk'!$Z$131),'Premium and Reserve Risk'!$Z$131))</f>
        <v>0.08</v>
      </c>
      <c r="AA169" s="80"/>
      <c r="AB169" s="80"/>
      <c r="AC169" s="737">
        <f ca="1">MAX(0%,IF(U169&lt;&gt;0,MIN((W169-U169)/U169/'Underwriting Risk'!$E$27,'Premium and Reserve Risk'!$AC$131),'Premium and Reserve Risk'!$AC$131))</f>
        <v>0.08</v>
      </c>
      <c r="AD169" s="81"/>
      <c r="AE169" s="97"/>
      <c r="AF169" s="97"/>
      <c r="AG169" s="97"/>
      <c r="AH169" s="97"/>
    </row>
    <row r="170" spans="1:34" ht="13.5" customHeight="1" x14ac:dyDescent="0.25">
      <c r="A170" s="97"/>
      <c r="B170" s="257">
        <v>38</v>
      </c>
      <c r="C170" s="652"/>
      <c r="D170" s="80"/>
      <c r="E170" s="80"/>
      <c r="F170" s="258">
        <f t="shared" ca="1" si="8"/>
        <v>0</v>
      </c>
      <c r="G170" s="624"/>
      <c r="H170" s="85"/>
      <c r="I170" s="624"/>
      <c r="J170" s="85"/>
      <c r="K170" s="624"/>
      <c r="L170" s="85"/>
      <c r="M170" s="624"/>
      <c r="N170" s="85"/>
      <c r="O170" s="624"/>
      <c r="P170" s="85"/>
      <c r="Q170" s="626">
        <f t="shared" si="7"/>
        <v>0</v>
      </c>
      <c r="R170" s="85"/>
      <c r="S170" s="624"/>
      <c r="T170" s="260"/>
      <c r="U170" s="624"/>
      <c r="V170" s="85"/>
      <c r="W170" s="624"/>
      <c r="X170" s="81"/>
      <c r="Y170" s="80"/>
      <c r="Z170" s="737">
        <f ca="1">MAX(0%,IF(Q170&lt;&gt;0,MIN((S170-Q170)/Q170/'Underwriting Risk'!$E$27,'Premium and Reserve Risk'!$Z$131),'Premium and Reserve Risk'!$Z$131))</f>
        <v>0.08</v>
      </c>
      <c r="AA170" s="80"/>
      <c r="AB170" s="80"/>
      <c r="AC170" s="737">
        <f ca="1">MAX(0%,IF(U170&lt;&gt;0,MIN((W170-U170)/U170/'Underwriting Risk'!$E$27,'Premium and Reserve Risk'!$AC$131),'Premium and Reserve Risk'!$AC$131))</f>
        <v>0.08</v>
      </c>
      <c r="AD170" s="81"/>
      <c r="AE170" s="97"/>
      <c r="AF170" s="97"/>
      <c r="AG170" s="97"/>
      <c r="AH170" s="97"/>
    </row>
    <row r="171" spans="1:34" ht="13.5" customHeight="1" x14ac:dyDescent="0.25">
      <c r="A171" s="97"/>
      <c r="B171" s="257">
        <v>39</v>
      </c>
      <c r="C171" s="652"/>
      <c r="D171" s="80"/>
      <c r="E171" s="80"/>
      <c r="F171" s="258">
        <f t="shared" ca="1" si="8"/>
        <v>0</v>
      </c>
      <c r="G171" s="624"/>
      <c r="H171" s="85"/>
      <c r="I171" s="624"/>
      <c r="J171" s="85"/>
      <c r="K171" s="624"/>
      <c r="L171" s="85"/>
      <c r="M171" s="624"/>
      <c r="N171" s="85"/>
      <c r="O171" s="624"/>
      <c r="P171" s="85"/>
      <c r="Q171" s="626">
        <f t="shared" si="7"/>
        <v>0</v>
      </c>
      <c r="R171" s="85"/>
      <c r="S171" s="624"/>
      <c r="T171" s="260"/>
      <c r="U171" s="624"/>
      <c r="V171" s="85"/>
      <c r="W171" s="624"/>
      <c r="X171" s="81"/>
      <c r="Y171" s="80"/>
      <c r="Z171" s="737">
        <f ca="1">MAX(0%,IF(Q171&lt;&gt;0,MIN((S171-Q171)/Q171/'Underwriting Risk'!$E$27,'Premium and Reserve Risk'!$Z$131),'Premium and Reserve Risk'!$Z$131))</f>
        <v>0.08</v>
      </c>
      <c r="AA171" s="80"/>
      <c r="AB171" s="80"/>
      <c r="AC171" s="737">
        <f ca="1">MAX(0%,IF(U171&lt;&gt;0,MIN((W171-U171)/U171/'Underwriting Risk'!$E$27,'Premium and Reserve Risk'!$AC$131),'Premium and Reserve Risk'!$AC$131))</f>
        <v>0.08</v>
      </c>
      <c r="AD171" s="81"/>
      <c r="AE171" s="97"/>
      <c r="AF171" s="97"/>
      <c r="AG171" s="97"/>
      <c r="AH171" s="97"/>
    </row>
    <row r="172" spans="1:34" ht="13.5" customHeight="1" x14ac:dyDescent="0.25">
      <c r="A172" s="97"/>
      <c r="B172" s="257">
        <v>40</v>
      </c>
      <c r="C172" s="652"/>
      <c r="D172" s="80"/>
      <c r="E172" s="80"/>
      <c r="F172" s="258">
        <f t="shared" ca="1" si="8"/>
        <v>0</v>
      </c>
      <c r="G172" s="624"/>
      <c r="H172" s="85"/>
      <c r="I172" s="624"/>
      <c r="J172" s="85"/>
      <c r="K172" s="624"/>
      <c r="L172" s="85"/>
      <c r="M172" s="624"/>
      <c r="N172" s="85"/>
      <c r="O172" s="624"/>
      <c r="P172" s="85"/>
      <c r="Q172" s="626">
        <f t="shared" si="7"/>
        <v>0</v>
      </c>
      <c r="R172" s="85"/>
      <c r="S172" s="624"/>
      <c r="T172" s="260"/>
      <c r="U172" s="624"/>
      <c r="V172" s="85"/>
      <c r="W172" s="624"/>
      <c r="X172" s="81"/>
      <c r="Y172" s="80"/>
      <c r="Z172" s="737">
        <f ca="1">MAX(0%,IF(Q172&lt;&gt;0,MIN((S172-Q172)/Q172/'Underwriting Risk'!$E$27,'Premium and Reserve Risk'!$Z$131),'Premium and Reserve Risk'!$Z$131))</f>
        <v>0.08</v>
      </c>
      <c r="AA172" s="80"/>
      <c r="AB172" s="80"/>
      <c r="AC172" s="737">
        <f ca="1">MAX(0%,IF(U172&lt;&gt;0,MIN((W172-U172)/U172/'Underwriting Risk'!$E$27,'Premium and Reserve Risk'!$AC$131),'Premium and Reserve Risk'!$AC$131))</f>
        <v>0.08</v>
      </c>
      <c r="AD172" s="81"/>
      <c r="AE172" s="97"/>
      <c r="AF172" s="97"/>
      <c r="AG172" s="97"/>
      <c r="AH172" s="97"/>
    </row>
    <row r="173" spans="1:34" ht="13.5" customHeight="1" x14ac:dyDescent="0.25">
      <c r="A173" s="97"/>
      <c r="B173" s="257">
        <v>41</v>
      </c>
      <c r="C173" s="652"/>
      <c r="D173" s="80"/>
      <c r="E173" s="80"/>
      <c r="F173" s="258">
        <f t="shared" ca="1" si="8"/>
        <v>0</v>
      </c>
      <c r="G173" s="624"/>
      <c r="H173" s="85"/>
      <c r="I173" s="624"/>
      <c r="J173" s="85"/>
      <c r="K173" s="624"/>
      <c r="L173" s="85"/>
      <c r="M173" s="624"/>
      <c r="N173" s="85"/>
      <c r="O173" s="624"/>
      <c r="P173" s="85"/>
      <c r="Q173" s="626">
        <f t="shared" si="7"/>
        <v>0</v>
      </c>
      <c r="R173" s="85"/>
      <c r="S173" s="624"/>
      <c r="T173" s="260"/>
      <c r="U173" s="624"/>
      <c r="V173" s="85"/>
      <c r="W173" s="624"/>
      <c r="X173" s="81"/>
      <c r="Y173" s="80"/>
      <c r="Z173" s="737">
        <f ca="1">MAX(0%,IF(Q173&lt;&gt;0,MIN((S173-Q173)/Q173/'Underwriting Risk'!$E$27,'Premium and Reserve Risk'!$Z$131),'Premium and Reserve Risk'!$Z$131))</f>
        <v>0.08</v>
      </c>
      <c r="AA173" s="80"/>
      <c r="AB173" s="80"/>
      <c r="AC173" s="737">
        <f ca="1">MAX(0%,IF(U173&lt;&gt;0,MIN((W173-U173)/U173/'Underwriting Risk'!$E$27,'Premium and Reserve Risk'!$AC$131),'Premium and Reserve Risk'!$AC$131))</f>
        <v>0.08</v>
      </c>
      <c r="AD173" s="81"/>
      <c r="AE173" s="97"/>
      <c r="AF173" s="97"/>
      <c r="AG173" s="97"/>
      <c r="AH173" s="97"/>
    </row>
    <row r="174" spans="1:34" ht="13.5" customHeight="1" x14ac:dyDescent="0.25">
      <c r="A174" s="97"/>
      <c r="B174" s="257">
        <v>42</v>
      </c>
      <c r="C174" s="652"/>
      <c r="D174" s="80"/>
      <c r="E174" s="80"/>
      <c r="F174" s="258">
        <f t="shared" ca="1" si="8"/>
        <v>0</v>
      </c>
      <c r="G174" s="624"/>
      <c r="H174" s="85"/>
      <c r="I174" s="624"/>
      <c r="J174" s="85"/>
      <c r="K174" s="624"/>
      <c r="L174" s="85"/>
      <c r="M174" s="624"/>
      <c r="N174" s="85"/>
      <c r="O174" s="624"/>
      <c r="P174" s="85"/>
      <c r="Q174" s="626">
        <f t="shared" si="7"/>
        <v>0</v>
      </c>
      <c r="R174" s="85"/>
      <c r="S174" s="624"/>
      <c r="T174" s="260"/>
      <c r="U174" s="624"/>
      <c r="V174" s="85"/>
      <c r="W174" s="624"/>
      <c r="X174" s="81"/>
      <c r="Y174" s="80"/>
      <c r="Z174" s="737">
        <f ca="1">MAX(0%,IF(Q174&lt;&gt;0,MIN((S174-Q174)/Q174/'Underwriting Risk'!$E$27,'Premium and Reserve Risk'!$Z$131),'Premium and Reserve Risk'!$Z$131))</f>
        <v>0.08</v>
      </c>
      <c r="AA174" s="80"/>
      <c r="AB174" s="80"/>
      <c r="AC174" s="737">
        <f ca="1">MAX(0%,IF(U174&lt;&gt;0,MIN((W174-U174)/U174/'Underwriting Risk'!$E$27,'Premium and Reserve Risk'!$AC$131),'Premium and Reserve Risk'!$AC$131))</f>
        <v>0.08</v>
      </c>
      <c r="AD174" s="81"/>
      <c r="AE174" s="97"/>
      <c r="AF174" s="97"/>
      <c r="AG174" s="97"/>
      <c r="AH174" s="97"/>
    </row>
    <row r="175" spans="1:34" ht="13.5" customHeight="1" x14ac:dyDescent="0.25">
      <c r="A175" s="97"/>
      <c r="B175" s="257">
        <v>43</v>
      </c>
      <c r="C175" s="652"/>
      <c r="D175" s="80"/>
      <c r="E175" s="80"/>
      <c r="F175" s="258">
        <f t="shared" ca="1" si="8"/>
        <v>0</v>
      </c>
      <c r="G175" s="624"/>
      <c r="H175" s="85"/>
      <c r="I175" s="624"/>
      <c r="J175" s="85"/>
      <c r="K175" s="624"/>
      <c r="L175" s="85"/>
      <c r="M175" s="624"/>
      <c r="N175" s="85"/>
      <c r="O175" s="624"/>
      <c r="P175" s="85"/>
      <c r="Q175" s="626">
        <f t="shared" si="7"/>
        <v>0</v>
      </c>
      <c r="R175" s="85"/>
      <c r="S175" s="624"/>
      <c r="T175" s="260"/>
      <c r="U175" s="624"/>
      <c r="V175" s="85"/>
      <c r="W175" s="624"/>
      <c r="X175" s="81"/>
      <c r="Y175" s="80"/>
      <c r="Z175" s="737">
        <f ca="1">MAX(0%,IF(Q175&lt;&gt;0,MIN((S175-Q175)/Q175/'Underwriting Risk'!$E$27,'Premium and Reserve Risk'!$Z$131),'Premium and Reserve Risk'!$Z$131))</f>
        <v>0.08</v>
      </c>
      <c r="AA175" s="80"/>
      <c r="AB175" s="80"/>
      <c r="AC175" s="737">
        <f ca="1">MAX(0%,IF(U175&lt;&gt;0,MIN((W175-U175)/U175/'Underwriting Risk'!$E$27,'Premium and Reserve Risk'!$AC$131),'Premium and Reserve Risk'!$AC$131))</f>
        <v>0.08</v>
      </c>
      <c r="AD175" s="81"/>
      <c r="AE175" s="97"/>
      <c r="AF175" s="97"/>
      <c r="AG175" s="97"/>
      <c r="AH175" s="97"/>
    </row>
    <row r="176" spans="1:34" ht="13.5" customHeight="1" x14ac:dyDescent="0.25">
      <c r="A176" s="97"/>
      <c r="B176" s="257">
        <v>44</v>
      </c>
      <c r="C176" s="652"/>
      <c r="D176" s="80"/>
      <c r="E176" s="80"/>
      <c r="F176" s="258">
        <f t="shared" ca="1" si="8"/>
        <v>0</v>
      </c>
      <c r="G176" s="624"/>
      <c r="H176" s="85"/>
      <c r="I176" s="624"/>
      <c r="J176" s="85"/>
      <c r="K176" s="624"/>
      <c r="L176" s="85"/>
      <c r="M176" s="624"/>
      <c r="N176" s="85"/>
      <c r="O176" s="624"/>
      <c r="P176" s="85"/>
      <c r="Q176" s="626">
        <f t="shared" si="7"/>
        <v>0</v>
      </c>
      <c r="R176" s="85"/>
      <c r="S176" s="624"/>
      <c r="T176" s="260"/>
      <c r="U176" s="624"/>
      <c r="V176" s="85"/>
      <c r="W176" s="624"/>
      <c r="X176" s="81"/>
      <c r="Y176" s="80"/>
      <c r="Z176" s="737">
        <f ca="1">MAX(0%,IF(Q176&lt;&gt;0,MIN((S176-Q176)/Q176/'Underwriting Risk'!$E$27,'Premium and Reserve Risk'!$Z$131),'Premium and Reserve Risk'!$Z$131))</f>
        <v>0.08</v>
      </c>
      <c r="AA176" s="80"/>
      <c r="AB176" s="80"/>
      <c r="AC176" s="737">
        <f ca="1">MAX(0%,IF(U176&lt;&gt;0,MIN((W176-U176)/U176/'Underwriting Risk'!$E$27,'Premium and Reserve Risk'!$AC$131),'Premium and Reserve Risk'!$AC$131))</f>
        <v>0.08</v>
      </c>
      <c r="AD176" s="81"/>
      <c r="AE176" s="97"/>
      <c r="AF176" s="97"/>
      <c r="AG176" s="97"/>
      <c r="AH176" s="97"/>
    </row>
    <row r="177" spans="1:34" ht="13.5" customHeight="1" x14ac:dyDescent="0.25">
      <c r="A177" s="97"/>
      <c r="B177" s="257">
        <v>45</v>
      </c>
      <c r="C177" s="652"/>
      <c r="D177" s="80"/>
      <c r="E177" s="80"/>
      <c r="F177" s="258">
        <f t="shared" ca="1" si="8"/>
        <v>0</v>
      </c>
      <c r="G177" s="624"/>
      <c r="H177" s="85"/>
      <c r="I177" s="624"/>
      <c r="J177" s="85"/>
      <c r="K177" s="624"/>
      <c r="L177" s="85"/>
      <c r="M177" s="624"/>
      <c r="N177" s="85"/>
      <c r="O177" s="624"/>
      <c r="P177" s="85"/>
      <c r="Q177" s="626">
        <f t="shared" si="7"/>
        <v>0</v>
      </c>
      <c r="R177" s="85"/>
      <c r="S177" s="624"/>
      <c r="T177" s="260"/>
      <c r="U177" s="624"/>
      <c r="V177" s="85"/>
      <c r="W177" s="624"/>
      <c r="X177" s="81"/>
      <c r="Y177" s="80"/>
      <c r="Z177" s="737">
        <f ca="1">MAX(0%,IF(Q177&lt;&gt;0,MIN((S177-Q177)/Q177/'Underwriting Risk'!$E$27,'Premium and Reserve Risk'!$Z$131),'Premium and Reserve Risk'!$Z$131))</f>
        <v>0.08</v>
      </c>
      <c r="AA177" s="80"/>
      <c r="AB177" s="80"/>
      <c r="AC177" s="737">
        <f ca="1">MAX(0%,IF(U177&lt;&gt;0,MIN((W177-U177)/U177/'Underwriting Risk'!$E$27,'Premium and Reserve Risk'!$AC$131),'Premium and Reserve Risk'!$AC$131))</f>
        <v>0.08</v>
      </c>
      <c r="AD177" s="81"/>
      <c r="AE177" s="97"/>
      <c r="AF177" s="97"/>
      <c r="AG177" s="97"/>
      <c r="AH177" s="97"/>
    </row>
    <row r="178" spans="1:34" ht="13.5" customHeight="1" x14ac:dyDescent="0.25">
      <c r="A178" s="97"/>
      <c r="B178" s="257">
        <v>46</v>
      </c>
      <c r="C178" s="652"/>
      <c r="D178" s="80"/>
      <c r="E178" s="80"/>
      <c r="F178" s="258">
        <f t="shared" ca="1" si="8"/>
        <v>0</v>
      </c>
      <c r="G178" s="624"/>
      <c r="H178" s="85"/>
      <c r="I178" s="624"/>
      <c r="J178" s="85"/>
      <c r="K178" s="624"/>
      <c r="L178" s="85"/>
      <c r="M178" s="624"/>
      <c r="N178" s="85"/>
      <c r="O178" s="624"/>
      <c r="P178" s="85"/>
      <c r="Q178" s="626">
        <f t="shared" si="7"/>
        <v>0</v>
      </c>
      <c r="R178" s="85"/>
      <c r="S178" s="624"/>
      <c r="T178" s="260"/>
      <c r="U178" s="624"/>
      <c r="V178" s="85"/>
      <c r="W178" s="624"/>
      <c r="X178" s="81"/>
      <c r="Y178" s="80"/>
      <c r="Z178" s="737">
        <f ca="1">MAX(0%,IF(Q178&lt;&gt;0,MIN((S178-Q178)/Q178/'Underwriting Risk'!$E$27,'Premium and Reserve Risk'!$Z$131),'Premium and Reserve Risk'!$Z$131))</f>
        <v>0.08</v>
      </c>
      <c r="AA178" s="80"/>
      <c r="AB178" s="80"/>
      <c r="AC178" s="737">
        <f ca="1">MAX(0%,IF(U178&lt;&gt;0,MIN((W178-U178)/U178/'Underwriting Risk'!$E$27,'Premium and Reserve Risk'!$AC$131),'Premium and Reserve Risk'!$AC$131))</f>
        <v>0.08</v>
      </c>
      <c r="AD178" s="81"/>
      <c r="AE178" s="97"/>
      <c r="AF178" s="97"/>
      <c r="AG178" s="97"/>
      <c r="AH178" s="97"/>
    </row>
    <row r="179" spans="1:34" ht="13.5" customHeight="1" x14ac:dyDescent="0.25">
      <c r="A179" s="97"/>
      <c r="B179" s="257">
        <v>47</v>
      </c>
      <c r="C179" s="652"/>
      <c r="D179" s="80"/>
      <c r="E179" s="80"/>
      <c r="F179" s="258">
        <f t="shared" ca="1" si="8"/>
        <v>0</v>
      </c>
      <c r="G179" s="624"/>
      <c r="H179" s="85"/>
      <c r="I179" s="624"/>
      <c r="J179" s="85"/>
      <c r="K179" s="624"/>
      <c r="L179" s="85"/>
      <c r="M179" s="624"/>
      <c r="N179" s="85"/>
      <c r="O179" s="624"/>
      <c r="P179" s="85"/>
      <c r="Q179" s="626">
        <f t="shared" si="7"/>
        <v>0</v>
      </c>
      <c r="R179" s="85"/>
      <c r="S179" s="624"/>
      <c r="T179" s="260"/>
      <c r="U179" s="624"/>
      <c r="V179" s="85"/>
      <c r="W179" s="624"/>
      <c r="X179" s="81"/>
      <c r="Y179" s="80"/>
      <c r="Z179" s="737">
        <f ca="1">MAX(0%,IF(Q179&lt;&gt;0,MIN((S179-Q179)/Q179/'Underwriting Risk'!$E$27,'Premium and Reserve Risk'!$Z$131),'Premium and Reserve Risk'!$Z$131))</f>
        <v>0.08</v>
      </c>
      <c r="AA179" s="80"/>
      <c r="AB179" s="80"/>
      <c r="AC179" s="737">
        <f ca="1">MAX(0%,IF(U179&lt;&gt;0,MIN((W179-U179)/U179/'Underwriting Risk'!$E$27,'Premium and Reserve Risk'!$AC$131),'Premium and Reserve Risk'!$AC$131))</f>
        <v>0.08</v>
      </c>
      <c r="AD179" s="81"/>
      <c r="AE179" s="97"/>
      <c r="AF179" s="97"/>
      <c r="AG179" s="97"/>
      <c r="AH179" s="97"/>
    </row>
    <row r="180" spans="1:34" ht="13.5" customHeight="1" x14ac:dyDescent="0.25">
      <c r="A180" s="97"/>
      <c r="B180" s="257">
        <v>48</v>
      </c>
      <c r="C180" s="652"/>
      <c r="D180" s="80"/>
      <c r="E180" s="80"/>
      <c r="F180" s="258">
        <f t="shared" ca="1" si="8"/>
        <v>0</v>
      </c>
      <c r="G180" s="624"/>
      <c r="H180" s="85"/>
      <c r="I180" s="624"/>
      <c r="J180" s="85"/>
      <c r="K180" s="624"/>
      <c r="L180" s="85"/>
      <c r="M180" s="624"/>
      <c r="N180" s="85"/>
      <c r="O180" s="624"/>
      <c r="P180" s="85"/>
      <c r="Q180" s="626">
        <f t="shared" si="7"/>
        <v>0</v>
      </c>
      <c r="R180" s="85"/>
      <c r="S180" s="624"/>
      <c r="T180" s="260"/>
      <c r="U180" s="624"/>
      <c r="V180" s="85"/>
      <c r="W180" s="624"/>
      <c r="X180" s="81"/>
      <c r="Y180" s="80"/>
      <c r="Z180" s="737">
        <f ca="1">MAX(0%,IF(Q180&lt;&gt;0,MIN((S180-Q180)/Q180/'Underwriting Risk'!$E$27,'Premium and Reserve Risk'!$Z$131),'Premium and Reserve Risk'!$Z$131))</f>
        <v>0.08</v>
      </c>
      <c r="AA180" s="80"/>
      <c r="AB180" s="80"/>
      <c r="AC180" s="737">
        <f ca="1">MAX(0%,IF(U180&lt;&gt;0,MIN((W180-U180)/U180/'Underwriting Risk'!$E$27,'Premium and Reserve Risk'!$AC$131),'Premium and Reserve Risk'!$AC$131))</f>
        <v>0.08</v>
      </c>
      <c r="AD180" s="81"/>
      <c r="AE180" s="97"/>
      <c r="AF180" s="97"/>
      <c r="AG180" s="97"/>
      <c r="AH180" s="97"/>
    </row>
    <row r="181" spans="1:34" ht="13.5" customHeight="1" x14ac:dyDescent="0.25">
      <c r="A181" s="97"/>
      <c r="B181" s="257">
        <v>49</v>
      </c>
      <c r="C181" s="652"/>
      <c r="D181" s="80"/>
      <c r="E181" s="80"/>
      <c r="F181" s="258">
        <f t="shared" ca="1" si="8"/>
        <v>0</v>
      </c>
      <c r="G181" s="624"/>
      <c r="H181" s="85"/>
      <c r="I181" s="624"/>
      <c r="J181" s="85"/>
      <c r="K181" s="624"/>
      <c r="L181" s="85"/>
      <c r="M181" s="624"/>
      <c r="N181" s="85"/>
      <c r="O181" s="624"/>
      <c r="P181" s="85"/>
      <c r="Q181" s="626">
        <f t="shared" si="7"/>
        <v>0</v>
      </c>
      <c r="R181" s="85"/>
      <c r="S181" s="624"/>
      <c r="T181" s="260"/>
      <c r="U181" s="624"/>
      <c r="V181" s="85"/>
      <c r="W181" s="624"/>
      <c r="X181" s="81"/>
      <c r="Y181" s="80"/>
      <c r="Z181" s="737">
        <f ca="1">MAX(0%,IF(Q181&lt;&gt;0,MIN((S181-Q181)/Q181/'Underwriting Risk'!$E$27,'Premium and Reserve Risk'!$Z$131),'Premium and Reserve Risk'!$Z$131))</f>
        <v>0.08</v>
      </c>
      <c r="AA181" s="80"/>
      <c r="AB181" s="80"/>
      <c r="AC181" s="737">
        <f ca="1">MAX(0%,IF(U181&lt;&gt;0,MIN((W181-U181)/U181/'Underwriting Risk'!$E$27,'Premium and Reserve Risk'!$AC$131),'Premium and Reserve Risk'!$AC$131))</f>
        <v>0.08</v>
      </c>
      <c r="AD181" s="81"/>
      <c r="AE181" s="97"/>
      <c r="AF181" s="97"/>
      <c r="AG181" s="97"/>
      <c r="AH181" s="97"/>
    </row>
    <row r="182" spans="1:34" ht="13.5" customHeight="1" x14ac:dyDescent="0.25">
      <c r="A182" s="97"/>
      <c r="B182" s="257">
        <v>50</v>
      </c>
      <c r="C182" s="652"/>
      <c r="D182" s="80"/>
      <c r="E182" s="80"/>
      <c r="F182" s="258">
        <f t="shared" ca="1" si="8"/>
        <v>0</v>
      </c>
      <c r="G182" s="624"/>
      <c r="H182" s="85"/>
      <c r="I182" s="624"/>
      <c r="J182" s="85"/>
      <c r="K182" s="624"/>
      <c r="L182" s="85"/>
      <c r="M182" s="624"/>
      <c r="N182" s="85"/>
      <c r="O182" s="624"/>
      <c r="P182" s="85"/>
      <c r="Q182" s="626">
        <f t="shared" si="7"/>
        <v>0</v>
      </c>
      <c r="R182" s="85"/>
      <c r="S182" s="624"/>
      <c r="T182" s="260"/>
      <c r="U182" s="624"/>
      <c r="V182" s="85"/>
      <c r="W182" s="624"/>
      <c r="X182" s="81"/>
      <c r="Y182" s="80"/>
      <c r="Z182" s="737">
        <f ca="1">MAX(0%,IF(Q182&lt;&gt;0,MIN((S182-Q182)/Q182/'Underwriting Risk'!$E$27,'Premium and Reserve Risk'!$Z$131),'Premium and Reserve Risk'!$Z$131))</f>
        <v>0.08</v>
      </c>
      <c r="AA182" s="80"/>
      <c r="AB182" s="80"/>
      <c r="AC182" s="737">
        <f ca="1">MAX(0%,IF(U182&lt;&gt;0,MIN((W182-U182)/U182/'Underwriting Risk'!$E$27,'Premium and Reserve Risk'!$AC$131),'Premium and Reserve Risk'!$AC$131))</f>
        <v>0.08</v>
      </c>
      <c r="AD182" s="81"/>
      <c r="AE182" s="97"/>
      <c r="AF182" s="97"/>
      <c r="AG182" s="97"/>
      <c r="AH182" s="97"/>
    </row>
    <row r="183" spans="1:34" ht="13.5" customHeight="1" x14ac:dyDescent="0.25">
      <c r="A183" s="97"/>
      <c r="B183" s="257">
        <v>51</v>
      </c>
      <c r="C183" s="652"/>
      <c r="D183" s="80"/>
      <c r="E183" s="80"/>
      <c r="F183" s="258">
        <f t="shared" ca="1" si="8"/>
        <v>0</v>
      </c>
      <c r="G183" s="624"/>
      <c r="H183" s="85"/>
      <c r="I183" s="624"/>
      <c r="J183" s="85"/>
      <c r="K183" s="624"/>
      <c r="L183" s="85"/>
      <c r="M183" s="624"/>
      <c r="N183" s="85"/>
      <c r="O183" s="624"/>
      <c r="P183" s="85"/>
      <c r="Q183" s="626">
        <f t="shared" si="7"/>
        <v>0</v>
      </c>
      <c r="R183" s="85"/>
      <c r="S183" s="624"/>
      <c r="T183" s="260"/>
      <c r="U183" s="624"/>
      <c r="V183" s="85"/>
      <c r="W183" s="624"/>
      <c r="X183" s="81"/>
      <c r="Y183" s="80"/>
      <c r="Z183" s="737">
        <f ca="1">MAX(0%,IF(Q183&lt;&gt;0,MIN((S183-Q183)/Q183/'Underwriting Risk'!$E$27,'Premium and Reserve Risk'!$Z$131),'Premium and Reserve Risk'!$Z$131))</f>
        <v>0.08</v>
      </c>
      <c r="AA183" s="80"/>
      <c r="AB183" s="80"/>
      <c r="AC183" s="737">
        <f ca="1">MAX(0%,IF(U183&lt;&gt;0,MIN((W183-U183)/U183/'Underwriting Risk'!$E$27,'Premium and Reserve Risk'!$AC$131),'Premium and Reserve Risk'!$AC$131))</f>
        <v>0.08</v>
      </c>
      <c r="AD183" s="81"/>
      <c r="AE183" s="97"/>
      <c r="AF183" s="97"/>
      <c r="AG183" s="97"/>
      <c r="AH183" s="97"/>
    </row>
    <row r="184" spans="1:34" ht="13.5" customHeight="1" x14ac:dyDescent="0.25">
      <c r="A184" s="97"/>
      <c r="B184" s="257">
        <v>52</v>
      </c>
      <c r="C184" s="652"/>
      <c r="D184" s="80"/>
      <c r="E184" s="80"/>
      <c r="F184" s="258">
        <f t="shared" ca="1" si="8"/>
        <v>0</v>
      </c>
      <c r="G184" s="624"/>
      <c r="H184" s="85"/>
      <c r="I184" s="624"/>
      <c r="J184" s="85"/>
      <c r="K184" s="624"/>
      <c r="L184" s="85"/>
      <c r="M184" s="624"/>
      <c r="N184" s="85"/>
      <c r="O184" s="624"/>
      <c r="P184" s="85"/>
      <c r="Q184" s="626">
        <f t="shared" si="7"/>
        <v>0</v>
      </c>
      <c r="R184" s="85"/>
      <c r="S184" s="624"/>
      <c r="T184" s="260"/>
      <c r="U184" s="624"/>
      <c r="V184" s="85"/>
      <c r="W184" s="624"/>
      <c r="X184" s="81"/>
      <c r="Y184" s="80"/>
      <c r="Z184" s="737">
        <f ca="1">MAX(0%,IF(Q184&lt;&gt;0,MIN((S184-Q184)/Q184/'Underwriting Risk'!$E$27,'Premium and Reserve Risk'!$Z$131),'Premium and Reserve Risk'!$Z$131))</f>
        <v>0.08</v>
      </c>
      <c r="AA184" s="80"/>
      <c r="AB184" s="80"/>
      <c r="AC184" s="737">
        <f ca="1">MAX(0%,IF(U184&lt;&gt;0,MIN((W184-U184)/U184/'Underwriting Risk'!$E$27,'Premium and Reserve Risk'!$AC$131),'Premium and Reserve Risk'!$AC$131))</f>
        <v>0.08</v>
      </c>
      <c r="AD184" s="81"/>
      <c r="AE184" s="97"/>
      <c r="AF184" s="97"/>
      <c r="AG184" s="97"/>
      <c r="AH184" s="97"/>
    </row>
    <row r="185" spans="1:34" ht="13.5" customHeight="1" x14ac:dyDescent="0.25">
      <c r="A185" s="97"/>
      <c r="B185" s="257">
        <v>53</v>
      </c>
      <c r="C185" s="652"/>
      <c r="D185" s="80"/>
      <c r="E185" s="80"/>
      <c r="F185" s="258">
        <f t="shared" ca="1" si="8"/>
        <v>0</v>
      </c>
      <c r="G185" s="624"/>
      <c r="H185" s="85"/>
      <c r="I185" s="624"/>
      <c r="J185" s="85"/>
      <c r="K185" s="624"/>
      <c r="L185" s="85"/>
      <c r="M185" s="624"/>
      <c r="N185" s="85"/>
      <c r="O185" s="624"/>
      <c r="P185" s="85"/>
      <c r="Q185" s="626">
        <f t="shared" si="7"/>
        <v>0</v>
      </c>
      <c r="R185" s="85"/>
      <c r="S185" s="624"/>
      <c r="T185" s="260"/>
      <c r="U185" s="624"/>
      <c r="V185" s="85"/>
      <c r="W185" s="624"/>
      <c r="X185" s="81"/>
      <c r="Y185" s="80"/>
      <c r="Z185" s="737">
        <f ca="1">MAX(0%,IF(Q185&lt;&gt;0,MIN((S185-Q185)/Q185/'Underwriting Risk'!$E$27,'Premium and Reserve Risk'!$Z$131),'Premium and Reserve Risk'!$Z$131))</f>
        <v>0.08</v>
      </c>
      <c r="AA185" s="80"/>
      <c r="AB185" s="80"/>
      <c r="AC185" s="737">
        <f ca="1">MAX(0%,IF(U185&lt;&gt;0,MIN((W185-U185)/U185/'Underwriting Risk'!$E$27,'Premium and Reserve Risk'!$AC$131),'Premium and Reserve Risk'!$AC$131))</f>
        <v>0.08</v>
      </c>
      <c r="AD185" s="81"/>
      <c r="AE185" s="97"/>
      <c r="AF185" s="97"/>
      <c r="AG185" s="97"/>
      <c r="AH185" s="97"/>
    </row>
    <row r="186" spans="1:34" ht="13.5" customHeight="1" x14ac:dyDescent="0.25">
      <c r="A186" s="97"/>
      <c r="B186" s="257">
        <v>54</v>
      </c>
      <c r="C186" s="652"/>
      <c r="D186" s="80"/>
      <c r="E186" s="80"/>
      <c r="F186" s="258">
        <f t="shared" ca="1" si="8"/>
        <v>0</v>
      </c>
      <c r="G186" s="624"/>
      <c r="H186" s="85"/>
      <c r="I186" s="624"/>
      <c r="J186" s="85"/>
      <c r="K186" s="624"/>
      <c r="L186" s="85"/>
      <c r="M186" s="624"/>
      <c r="N186" s="85"/>
      <c r="O186" s="624"/>
      <c r="P186" s="85"/>
      <c r="Q186" s="626">
        <f t="shared" si="7"/>
        <v>0</v>
      </c>
      <c r="R186" s="85"/>
      <c r="S186" s="624"/>
      <c r="T186" s="260"/>
      <c r="U186" s="624"/>
      <c r="V186" s="85"/>
      <c r="W186" s="624"/>
      <c r="X186" s="81"/>
      <c r="Y186" s="80"/>
      <c r="Z186" s="737">
        <f ca="1">MAX(0%,IF(Q186&lt;&gt;0,MIN((S186-Q186)/Q186/'Underwriting Risk'!$E$27,'Premium and Reserve Risk'!$Z$131),'Premium and Reserve Risk'!$Z$131))</f>
        <v>0.08</v>
      </c>
      <c r="AA186" s="80"/>
      <c r="AB186" s="80"/>
      <c r="AC186" s="737">
        <f ca="1">MAX(0%,IF(U186&lt;&gt;0,MIN((W186-U186)/U186/'Underwriting Risk'!$E$27,'Premium and Reserve Risk'!$AC$131),'Premium and Reserve Risk'!$AC$131))</f>
        <v>0.08</v>
      </c>
      <c r="AD186" s="81"/>
      <c r="AE186" s="97"/>
      <c r="AF186" s="97"/>
      <c r="AG186" s="97"/>
      <c r="AH186" s="97"/>
    </row>
    <row r="187" spans="1:34" ht="13.5" customHeight="1" x14ac:dyDescent="0.25">
      <c r="A187" s="97"/>
      <c r="B187" s="257">
        <v>55</v>
      </c>
      <c r="C187" s="652"/>
      <c r="D187" s="80"/>
      <c r="E187" s="80"/>
      <c r="F187" s="258">
        <f t="shared" ca="1" si="8"/>
        <v>0</v>
      </c>
      <c r="G187" s="624"/>
      <c r="H187" s="85"/>
      <c r="I187" s="624"/>
      <c r="J187" s="85"/>
      <c r="K187" s="624"/>
      <c r="L187" s="85"/>
      <c r="M187" s="624"/>
      <c r="N187" s="85"/>
      <c r="O187" s="624"/>
      <c r="P187" s="85"/>
      <c r="Q187" s="626">
        <f t="shared" si="7"/>
        <v>0</v>
      </c>
      <c r="R187" s="85"/>
      <c r="S187" s="624"/>
      <c r="T187" s="260"/>
      <c r="U187" s="624"/>
      <c r="V187" s="85"/>
      <c r="W187" s="624"/>
      <c r="X187" s="81"/>
      <c r="Y187" s="80"/>
      <c r="Z187" s="737">
        <f ca="1">MAX(0%,IF(Q187&lt;&gt;0,MIN((S187-Q187)/Q187/'Underwriting Risk'!$E$27,'Premium and Reserve Risk'!$Z$131),'Premium and Reserve Risk'!$Z$131))</f>
        <v>0.08</v>
      </c>
      <c r="AA187" s="80"/>
      <c r="AB187" s="80"/>
      <c r="AC187" s="737">
        <f ca="1">MAX(0%,IF(U187&lt;&gt;0,MIN((W187-U187)/U187/'Underwriting Risk'!$E$27,'Premium and Reserve Risk'!$AC$131),'Premium and Reserve Risk'!$AC$131))</f>
        <v>0.08</v>
      </c>
      <c r="AD187" s="81"/>
      <c r="AE187" s="97"/>
      <c r="AF187" s="97"/>
      <c r="AG187" s="97"/>
      <c r="AH187" s="97"/>
    </row>
    <row r="188" spans="1:34" ht="13.5" customHeight="1" x14ac:dyDescent="0.25">
      <c r="A188" s="97"/>
      <c r="B188" s="257">
        <v>56</v>
      </c>
      <c r="C188" s="652"/>
      <c r="D188" s="80"/>
      <c r="E188" s="80"/>
      <c r="F188" s="258">
        <f t="shared" ca="1" si="8"/>
        <v>0</v>
      </c>
      <c r="G188" s="624"/>
      <c r="H188" s="85"/>
      <c r="I188" s="624"/>
      <c r="J188" s="85"/>
      <c r="K188" s="624"/>
      <c r="L188" s="85"/>
      <c r="M188" s="624"/>
      <c r="N188" s="85"/>
      <c r="O188" s="624"/>
      <c r="P188" s="85"/>
      <c r="Q188" s="626">
        <f t="shared" si="7"/>
        <v>0</v>
      </c>
      <c r="R188" s="85"/>
      <c r="S188" s="624"/>
      <c r="T188" s="260"/>
      <c r="U188" s="624"/>
      <c r="V188" s="85"/>
      <c r="W188" s="624"/>
      <c r="X188" s="81"/>
      <c r="Y188" s="80"/>
      <c r="Z188" s="737">
        <f ca="1">MAX(0%,IF(Q188&lt;&gt;0,MIN((S188-Q188)/Q188/'Underwriting Risk'!$E$27,'Premium and Reserve Risk'!$Z$131),'Premium and Reserve Risk'!$Z$131))</f>
        <v>0.08</v>
      </c>
      <c r="AA188" s="80"/>
      <c r="AB188" s="80"/>
      <c r="AC188" s="737">
        <f ca="1">MAX(0%,IF(U188&lt;&gt;0,MIN((W188-U188)/U188/'Underwriting Risk'!$E$27,'Premium and Reserve Risk'!$AC$131),'Premium and Reserve Risk'!$AC$131))</f>
        <v>0.08</v>
      </c>
      <c r="AD188" s="81"/>
      <c r="AE188" s="97"/>
      <c r="AF188" s="97"/>
      <c r="AG188" s="97"/>
      <c r="AH188" s="97"/>
    </row>
    <row r="189" spans="1:34" ht="13.5" customHeight="1" x14ac:dyDescent="0.25">
      <c r="A189" s="97"/>
      <c r="B189" s="257">
        <v>57</v>
      </c>
      <c r="C189" s="652"/>
      <c r="D189" s="80"/>
      <c r="E189" s="80"/>
      <c r="F189" s="258">
        <f t="shared" ca="1" si="8"/>
        <v>0</v>
      </c>
      <c r="G189" s="624"/>
      <c r="H189" s="85"/>
      <c r="I189" s="624"/>
      <c r="J189" s="85"/>
      <c r="K189" s="624"/>
      <c r="L189" s="85"/>
      <c r="M189" s="624"/>
      <c r="N189" s="85"/>
      <c r="O189" s="624"/>
      <c r="P189" s="85"/>
      <c r="Q189" s="626">
        <f t="shared" si="7"/>
        <v>0</v>
      </c>
      <c r="R189" s="85"/>
      <c r="S189" s="624"/>
      <c r="T189" s="260"/>
      <c r="U189" s="624"/>
      <c r="V189" s="85"/>
      <c r="W189" s="624"/>
      <c r="X189" s="81"/>
      <c r="Y189" s="80"/>
      <c r="Z189" s="737">
        <f ca="1">MAX(0%,IF(Q189&lt;&gt;0,MIN((S189-Q189)/Q189/'Underwriting Risk'!$E$27,'Premium and Reserve Risk'!$Z$131),'Premium and Reserve Risk'!$Z$131))</f>
        <v>0.08</v>
      </c>
      <c r="AA189" s="80"/>
      <c r="AB189" s="80"/>
      <c r="AC189" s="737">
        <f ca="1">MAX(0%,IF(U189&lt;&gt;0,MIN((W189-U189)/U189/'Underwriting Risk'!$E$27,'Premium and Reserve Risk'!$AC$131),'Premium and Reserve Risk'!$AC$131))</f>
        <v>0.08</v>
      </c>
      <c r="AD189" s="81"/>
      <c r="AE189" s="97"/>
      <c r="AF189" s="97"/>
      <c r="AG189" s="97"/>
      <c r="AH189" s="97"/>
    </row>
    <row r="190" spans="1:34" ht="13.5" customHeight="1" x14ac:dyDescent="0.25">
      <c r="A190" s="97"/>
      <c r="B190" s="257">
        <v>58</v>
      </c>
      <c r="C190" s="652"/>
      <c r="D190" s="80"/>
      <c r="E190" s="80"/>
      <c r="F190" s="258">
        <f t="shared" ca="1" si="8"/>
        <v>0</v>
      </c>
      <c r="G190" s="624"/>
      <c r="H190" s="85"/>
      <c r="I190" s="624"/>
      <c r="J190" s="85"/>
      <c r="K190" s="624"/>
      <c r="L190" s="85"/>
      <c r="M190" s="624"/>
      <c r="N190" s="85"/>
      <c r="O190" s="624"/>
      <c r="P190" s="85"/>
      <c r="Q190" s="626">
        <f t="shared" si="7"/>
        <v>0</v>
      </c>
      <c r="R190" s="85"/>
      <c r="S190" s="624"/>
      <c r="T190" s="260"/>
      <c r="U190" s="624"/>
      <c r="V190" s="85"/>
      <c r="W190" s="624"/>
      <c r="X190" s="81"/>
      <c r="Y190" s="80"/>
      <c r="Z190" s="737">
        <f ca="1">MAX(0%,IF(Q190&lt;&gt;0,MIN((S190-Q190)/Q190/'Underwriting Risk'!$E$27,'Premium and Reserve Risk'!$Z$131),'Premium and Reserve Risk'!$Z$131))</f>
        <v>0.08</v>
      </c>
      <c r="AA190" s="80"/>
      <c r="AB190" s="80"/>
      <c r="AC190" s="737">
        <f ca="1">MAX(0%,IF(U190&lt;&gt;0,MIN((W190-U190)/U190/'Underwriting Risk'!$E$27,'Premium and Reserve Risk'!$AC$131),'Premium and Reserve Risk'!$AC$131))</f>
        <v>0.08</v>
      </c>
      <c r="AD190" s="81"/>
      <c r="AE190" s="97"/>
      <c r="AF190" s="97"/>
      <c r="AG190" s="97"/>
      <c r="AH190" s="97"/>
    </row>
    <row r="191" spans="1:34" ht="13.5" customHeight="1" x14ac:dyDescent="0.25">
      <c r="A191" s="97"/>
      <c r="B191" s="257">
        <v>59</v>
      </c>
      <c r="C191" s="652"/>
      <c r="D191" s="80"/>
      <c r="E191" s="80"/>
      <c r="F191" s="258">
        <f t="shared" ca="1" si="8"/>
        <v>0</v>
      </c>
      <c r="G191" s="624"/>
      <c r="H191" s="85"/>
      <c r="I191" s="624"/>
      <c r="J191" s="85"/>
      <c r="K191" s="624"/>
      <c r="L191" s="85"/>
      <c r="M191" s="624"/>
      <c r="N191" s="85"/>
      <c r="O191" s="624"/>
      <c r="P191" s="85"/>
      <c r="Q191" s="626">
        <f t="shared" si="7"/>
        <v>0</v>
      </c>
      <c r="R191" s="85"/>
      <c r="S191" s="624"/>
      <c r="T191" s="260"/>
      <c r="U191" s="624"/>
      <c r="V191" s="85"/>
      <c r="W191" s="624"/>
      <c r="X191" s="81"/>
      <c r="Y191" s="80"/>
      <c r="Z191" s="737">
        <f ca="1">MAX(0%,IF(Q191&lt;&gt;0,MIN((S191-Q191)/Q191/'Underwriting Risk'!$E$27,'Premium and Reserve Risk'!$Z$131),'Premium and Reserve Risk'!$Z$131))</f>
        <v>0.08</v>
      </c>
      <c r="AA191" s="80"/>
      <c r="AB191" s="80"/>
      <c r="AC191" s="737">
        <f ca="1">MAX(0%,IF(U191&lt;&gt;0,MIN((W191-U191)/U191/'Underwriting Risk'!$E$27,'Premium and Reserve Risk'!$AC$131),'Premium and Reserve Risk'!$AC$131))</f>
        <v>0.08</v>
      </c>
      <c r="AD191" s="81"/>
      <c r="AE191" s="97"/>
      <c r="AF191" s="97"/>
      <c r="AG191" s="97"/>
      <c r="AH191" s="97"/>
    </row>
    <row r="192" spans="1:34" ht="13.5" customHeight="1" x14ac:dyDescent="0.25">
      <c r="A192" s="97"/>
      <c r="B192" s="257">
        <v>60</v>
      </c>
      <c r="C192" s="652"/>
      <c r="D192" s="80"/>
      <c r="E192" s="80"/>
      <c r="F192" s="258">
        <f t="shared" ca="1" si="8"/>
        <v>0</v>
      </c>
      <c r="G192" s="624"/>
      <c r="H192" s="85"/>
      <c r="I192" s="624"/>
      <c r="J192" s="85"/>
      <c r="K192" s="624"/>
      <c r="L192" s="85"/>
      <c r="M192" s="624"/>
      <c r="N192" s="85"/>
      <c r="O192" s="624"/>
      <c r="P192" s="85"/>
      <c r="Q192" s="626">
        <f t="shared" si="7"/>
        <v>0</v>
      </c>
      <c r="R192" s="85"/>
      <c r="S192" s="624"/>
      <c r="T192" s="260"/>
      <c r="U192" s="624"/>
      <c r="V192" s="85"/>
      <c r="W192" s="624"/>
      <c r="X192" s="81"/>
      <c r="Y192" s="80"/>
      <c r="Z192" s="737">
        <f ca="1">MAX(0%,IF(Q192&lt;&gt;0,MIN((S192-Q192)/Q192/'Underwriting Risk'!$E$27,'Premium and Reserve Risk'!$Z$131),'Premium and Reserve Risk'!$Z$131))</f>
        <v>0.08</v>
      </c>
      <c r="AA192" s="80"/>
      <c r="AB192" s="80"/>
      <c r="AC192" s="737">
        <f ca="1">MAX(0%,IF(U192&lt;&gt;0,MIN((W192-U192)/U192/'Underwriting Risk'!$E$27,'Premium and Reserve Risk'!$AC$131),'Premium and Reserve Risk'!$AC$131))</f>
        <v>0.08</v>
      </c>
      <c r="AD192" s="81"/>
      <c r="AE192" s="97"/>
      <c r="AF192" s="97"/>
      <c r="AG192" s="97"/>
      <c r="AH192" s="97"/>
    </row>
    <row r="193" spans="1:34" ht="13.5" customHeight="1" x14ac:dyDescent="0.25">
      <c r="A193" s="97"/>
      <c r="B193" s="257">
        <v>61</v>
      </c>
      <c r="C193" s="652"/>
      <c r="D193" s="80"/>
      <c r="E193" s="80"/>
      <c r="F193" s="258">
        <f t="shared" ca="1" si="8"/>
        <v>0</v>
      </c>
      <c r="G193" s="624"/>
      <c r="H193" s="85"/>
      <c r="I193" s="624"/>
      <c r="J193" s="85"/>
      <c r="K193" s="624"/>
      <c r="L193" s="85"/>
      <c r="M193" s="624"/>
      <c r="N193" s="85"/>
      <c r="O193" s="624"/>
      <c r="P193" s="85"/>
      <c r="Q193" s="626">
        <f t="shared" si="7"/>
        <v>0</v>
      </c>
      <c r="R193" s="85"/>
      <c r="S193" s="624"/>
      <c r="T193" s="260"/>
      <c r="U193" s="624"/>
      <c r="V193" s="85"/>
      <c r="W193" s="624"/>
      <c r="X193" s="81"/>
      <c r="Y193" s="80"/>
      <c r="Z193" s="737">
        <f ca="1">MAX(0%,IF(Q193&lt;&gt;0,MIN((S193-Q193)/Q193/'Underwriting Risk'!$E$27,'Premium and Reserve Risk'!$Z$131),'Premium and Reserve Risk'!$Z$131))</f>
        <v>0.08</v>
      </c>
      <c r="AA193" s="80"/>
      <c r="AB193" s="80"/>
      <c r="AC193" s="737">
        <f ca="1">MAX(0%,IF(U193&lt;&gt;0,MIN((W193-U193)/U193/'Underwriting Risk'!$E$27,'Premium and Reserve Risk'!$AC$131),'Premium and Reserve Risk'!$AC$131))</f>
        <v>0.08</v>
      </c>
      <c r="AD193" s="81"/>
      <c r="AE193" s="97"/>
      <c r="AF193" s="97"/>
      <c r="AG193" s="97"/>
      <c r="AH193" s="97"/>
    </row>
    <row r="194" spans="1:34" ht="13.5" customHeight="1" x14ac:dyDescent="0.25">
      <c r="A194" s="97"/>
      <c r="B194" s="257">
        <v>62</v>
      </c>
      <c r="C194" s="652"/>
      <c r="D194" s="80"/>
      <c r="E194" s="80"/>
      <c r="F194" s="258">
        <f t="shared" ca="1" si="8"/>
        <v>0</v>
      </c>
      <c r="G194" s="624"/>
      <c r="H194" s="85"/>
      <c r="I194" s="624"/>
      <c r="J194" s="85"/>
      <c r="K194" s="624"/>
      <c r="L194" s="85"/>
      <c r="M194" s="624"/>
      <c r="N194" s="85"/>
      <c r="O194" s="624"/>
      <c r="P194" s="85"/>
      <c r="Q194" s="626">
        <f t="shared" si="7"/>
        <v>0</v>
      </c>
      <c r="R194" s="85"/>
      <c r="S194" s="624"/>
      <c r="T194" s="260"/>
      <c r="U194" s="624"/>
      <c r="V194" s="85"/>
      <c r="W194" s="624"/>
      <c r="X194" s="81"/>
      <c r="Y194" s="80"/>
      <c r="Z194" s="737">
        <f ca="1">MAX(0%,IF(Q194&lt;&gt;0,MIN((S194-Q194)/Q194/'Underwriting Risk'!$E$27,'Premium and Reserve Risk'!$Z$131),'Premium and Reserve Risk'!$Z$131))</f>
        <v>0.08</v>
      </c>
      <c r="AA194" s="80"/>
      <c r="AB194" s="80"/>
      <c r="AC194" s="737">
        <f ca="1">MAX(0%,IF(U194&lt;&gt;0,MIN((W194-U194)/U194/'Underwriting Risk'!$E$27,'Premium and Reserve Risk'!$AC$131),'Premium and Reserve Risk'!$AC$131))</f>
        <v>0.08</v>
      </c>
      <c r="AD194" s="81"/>
      <c r="AE194" s="97"/>
      <c r="AF194" s="97"/>
      <c r="AG194" s="97"/>
      <c r="AH194" s="97"/>
    </row>
    <row r="195" spans="1:34" ht="13.5" customHeight="1" x14ac:dyDescent="0.25">
      <c r="A195" s="97"/>
      <c r="B195" s="257">
        <v>63</v>
      </c>
      <c r="C195" s="652"/>
      <c r="D195" s="80"/>
      <c r="E195" s="80"/>
      <c r="F195" s="258">
        <f t="shared" ca="1" si="8"/>
        <v>0</v>
      </c>
      <c r="G195" s="624"/>
      <c r="H195" s="85"/>
      <c r="I195" s="624"/>
      <c r="J195" s="85"/>
      <c r="K195" s="624"/>
      <c r="L195" s="85"/>
      <c r="M195" s="624"/>
      <c r="N195" s="85"/>
      <c r="O195" s="624"/>
      <c r="P195" s="85"/>
      <c r="Q195" s="626">
        <f t="shared" si="7"/>
        <v>0</v>
      </c>
      <c r="R195" s="85"/>
      <c r="S195" s="624"/>
      <c r="T195" s="260"/>
      <c r="U195" s="624"/>
      <c r="V195" s="85"/>
      <c r="W195" s="624"/>
      <c r="X195" s="81"/>
      <c r="Y195" s="80"/>
      <c r="Z195" s="737">
        <f ca="1">MAX(0%,IF(Q195&lt;&gt;0,MIN((S195-Q195)/Q195/'Underwriting Risk'!$E$27,'Premium and Reserve Risk'!$Z$131),'Premium and Reserve Risk'!$Z$131))</f>
        <v>0.08</v>
      </c>
      <c r="AA195" s="80"/>
      <c r="AB195" s="80"/>
      <c r="AC195" s="737">
        <f ca="1">MAX(0%,IF(U195&lt;&gt;0,MIN((W195-U195)/U195/'Underwriting Risk'!$E$27,'Premium and Reserve Risk'!$AC$131),'Premium and Reserve Risk'!$AC$131))</f>
        <v>0.08</v>
      </c>
      <c r="AD195" s="81"/>
      <c r="AE195" s="97"/>
      <c r="AF195" s="97"/>
      <c r="AG195" s="97"/>
      <c r="AH195" s="97"/>
    </row>
    <row r="196" spans="1:34" ht="13.5" customHeight="1" x14ac:dyDescent="0.25">
      <c r="A196" s="97"/>
      <c r="B196" s="257">
        <v>64</v>
      </c>
      <c r="C196" s="652"/>
      <c r="D196" s="80"/>
      <c r="E196" s="80"/>
      <c r="F196" s="258">
        <f t="shared" ca="1" si="8"/>
        <v>0</v>
      </c>
      <c r="G196" s="624"/>
      <c r="H196" s="85"/>
      <c r="I196" s="624"/>
      <c r="J196" s="85"/>
      <c r="K196" s="624"/>
      <c r="L196" s="85"/>
      <c r="M196" s="624"/>
      <c r="N196" s="85"/>
      <c r="O196" s="624"/>
      <c r="P196" s="85"/>
      <c r="Q196" s="626">
        <f t="shared" si="7"/>
        <v>0</v>
      </c>
      <c r="R196" s="85"/>
      <c r="S196" s="624"/>
      <c r="T196" s="260"/>
      <c r="U196" s="624"/>
      <c r="V196" s="85"/>
      <c r="W196" s="624"/>
      <c r="X196" s="81"/>
      <c r="Y196" s="80"/>
      <c r="Z196" s="737">
        <f ca="1">MAX(0%,IF(Q196&lt;&gt;0,MIN((S196-Q196)/Q196/'Underwriting Risk'!$E$27,'Premium and Reserve Risk'!$Z$131),'Premium and Reserve Risk'!$Z$131))</f>
        <v>0.08</v>
      </c>
      <c r="AA196" s="80"/>
      <c r="AB196" s="80"/>
      <c r="AC196" s="737">
        <f ca="1">MAX(0%,IF(U196&lt;&gt;0,MIN((W196-U196)/U196/'Underwriting Risk'!$E$27,'Premium and Reserve Risk'!$AC$131),'Premium and Reserve Risk'!$AC$131))</f>
        <v>0.08</v>
      </c>
      <c r="AD196" s="81"/>
      <c r="AE196" s="97"/>
      <c r="AF196" s="97"/>
      <c r="AG196" s="97"/>
      <c r="AH196" s="97"/>
    </row>
    <row r="197" spans="1:34" ht="13.5" customHeight="1" x14ac:dyDescent="0.25">
      <c r="A197" s="97"/>
      <c r="B197" s="257">
        <v>65</v>
      </c>
      <c r="C197" s="652"/>
      <c r="D197" s="80"/>
      <c r="E197" s="80"/>
      <c r="F197" s="258">
        <f t="shared" ca="1" si="8"/>
        <v>0</v>
      </c>
      <c r="G197" s="624"/>
      <c r="H197" s="85"/>
      <c r="I197" s="624"/>
      <c r="J197" s="85"/>
      <c r="K197" s="624"/>
      <c r="L197" s="85"/>
      <c r="M197" s="624"/>
      <c r="N197" s="85"/>
      <c r="O197" s="624"/>
      <c r="P197" s="85"/>
      <c r="Q197" s="626">
        <f t="shared" si="7"/>
        <v>0</v>
      </c>
      <c r="R197" s="85"/>
      <c r="S197" s="624"/>
      <c r="T197" s="260"/>
      <c r="U197" s="624"/>
      <c r="V197" s="85"/>
      <c r="W197" s="624"/>
      <c r="X197" s="81"/>
      <c r="Y197" s="80"/>
      <c r="Z197" s="737">
        <f ca="1">MAX(0%,IF(Q197&lt;&gt;0,MIN((S197-Q197)/Q197/'Underwriting Risk'!$E$27,'Premium and Reserve Risk'!$Z$131),'Premium and Reserve Risk'!$Z$131))</f>
        <v>0.08</v>
      </c>
      <c r="AA197" s="80"/>
      <c r="AB197" s="80"/>
      <c r="AC197" s="737">
        <f ca="1">MAX(0%,IF(U197&lt;&gt;0,MIN((W197-U197)/U197/'Underwriting Risk'!$E$27,'Premium and Reserve Risk'!$AC$131),'Premium and Reserve Risk'!$AC$131))</f>
        <v>0.08</v>
      </c>
      <c r="AD197" s="81"/>
      <c r="AE197" s="97"/>
      <c r="AF197" s="97"/>
      <c r="AG197" s="97"/>
      <c r="AH197" s="97"/>
    </row>
    <row r="198" spans="1:34" ht="13.5" customHeight="1" x14ac:dyDescent="0.25">
      <c r="A198" s="97"/>
      <c r="B198" s="257">
        <v>66</v>
      </c>
      <c r="C198" s="652"/>
      <c r="D198" s="80"/>
      <c r="E198" s="80"/>
      <c r="F198" s="258">
        <f t="shared" ref="F198:F232" ca="1" si="9">IF(B198&lt;=OFFSET($Z$8,B$130-1,0),0,1)</f>
        <v>0</v>
      </c>
      <c r="G198" s="624"/>
      <c r="H198" s="85"/>
      <c r="I198" s="624"/>
      <c r="J198" s="85"/>
      <c r="K198" s="624"/>
      <c r="L198" s="85"/>
      <c r="M198" s="624"/>
      <c r="N198" s="85"/>
      <c r="O198" s="624"/>
      <c r="P198" s="85"/>
      <c r="Q198" s="626">
        <f t="shared" si="7"/>
        <v>0</v>
      </c>
      <c r="R198" s="85"/>
      <c r="S198" s="624"/>
      <c r="T198" s="260"/>
      <c r="U198" s="624"/>
      <c r="V198" s="85"/>
      <c r="W198" s="624"/>
      <c r="X198" s="81"/>
      <c r="Y198" s="80"/>
      <c r="Z198" s="737">
        <f ca="1">MAX(0%,IF(Q198&lt;&gt;0,MIN((S198-Q198)/Q198/'Underwriting Risk'!$E$27,'Premium and Reserve Risk'!$Z$131),'Premium and Reserve Risk'!$Z$131))</f>
        <v>0.08</v>
      </c>
      <c r="AA198" s="80"/>
      <c r="AB198" s="80"/>
      <c r="AC198" s="737">
        <f ca="1">MAX(0%,IF(U198&lt;&gt;0,MIN((W198-U198)/U198/'Underwriting Risk'!$E$27,'Premium and Reserve Risk'!$AC$131),'Premium and Reserve Risk'!$AC$131))</f>
        <v>0.08</v>
      </c>
      <c r="AD198" s="81"/>
      <c r="AE198" s="97"/>
      <c r="AF198" s="97"/>
      <c r="AG198" s="97"/>
      <c r="AH198" s="97"/>
    </row>
    <row r="199" spans="1:34" ht="13.5" customHeight="1" x14ac:dyDescent="0.25">
      <c r="A199" s="97"/>
      <c r="B199" s="257">
        <v>67</v>
      </c>
      <c r="C199" s="652"/>
      <c r="D199" s="80"/>
      <c r="E199" s="80"/>
      <c r="F199" s="258">
        <f t="shared" ca="1" si="9"/>
        <v>0</v>
      </c>
      <c r="G199" s="624"/>
      <c r="H199" s="85"/>
      <c r="I199" s="624"/>
      <c r="J199" s="85"/>
      <c r="K199" s="624"/>
      <c r="L199" s="85"/>
      <c r="M199" s="624"/>
      <c r="N199" s="85"/>
      <c r="O199" s="624"/>
      <c r="P199" s="85"/>
      <c r="Q199" s="626">
        <f t="shared" si="7"/>
        <v>0</v>
      </c>
      <c r="R199" s="85"/>
      <c r="S199" s="624"/>
      <c r="T199" s="260"/>
      <c r="U199" s="624"/>
      <c r="V199" s="85"/>
      <c r="W199" s="624"/>
      <c r="X199" s="81"/>
      <c r="Y199" s="80"/>
      <c r="Z199" s="737">
        <f ca="1">MAX(0%,IF(Q199&lt;&gt;0,MIN((S199-Q199)/Q199/'Underwriting Risk'!$E$27,'Premium and Reserve Risk'!$Z$131),'Premium and Reserve Risk'!$Z$131))</f>
        <v>0.08</v>
      </c>
      <c r="AA199" s="80"/>
      <c r="AB199" s="80"/>
      <c r="AC199" s="737">
        <f ca="1">MAX(0%,IF(U199&lt;&gt;0,MIN((W199-U199)/U199/'Underwriting Risk'!$E$27,'Premium and Reserve Risk'!$AC$131),'Premium and Reserve Risk'!$AC$131))</f>
        <v>0.08</v>
      </c>
      <c r="AD199" s="81"/>
      <c r="AE199" s="97"/>
      <c r="AF199" s="97"/>
      <c r="AG199" s="97"/>
      <c r="AH199" s="97"/>
    </row>
    <row r="200" spans="1:34" ht="13.5" customHeight="1" x14ac:dyDescent="0.25">
      <c r="A200" s="97"/>
      <c r="B200" s="257">
        <v>68</v>
      </c>
      <c r="C200" s="652"/>
      <c r="D200" s="80"/>
      <c r="E200" s="80"/>
      <c r="F200" s="258">
        <f t="shared" ca="1" si="9"/>
        <v>0</v>
      </c>
      <c r="G200" s="624"/>
      <c r="H200" s="85"/>
      <c r="I200" s="624"/>
      <c r="J200" s="85"/>
      <c r="K200" s="624"/>
      <c r="L200" s="85"/>
      <c r="M200" s="624"/>
      <c r="N200" s="85"/>
      <c r="O200" s="624"/>
      <c r="P200" s="85"/>
      <c r="Q200" s="626">
        <f t="shared" si="7"/>
        <v>0</v>
      </c>
      <c r="R200" s="85"/>
      <c r="S200" s="624"/>
      <c r="T200" s="260"/>
      <c r="U200" s="624"/>
      <c r="V200" s="85"/>
      <c r="W200" s="624"/>
      <c r="X200" s="81"/>
      <c r="Y200" s="80"/>
      <c r="Z200" s="737">
        <f ca="1">MAX(0%,IF(Q200&lt;&gt;0,MIN((S200-Q200)/Q200/'Underwriting Risk'!$E$27,'Premium and Reserve Risk'!$Z$131),'Premium and Reserve Risk'!$Z$131))</f>
        <v>0.08</v>
      </c>
      <c r="AA200" s="80"/>
      <c r="AB200" s="80"/>
      <c r="AC200" s="737">
        <f ca="1">MAX(0%,IF(U200&lt;&gt;0,MIN((W200-U200)/U200/'Underwriting Risk'!$E$27,'Premium and Reserve Risk'!$AC$131),'Premium and Reserve Risk'!$AC$131))</f>
        <v>0.08</v>
      </c>
      <c r="AD200" s="81"/>
      <c r="AE200" s="97"/>
      <c r="AF200" s="97"/>
      <c r="AG200" s="97"/>
      <c r="AH200" s="97"/>
    </row>
    <row r="201" spans="1:34" ht="13.5" customHeight="1" x14ac:dyDescent="0.25">
      <c r="A201" s="97"/>
      <c r="B201" s="257">
        <v>69</v>
      </c>
      <c r="C201" s="652"/>
      <c r="D201" s="80"/>
      <c r="E201" s="80"/>
      <c r="F201" s="258">
        <f t="shared" ca="1" si="9"/>
        <v>0</v>
      </c>
      <c r="G201" s="624"/>
      <c r="H201" s="85"/>
      <c r="I201" s="624"/>
      <c r="J201" s="85"/>
      <c r="K201" s="624"/>
      <c r="L201" s="85"/>
      <c r="M201" s="624"/>
      <c r="N201" s="85"/>
      <c r="O201" s="624"/>
      <c r="P201" s="85"/>
      <c r="Q201" s="626">
        <f t="shared" si="7"/>
        <v>0</v>
      </c>
      <c r="R201" s="85"/>
      <c r="S201" s="624"/>
      <c r="T201" s="260"/>
      <c r="U201" s="624"/>
      <c r="V201" s="85"/>
      <c r="W201" s="624"/>
      <c r="X201" s="81"/>
      <c r="Y201" s="80"/>
      <c r="Z201" s="737">
        <f ca="1">MAX(0%,IF(Q201&lt;&gt;0,MIN((S201-Q201)/Q201/'Underwriting Risk'!$E$27,'Premium and Reserve Risk'!$Z$131),'Premium and Reserve Risk'!$Z$131))</f>
        <v>0.08</v>
      </c>
      <c r="AA201" s="80"/>
      <c r="AB201" s="80"/>
      <c r="AC201" s="737">
        <f ca="1">MAX(0%,IF(U201&lt;&gt;0,MIN((W201-U201)/U201/'Underwriting Risk'!$E$27,'Premium and Reserve Risk'!$AC$131),'Premium and Reserve Risk'!$AC$131))</f>
        <v>0.08</v>
      </c>
      <c r="AD201" s="81"/>
      <c r="AE201" s="97"/>
      <c r="AF201" s="97"/>
      <c r="AG201" s="97"/>
      <c r="AH201" s="97"/>
    </row>
    <row r="202" spans="1:34" ht="13.5" customHeight="1" x14ac:dyDescent="0.25">
      <c r="A202" s="97"/>
      <c r="B202" s="257">
        <v>70</v>
      </c>
      <c r="C202" s="652"/>
      <c r="D202" s="80"/>
      <c r="E202" s="80"/>
      <c r="F202" s="258">
        <f t="shared" ca="1" si="9"/>
        <v>0</v>
      </c>
      <c r="G202" s="624"/>
      <c r="H202" s="85"/>
      <c r="I202" s="624"/>
      <c r="J202" s="85"/>
      <c r="K202" s="624"/>
      <c r="L202" s="85"/>
      <c r="M202" s="624"/>
      <c r="N202" s="85"/>
      <c r="O202" s="624"/>
      <c r="P202" s="85"/>
      <c r="Q202" s="626">
        <f t="shared" si="7"/>
        <v>0</v>
      </c>
      <c r="R202" s="85"/>
      <c r="S202" s="624"/>
      <c r="T202" s="260"/>
      <c r="U202" s="624"/>
      <c r="V202" s="85"/>
      <c r="W202" s="624"/>
      <c r="X202" s="81"/>
      <c r="Y202" s="80"/>
      <c r="Z202" s="737">
        <f ca="1">MAX(0%,IF(Q202&lt;&gt;0,MIN((S202-Q202)/Q202/'Underwriting Risk'!$E$27,'Premium and Reserve Risk'!$Z$131),'Premium and Reserve Risk'!$Z$131))</f>
        <v>0.08</v>
      </c>
      <c r="AA202" s="80"/>
      <c r="AB202" s="80"/>
      <c r="AC202" s="737">
        <f ca="1">MAX(0%,IF(U202&lt;&gt;0,MIN((W202-U202)/U202/'Underwriting Risk'!$E$27,'Premium and Reserve Risk'!$AC$131),'Premium and Reserve Risk'!$AC$131))</f>
        <v>0.08</v>
      </c>
      <c r="AD202" s="81"/>
      <c r="AE202" s="97"/>
      <c r="AF202" s="97"/>
      <c r="AG202" s="97"/>
      <c r="AH202" s="97"/>
    </row>
    <row r="203" spans="1:34" ht="13.5" customHeight="1" x14ac:dyDescent="0.25">
      <c r="A203" s="97"/>
      <c r="B203" s="257">
        <v>71</v>
      </c>
      <c r="C203" s="652"/>
      <c r="D203" s="80"/>
      <c r="E203" s="80"/>
      <c r="F203" s="258">
        <f t="shared" ca="1" si="9"/>
        <v>0</v>
      </c>
      <c r="G203" s="624"/>
      <c r="H203" s="85"/>
      <c r="I203" s="624"/>
      <c r="J203" s="85"/>
      <c r="K203" s="624"/>
      <c r="L203" s="85"/>
      <c r="M203" s="624"/>
      <c r="N203" s="85"/>
      <c r="O203" s="624"/>
      <c r="P203" s="85"/>
      <c r="Q203" s="626">
        <f t="shared" si="7"/>
        <v>0</v>
      </c>
      <c r="R203" s="85"/>
      <c r="S203" s="624"/>
      <c r="T203" s="260"/>
      <c r="U203" s="624"/>
      <c r="V203" s="85"/>
      <c r="W203" s="624"/>
      <c r="X203" s="81"/>
      <c r="Y203" s="80"/>
      <c r="Z203" s="737">
        <f ca="1">MAX(0%,IF(Q203&lt;&gt;0,MIN((S203-Q203)/Q203/'Underwriting Risk'!$E$27,'Premium and Reserve Risk'!$Z$131),'Premium and Reserve Risk'!$Z$131))</f>
        <v>0.08</v>
      </c>
      <c r="AA203" s="80"/>
      <c r="AB203" s="80"/>
      <c r="AC203" s="737">
        <f ca="1">MAX(0%,IF(U203&lt;&gt;0,MIN((W203-U203)/U203/'Underwriting Risk'!$E$27,'Premium and Reserve Risk'!$AC$131),'Premium and Reserve Risk'!$AC$131))</f>
        <v>0.08</v>
      </c>
      <c r="AD203" s="81"/>
      <c r="AE203" s="97"/>
      <c r="AF203" s="97"/>
      <c r="AG203" s="97"/>
      <c r="AH203" s="97"/>
    </row>
    <row r="204" spans="1:34" ht="13.5" customHeight="1" x14ac:dyDescent="0.25">
      <c r="A204" s="97"/>
      <c r="B204" s="257">
        <v>72</v>
      </c>
      <c r="C204" s="652"/>
      <c r="D204" s="80"/>
      <c r="E204" s="80"/>
      <c r="F204" s="258">
        <f t="shared" ca="1" si="9"/>
        <v>0</v>
      </c>
      <c r="G204" s="624"/>
      <c r="H204" s="85"/>
      <c r="I204" s="624"/>
      <c r="J204" s="85"/>
      <c r="K204" s="624"/>
      <c r="L204" s="85"/>
      <c r="M204" s="624"/>
      <c r="N204" s="85"/>
      <c r="O204" s="624"/>
      <c r="P204" s="85"/>
      <c r="Q204" s="626">
        <f t="shared" si="7"/>
        <v>0</v>
      </c>
      <c r="R204" s="85"/>
      <c r="S204" s="624"/>
      <c r="T204" s="260"/>
      <c r="U204" s="624"/>
      <c r="V204" s="85"/>
      <c r="W204" s="624"/>
      <c r="X204" s="81"/>
      <c r="Y204" s="80"/>
      <c r="Z204" s="737">
        <f ca="1">MAX(0%,IF(Q204&lt;&gt;0,MIN((S204-Q204)/Q204/'Underwriting Risk'!$E$27,'Premium and Reserve Risk'!$Z$131),'Premium and Reserve Risk'!$Z$131))</f>
        <v>0.08</v>
      </c>
      <c r="AA204" s="80"/>
      <c r="AB204" s="80"/>
      <c r="AC204" s="737">
        <f ca="1">MAX(0%,IF(U204&lt;&gt;0,MIN((W204-U204)/U204/'Underwriting Risk'!$E$27,'Premium and Reserve Risk'!$AC$131),'Premium and Reserve Risk'!$AC$131))</f>
        <v>0.08</v>
      </c>
      <c r="AD204" s="81"/>
      <c r="AE204" s="97"/>
      <c r="AF204" s="97"/>
      <c r="AG204" s="97"/>
      <c r="AH204" s="97"/>
    </row>
    <row r="205" spans="1:34" ht="13.5" customHeight="1" x14ac:dyDescent="0.25">
      <c r="A205" s="97"/>
      <c r="B205" s="257">
        <v>73</v>
      </c>
      <c r="C205" s="652"/>
      <c r="D205" s="80"/>
      <c r="E205" s="80"/>
      <c r="F205" s="258">
        <f t="shared" ca="1" si="9"/>
        <v>0</v>
      </c>
      <c r="G205" s="624"/>
      <c r="H205" s="85"/>
      <c r="I205" s="624"/>
      <c r="J205" s="85"/>
      <c r="K205" s="624"/>
      <c r="L205" s="85"/>
      <c r="M205" s="624"/>
      <c r="N205" s="85"/>
      <c r="O205" s="624"/>
      <c r="P205" s="85"/>
      <c r="Q205" s="626">
        <f t="shared" si="7"/>
        <v>0</v>
      </c>
      <c r="R205" s="85"/>
      <c r="S205" s="624"/>
      <c r="T205" s="260"/>
      <c r="U205" s="624"/>
      <c r="V205" s="85"/>
      <c r="W205" s="624"/>
      <c r="X205" s="81"/>
      <c r="Y205" s="80"/>
      <c r="Z205" s="737">
        <f ca="1">MAX(0%,IF(Q205&lt;&gt;0,MIN((S205-Q205)/Q205/'Underwriting Risk'!$E$27,'Premium and Reserve Risk'!$Z$131),'Premium and Reserve Risk'!$Z$131))</f>
        <v>0.08</v>
      </c>
      <c r="AA205" s="80"/>
      <c r="AB205" s="80"/>
      <c r="AC205" s="737">
        <f ca="1">MAX(0%,IF(U205&lt;&gt;0,MIN((W205-U205)/U205/'Underwriting Risk'!$E$27,'Premium and Reserve Risk'!$AC$131),'Premium and Reserve Risk'!$AC$131))</f>
        <v>0.08</v>
      </c>
      <c r="AD205" s="81"/>
      <c r="AE205" s="97"/>
      <c r="AF205" s="97"/>
      <c r="AG205" s="97"/>
      <c r="AH205" s="97"/>
    </row>
    <row r="206" spans="1:34" ht="13.5" customHeight="1" x14ac:dyDescent="0.25">
      <c r="A206" s="97"/>
      <c r="B206" s="257">
        <v>74</v>
      </c>
      <c r="C206" s="652"/>
      <c r="D206" s="80"/>
      <c r="E206" s="80"/>
      <c r="F206" s="258">
        <f t="shared" ca="1" si="9"/>
        <v>0</v>
      </c>
      <c r="G206" s="624"/>
      <c r="H206" s="85"/>
      <c r="I206" s="624"/>
      <c r="J206" s="85"/>
      <c r="K206" s="624"/>
      <c r="L206" s="85"/>
      <c r="M206" s="624"/>
      <c r="N206" s="85"/>
      <c r="O206" s="624"/>
      <c r="P206" s="85"/>
      <c r="Q206" s="626">
        <f t="shared" si="7"/>
        <v>0</v>
      </c>
      <c r="R206" s="85"/>
      <c r="S206" s="624"/>
      <c r="T206" s="260"/>
      <c r="U206" s="624"/>
      <c r="V206" s="85"/>
      <c r="W206" s="624"/>
      <c r="X206" s="81"/>
      <c r="Y206" s="80"/>
      <c r="Z206" s="737">
        <f ca="1">MAX(0%,IF(Q206&lt;&gt;0,MIN((S206-Q206)/Q206/'Underwriting Risk'!$E$27,'Premium and Reserve Risk'!$Z$131),'Premium and Reserve Risk'!$Z$131))</f>
        <v>0.08</v>
      </c>
      <c r="AA206" s="80"/>
      <c r="AB206" s="80"/>
      <c r="AC206" s="737">
        <f ca="1">MAX(0%,IF(U206&lt;&gt;0,MIN((W206-U206)/U206/'Underwriting Risk'!$E$27,'Premium and Reserve Risk'!$AC$131),'Premium and Reserve Risk'!$AC$131))</f>
        <v>0.08</v>
      </c>
      <c r="AD206" s="81"/>
      <c r="AE206" s="97"/>
      <c r="AF206" s="97"/>
      <c r="AG206" s="97"/>
      <c r="AH206" s="97"/>
    </row>
    <row r="207" spans="1:34" ht="13.5" customHeight="1" x14ac:dyDescent="0.25">
      <c r="A207" s="97"/>
      <c r="B207" s="257">
        <v>75</v>
      </c>
      <c r="C207" s="652"/>
      <c r="D207" s="80"/>
      <c r="E207" s="80"/>
      <c r="F207" s="258">
        <f t="shared" ca="1" si="9"/>
        <v>0</v>
      </c>
      <c r="G207" s="624"/>
      <c r="H207" s="85"/>
      <c r="I207" s="624"/>
      <c r="J207" s="85"/>
      <c r="K207" s="624"/>
      <c r="L207" s="85"/>
      <c r="M207" s="624"/>
      <c r="N207" s="85"/>
      <c r="O207" s="624"/>
      <c r="P207" s="85"/>
      <c r="Q207" s="626">
        <f t="shared" si="7"/>
        <v>0</v>
      </c>
      <c r="R207" s="85"/>
      <c r="S207" s="624"/>
      <c r="T207" s="260"/>
      <c r="U207" s="624"/>
      <c r="V207" s="85"/>
      <c r="W207" s="624"/>
      <c r="X207" s="81"/>
      <c r="Y207" s="80"/>
      <c r="Z207" s="737">
        <f ca="1">MAX(0%,IF(Q207&lt;&gt;0,MIN((S207-Q207)/Q207/'Underwriting Risk'!$E$27,'Premium and Reserve Risk'!$Z$131),'Premium and Reserve Risk'!$Z$131))</f>
        <v>0.08</v>
      </c>
      <c r="AA207" s="80"/>
      <c r="AB207" s="80"/>
      <c r="AC207" s="737">
        <f ca="1">MAX(0%,IF(U207&lt;&gt;0,MIN((W207-U207)/U207/'Underwriting Risk'!$E$27,'Premium and Reserve Risk'!$AC$131),'Premium and Reserve Risk'!$AC$131))</f>
        <v>0.08</v>
      </c>
      <c r="AD207" s="81"/>
      <c r="AE207" s="97"/>
      <c r="AF207" s="97"/>
      <c r="AG207" s="97"/>
      <c r="AH207" s="97"/>
    </row>
    <row r="208" spans="1:34" ht="13.5" customHeight="1" x14ac:dyDescent="0.25">
      <c r="A208" s="97"/>
      <c r="B208" s="257">
        <v>76</v>
      </c>
      <c r="C208" s="652"/>
      <c r="D208" s="80"/>
      <c r="E208" s="80"/>
      <c r="F208" s="258">
        <f t="shared" ca="1" si="9"/>
        <v>0</v>
      </c>
      <c r="G208" s="624"/>
      <c r="H208" s="85"/>
      <c r="I208" s="624"/>
      <c r="J208" s="85"/>
      <c r="K208" s="624"/>
      <c r="L208" s="85"/>
      <c r="M208" s="624"/>
      <c r="N208" s="85"/>
      <c r="O208" s="624"/>
      <c r="P208" s="85"/>
      <c r="Q208" s="626">
        <f t="shared" si="7"/>
        <v>0</v>
      </c>
      <c r="R208" s="85"/>
      <c r="S208" s="624"/>
      <c r="T208" s="260"/>
      <c r="U208" s="624"/>
      <c r="V208" s="85"/>
      <c r="W208" s="624"/>
      <c r="X208" s="81"/>
      <c r="Y208" s="80"/>
      <c r="Z208" s="737">
        <f ca="1">MAX(0%,IF(Q208&lt;&gt;0,MIN((S208-Q208)/Q208/'Underwriting Risk'!$E$27,'Premium and Reserve Risk'!$Z$131),'Premium and Reserve Risk'!$Z$131))</f>
        <v>0.08</v>
      </c>
      <c r="AA208" s="80"/>
      <c r="AB208" s="80"/>
      <c r="AC208" s="737">
        <f ca="1">MAX(0%,IF(U208&lt;&gt;0,MIN((W208-U208)/U208/'Underwriting Risk'!$E$27,'Premium and Reserve Risk'!$AC$131),'Premium and Reserve Risk'!$AC$131))</f>
        <v>0.08</v>
      </c>
      <c r="AD208" s="81"/>
      <c r="AE208" s="97"/>
      <c r="AF208" s="97"/>
      <c r="AG208" s="97"/>
      <c r="AH208" s="97"/>
    </row>
    <row r="209" spans="1:34" ht="13.5" customHeight="1" x14ac:dyDescent="0.25">
      <c r="A209" s="97"/>
      <c r="B209" s="257">
        <v>77</v>
      </c>
      <c r="C209" s="652"/>
      <c r="D209" s="80"/>
      <c r="E209" s="80"/>
      <c r="F209" s="258">
        <f t="shared" ca="1" si="9"/>
        <v>0</v>
      </c>
      <c r="G209" s="624"/>
      <c r="H209" s="85"/>
      <c r="I209" s="624"/>
      <c r="J209" s="85"/>
      <c r="K209" s="624"/>
      <c r="L209" s="85"/>
      <c r="M209" s="624"/>
      <c r="N209" s="85"/>
      <c r="O209" s="624"/>
      <c r="P209" s="85"/>
      <c r="Q209" s="626">
        <f t="shared" si="7"/>
        <v>0</v>
      </c>
      <c r="R209" s="85"/>
      <c r="S209" s="624"/>
      <c r="T209" s="260"/>
      <c r="U209" s="624"/>
      <c r="V209" s="85"/>
      <c r="W209" s="624"/>
      <c r="X209" s="81"/>
      <c r="Y209" s="80"/>
      <c r="Z209" s="737">
        <f ca="1">MAX(0%,IF(Q209&lt;&gt;0,MIN((S209-Q209)/Q209/'Underwriting Risk'!$E$27,'Premium and Reserve Risk'!$Z$131),'Premium and Reserve Risk'!$Z$131))</f>
        <v>0.08</v>
      </c>
      <c r="AA209" s="80"/>
      <c r="AB209" s="80"/>
      <c r="AC209" s="737">
        <f ca="1">MAX(0%,IF(U209&lt;&gt;0,MIN((W209-U209)/U209/'Underwriting Risk'!$E$27,'Premium and Reserve Risk'!$AC$131),'Premium and Reserve Risk'!$AC$131))</f>
        <v>0.08</v>
      </c>
      <c r="AD209" s="81"/>
      <c r="AE209" s="97"/>
      <c r="AF209" s="97"/>
      <c r="AG209" s="97"/>
      <c r="AH209" s="97"/>
    </row>
    <row r="210" spans="1:34" ht="13.5" customHeight="1" x14ac:dyDescent="0.25">
      <c r="A210" s="97"/>
      <c r="B210" s="257">
        <v>78</v>
      </c>
      <c r="C210" s="652"/>
      <c r="D210" s="80"/>
      <c r="E210" s="80"/>
      <c r="F210" s="258">
        <f t="shared" ca="1" si="9"/>
        <v>0</v>
      </c>
      <c r="G210" s="624"/>
      <c r="H210" s="85"/>
      <c r="I210" s="624"/>
      <c r="J210" s="85"/>
      <c r="K210" s="624"/>
      <c r="L210" s="85"/>
      <c r="M210" s="624"/>
      <c r="N210" s="85"/>
      <c r="O210" s="624"/>
      <c r="P210" s="85"/>
      <c r="Q210" s="626">
        <f t="shared" si="7"/>
        <v>0</v>
      </c>
      <c r="R210" s="85"/>
      <c r="S210" s="624"/>
      <c r="T210" s="260"/>
      <c r="U210" s="624"/>
      <c r="V210" s="85"/>
      <c r="W210" s="624"/>
      <c r="X210" s="81"/>
      <c r="Y210" s="80"/>
      <c r="Z210" s="737">
        <f ca="1">MAX(0%,IF(Q210&lt;&gt;0,MIN((S210-Q210)/Q210/'Underwriting Risk'!$E$27,'Premium and Reserve Risk'!$Z$131),'Premium and Reserve Risk'!$Z$131))</f>
        <v>0.08</v>
      </c>
      <c r="AA210" s="80"/>
      <c r="AB210" s="80"/>
      <c r="AC210" s="737">
        <f ca="1">MAX(0%,IF(U210&lt;&gt;0,MIN((W210-U210)/U210/'Underwriting Risk'!$E$27,'Premium and Reserve Risk'!$AC$131),'Premium and Reserve Risk'!$AC$131))</f>
        <v>0.08</v>
      </c>
      <c r="AD210" s="81"/>
      <c r="AE210" s="97"/>
      <c r="AF210" s="97"/>
      <c r="AG210" s="97"/>
      <c r="AH210" s="97"/>
    </row>
    <row r="211" spans="1:34" ht="13.5" customHeight="1" x14ac:dyDescent="0.25">
      <c r="A211" s="97"/>
      <c r="B211" s="257">
        <v>79</v>
      </c>
      <c r="C211" s="652"/>
      <c r="D211" s="80"/>
      <c r="E211" s="80"/>
      <c r="F211" s="258">
        <f t="shared" ca="1" si="9"/>
        <v>0</v>
      </c>
      <c r="G211" s="624"/>
      <c r="H211" s="85"/>
      <c r="I211" s="624"/>
      <c r="J211" s="85"/>
      <c r="K211" s="624"/>
      <c r="L211" s="85"/>
      <c r="M211" s="624"/>
      <c r="N211" s="85"/>
      <c r="O211" s="624"/>
      <c r="P211" s="85"/>
      <c r="Q211" s="626">
        <f t="shared" si="7"/>
        <v>0</v>
      </c>
      <c r="R211" s="85"/>
      <c r="S211" s="624"/>
      <c r="T211" s="260"/>
      <c r="U211" s="624"/>
      <c r="V211" s="85"/>
      <c r="W211" s="624"/>
      <c r="X211" s="81"/>
      <c r="Y211" s="80"/>
      <c r="Z211" s="737">
        <f ca="1">MAX(0%,IF(Q211&lt;&gt;0,MIN((S211-Q211)/Q211/'Underwriting Risk'!$E$27,'Premium and Reserve Risk'!$Z$131),'Premium and Reserve Risk'!$Z$131))</f>
        <v>0.08</v>
      </c>
      <c r="AA211" s="80"/>
      <c r="AB211" s="80"/>
      <c r="AC211" s="737">
        <f ca="1">MAX(0%,IF(U211&lt;&gt;0,MIN((W211-U211)/U211/'Underwriting Risk'!$E$27,'Premium and Reserve Risk'!$AC$131),'Premium and Reserve Risk'!$AC$131))</f>
        <v>0.08</v>
      </c>
      <c r="AD211" s="81"/>
      <c r="AE211" s="97"/>
      <c r="AF211" s="97"/>
      <c r="AG211" s="97"/>
      <c r="AH211" s="97"/>
    </row>
    <row r="212" spans="1:34" ht="13.5" customHeight="1" x14ac:dyDescent="0.25">
      <c r="A212" s="97"/>
      <c r="B212" s="257">
        <v>80</v>
      </c>
      <c r="C212" s="652"/>
      <c r="D212" s="80"/>
      <c r="E212" s="80"/>
      <c r="F212" s="258">
        <f t="shared" ca="1" si="9"/>
        <v>0</v>
      </c>
      <c r="G212" s="624"/>
      <c r="H212" s="85"/>
      <c r="I212" s="624"/>
      <c r="J212" s="85"/>
      <c r="K212" s="624"/>
      <c r="L212" s="85"/>
      <c r="M212" s="624"/>
      <c r="N212" s="85"/>
      <c r="O212" s="624"/>
      <c r="P212" s="85"/>
      <c r="Q212" s="626">
        <f t="shared" si="7"/>
        <v>0</v>
      </c>
      <c r="R212" s="85"/>
      <c r="S212" s="624"/>
      <c r="T212" s="260"/>
      <c r="U212" s="624"/>
      <c r="V212" s="85"/>
      <c r="W212" s="624"/>
      <c r="X212" s="81"/>
      <c r="Y212" s="80"/>
      <c r="Z212" s="737">
        <f ca="1">MAX(0%,IF(Q212&lt;&gt;0,MIN((S212-Q212)/Q212/'Underwriting Risk'!$E$27,'Premium and Reserve Risk'!$Z$131),'Premium and Reserve Risk'!$Z$131))</f>
        <v>0.08</v>
      </c>
      <c r="AA212" s="80"/>
      <c r="AB212" s="80"/>
      <c r="AC212" s="737">
        <f ca="1">MAX(0%,IF(U212&lt;&gt;0,MIN((W212-U212)/U212/'Underwriting Risk'!$E$27,'Premium and Reserve Risk'!$AC$131),'Premium and Reserve Risk'!$AC$131))</f>
        <v>0.08</v>
      </c>
      <c r="AD212" s="81"/>
      <c r="AE212" s="97"/>
      <c r="AF212" s="97"/>
      <c r="AG212" s="97"/>
      <c r="AH212" s="97"/>
    </row>
    <row r="213" spans="1:34" ht="13.5" customHeight="1" x14ac:dyDescent="0.25">
      <c r="A213" s="97"/>
      <c r="B213" s="257">
        <v>81</v>
      </c>
      <c r="C213" s="652"/>
      <c r="D213" s="80"/>
      <c r="E213" s="80"/>
      <c r="F213" s="258">
        <f t="shared" ca="1" si="9"/>
        <v>0</v>
      </c>
      <c r="G213" s="624"/>
      <c r="H213" s="85"/>
      <c r="I213" s="624"/>
      <c r="J213" s="85"/>
      <c r="K213" s="624"/>
      <c r="L213" s="85"/>
      <c r="M213" s="624"/>
      <c r="N213" s="85"/>
      <c r="O213" s="624"/>
      <c r="P213" s="85"/>
      <c r="Q213" s="626">
        <f t="shared" si="7"/>
        <v>0</v>
      </c>
      <c r="R213" s="85"/>
      <c r="S213" s="624"/>
      <c r="T213" s="260"/>
      <c r="U213" s="624"/>
      <c r="V213" s="85"/>
      <c r="W213" s="624"/>
      <c r="X213" s="81"/>
      <c r="Y213" s="80"/>
      <c r="Z213" s="737">
        <f ca="1">MAX(0%,IF(Q213&lt;&gt;0,MIN((S213-Q213)/Q213/'Underwriting Risk'!$E$27,'Premium and Reserve Risk'!$Z$131),'Premium and Reserve Risk'!$Z$131))</f>
        <v>0.08</v>
      </c>
      <c r="AA213" s="80"/>
      <c r="AB213" s="80"/>
      <c r="AC213" s="737">
        <f ca="1">MAX(0%,IF(U213&lt;&gt;0,MIN((W213-U213)/U213/'Underwriting Risk'!$E$27,'Premium and Reserve Risk'!$AC$131),'Premium and Reserve Risk'!$AC$131))</f>
        <v>0.08</v>
      </c>
      <c r="AD213" s="81"/>
      <c r="AE213" s="97"/>
      <c r="AF213" s="97"/>
      <c r="AG213" s="97"/>
      <c r="AH213" s="97"/>
    </row>
    <row r="214" spans="1:34" ht="13.5" customHeight="1" x14ac:dyDescent="0.25">
      <c r="A214" s="97"/>
      <c r="B214" s="257">
        <v>82</v>
      </c>
      <c r="C214" s="652"/>
      <c r="D214" s="80"/>
      <c r="E214" s="80"/>
      <c r="F214" s="258">
        <f t="shared" ca="1" si="9"/>
        <v>0</v>
      </c>
      <c r="G214" s="624"/>
      <c r="H214" s="85"/>
      <c r="I214" s="624"/>
      <c r="J214" s="85"/>
      <c r="K214" s="624"/>
      <c r="L214" s="85"/>
      <c r="M214" s="624"/>
      <c r="N214" s="85"/>
      <c r="O214" s="624"/>
      <c r="P214" s="85"/>
      <c r="Q214" s="626">
        <f t="shared" si="7"/>
        <v>0</v>
      </c>
      <c r="R214" s="85"/>
      <c r="S214" s="624"/>
      <c r="T214" s="260"/>
      <c r="U214" s="624"/>
      <c r="V214" s="85"/>
      <c r="W214" s="624"/>
      <c r="X214" s="81"/>
      <c r="Y214" s="80"/>
      <c r="Z214" s="737">
        <f ca="1">MAX(0%,IF(Q214&lt;&gt;0,MIN((S214-Q214)/Q214/'Underwriting Risk'!$E$27,'Premium and Reserve Risk'!$Z$131),'Premium and Reserve Risk'!$Z$131))</f>
        <v>0.08</v>
      </c>
      <c r="AA214" s="80"/>
      <c r="AB214" s="80"/>
      <c r="AC214" s="737">
        <f ca="1">MAX(0%,IF(U214&lt;&gt;0,MIN((W214-U214)/U214/'Underwriting Risk'!$E$27,'Premium and Reserve Risk'!$AC$131),'Premium and Reserve Risk'!$AC$131))</f>
        <v>0.08</v>
      </c>
      <c r="AD214" s="81"/>
      <c r="AE214" s="97"/>
      <c r="AF214" s="97"/>
      <c r="AG214" s="97"/>
      <c r="AH214" s="97"/>
    </row>
    <row r="215" spans="1:34" ht="13.5" customHeight="1" x14ac:dyDescent="0.25">
      <c r="A215" s="97"/>
      <c r="B215" s="257">
        <v>83</v>
      </c>
      <c r="C215" s="652"/>
      <c r="D215" s="80"/>
      <c r="E215" s="80"/>
      <c r="F215" s="258">
        <f t="shared" ca="1" si="9"/>
        <v>0</v>
      </c>
      <c r="G215" s="624"/>
      <c r="H215" s="85"/>
      <c r="I215" s="624"/>
      <c r="J215" s="85"/>
      <c r="K215" s="624"/>
      <c r="L215" s="85"/>
      <c r="M215" s="624"/>
      <c r="N215" s="85"/>
      <c r="O215" s="624"/>
      <c r="P215" s="85"/>
      <c r="Q215" s="626">
        <f t="shared" si="7"/>
        <v>0</v>
      </c>
      <c r="R215" s="85"/>
      <c r="S215" s="624"/>
      <c r="T215" s="260"/>
      <c r="U215" s="624"/>
      <c r="V215" s="85"/>
      <c r="W215" s="624"/>
      <c r="X215" s="81"/>
      <c r="Y215" s="80"/>
      <c r="Z215" s="737">
        <f ca="1">MAX(0%,IF(Q215&lt;&gt;0,MIN((S215-Q215)/Q215/'Underwriting Risk'!$E$27,'Premium and Reserve Risk'!$Z$131),'Premium and Reserve Risk'!$Z$131))</f>
        <v>0.08</v>
      </c>
      <c r="AA215" s="80"/>
      <c r="AB215" s="80"/>
      <c r="AC215" s="737">
        <f ca="1">MAX(0%,IF(U215&lt;&gt;0,MIN((W215-U215)/U215/'Underwriting Risk'!$E$27,'Premium and Reserve Risk'!$AC$131),'Premium and Reserve Risk'!$AC$131))</f>
        <v>0.08</v>
      </c>
      <c r="AD215" s="81"/>
      <c r="AE215" s="97"/>
      <c r="AF215" s="97"/>
      <c r="AG215" s="97"/>
      <c r="AH215" s="97"/>
    </row>
    <row r="216" spans="1:34" ht="13.5" customHeight="1" x14ac:dyDescent="0.25">
      <c r="A216" s="97"/>
      <c r="B216" s="257">
        <v>84</v>
      </c>
      <c r="C216" s="652"/>
      <c r="D216" s="80"/>
      <c r="E216" s="80"/>
      <c r="F216" s="258">
        <f t="shared" ca="1" si="9"/>
        <v>0</v>
      </c>
      <c r="G216" s="624"/>
      <c r="H216" s="85"/>
      <c r="I216" s="624"/>
      <c r="J216" s="85"/>
      <c r="K216" s="624"/>
      <c r="L216" s="85"/>
      <c r="M216" s="624"/>
      <c r="N216" s="85"/>
      <c r="O216" s="624"/>
      <c r="P216" s="85"/>
      <c r="Q216" s="626">
        <f t="shared" si="7"/>
        <v>0</v>
      </c>
      <c r="R216" s="85"/>
      <c r="S216" s="624"/>
      <c r="T216" s="260"/>
      <c r="U216" s="624"/>
      <c r="V216" s="85"/>
      <c r="W216" s="624"/>
      <c r="X216" s="81"/>
      <c r="Y216" s="80"/>
      <c r="Z216" s="737">
        <f ca="1">MAX(0%,IF(Q216&lt;&gt;0,MIN((S216-Q216)/Q216/'Underwriting Risk'!$E$27,'Premium and Reserve Risk'!$Z$131),'Premium and Reserve Risk'!$Z$131))</f>
        <v>0.08</v>
      </c>
      <c r="AA216" s="80"/>
      <c r="AB216" s="80"/>
      <c r="AC216" s="737">
        <f ca="1">MAX(0%,IF(U216&lt;&gt;0,MIN((W216-U216)/U216/'Underwriting Risk'!$E$27,'Premium and Reserve Risk'!$AC$131),'Premium and Reserve Risk'!$AC$131))</f>
        <v>0.08</v>
      </c>
      <c r="AD216" s="81"/>
      <c r="AE216" s="97"/>
      <c r="AF216" s="97"/>
      <c r="AG216" s="97"/>
      <c r="AH216" s="97"/>
    </row>
    <row r="217" spans="1:34" ht="13.5" customHeight="1" x14ac:dyDescent="0.25">
      <c r="A217" s="97"/>
      <c r="B217" s="257">
        <v>85</v>
      </c>
      <c r="C217" s="652"/>
      <c r="D217" s="80"/>
      <c r="E217" s="80"/>
      <c r="F217" s="258">
        <f t="shared" ca="1" si="9"/>
        <v>0</v>
      </c>
      <c r="G217" s="624"/>
      <c r="H217" s="85"/>
      <c r="I217" s="624"/>
      <c r="J217" s="85"/>
      <c r="K217" s="624"/>
      <c r="L217" s="85"/>
      <c r="M217" s="624"/>
      <c r="N217" s="85"/>
      <c r="O217" s="624"/>
      <c r="P217" s="85"/>
      <c r="Q217" s="626">
        <f t="shared" si="7"/>
        <v>0</v>
      </c>
      <c r="R217" s="85"/>
      <c r="S217" s="624"/>
      <c r="T217" s="260"/>
      <c r="U217" s="624"/>
      <c r="V217" s="85"/>
      <c r="W217" s="624"/>
      <c r="X217" s="81"/>
      <c r="Y217" s="80"/>
      <c r="Z217" s="737">
        <f ca="1">MAX(0%,IF(Q217&lt;&gt;0,MIN((S217-Q217)/Q217/'Underwriting Risk'!$E$27,'Premium and Reserve Risk'!$Z$131),'Premium and Reserve Risk'!$Z$131))</f>
        <v>0.08</v>
      </c>
      <c r="AA217" s="80"/>
      <c r="AB217" s="80"/>
      <c r="AC217" s="737">
        <f ca="1">MAX(0%,IF(U217&lt;&gt;0,MIN((W217-U217)/U217/'Underwriting Risk'!$E$27,'Premium and Reserve Risk'!$AC$131),'Premium and Reserve Risk'!$AC$131))</f>
        <v>0.08</v>
      </c>
      <c r="AD217" s="81"/>
      <c r="AE217" s="97"/>
      <c r="AF217" s="97"/>
      <c r="AG217" s="97"/>
      <c r="AH217" s="97"/>
    </row>
    <row r="218" spans="1:34" ht="13.5" customHeight="1" x14ac:dyDescent="0.25">
      <c r="A218" s="97"/>
      <c r="B218" s="257">
        <v>86</v>
      </c>
      <c r="C218" s="652"/>
      <c r="D218" s="80"/>
      <c r="E218" s="80"/>
      <c r="F218" s="258">
        <f t="shared" ca="1" si="9"/>
        <v>0</v>
      </c>
      <c r="G218" s="624"/>
      <c r="H218" s="85"/>
      <c r="I218" s="624"/>
      <c r="J218" s="85"/>
      <c r="K218" s="624"/>
      <c r="L218" s="85"/>
      <c r="M218" s="624"/>
      <c r="N218" s="85"/>
      <c r="O218" s="624"/>
      <c r="P218" s="85"/>
      <c r="Q218" s="626">
        <f t="shared" si="7"/>
        <v>0</v>
      </c>
      <c r="R218" s="85"/>
      <c r="S218" s="624"/>
      <c r="T218" s="260"/>
      <c r="U218" s="624"/>
      <c r="V218" s="85"/>
      <c r="W218" s="624"/>
      <c r="X218" s="81"/>
      <c r="Y218" s="80"/>
      <c r="Z218" s="737">
        <f ca="1">MAX(0%,IF(Q218&lt;&gt;0,MIN((S218-Q218)/Q218/'Underwriting Risk'!$E$27,'Premium and Reserve Risk'!$Z$131),'Premium and Reserve Risk'!$Z$131))</f>
        <v>0.08</v>
      </c>
      <c r="AA218" s="80"/>
      <c r="AB218" s="80"/>
      <c r="AC218" s="737">
        <f ca="1">MAX(0%,IF(U218&lt;&gt;0,MIN((W218-U218)/U218/'Underwriting Risk'!$E$27,'Premium and Reserve Risk'!$AC$131),'Premium and Reserve Risk'!$AC$131))</f>
        <v>0.08</v>
      </c>
      <c r="AD218" s="81"/>
      <c r="AE218" s="97"/>
      <c r="AF218" s="97"/>
      <c r="AG218" s="97"/>
      <c r="AH218" s="97"/>
    </row>
    <row r="219" spans="1:34" ht="13.5" customHeight="1" x14ac:dyDescent="0.25">
      <c r="A219" s="97"/>
      <c r="B219" s="257">
        <v>87</v>
      </c>
      <c r="C219" s="652"/>
      <c r="D219" s="80"/>
      <c r="E219" s="80"/>
      <c r="F219" s="258">
        <f t="shared" ca="1" si="9"/>
        <v>0</v>
      </c>
      <c r="G219" s="624"/>
      <c r="H219" s="85"/>
      <c r="I219" s="624"/>
      <c r="J219" s="85"/>
      <c r="K219" s="624"/>
      <c r="L219" s="85"/>
      <c r="M219" s="624"/>
      <c r="N219" s="85"/>
      <c r="O219" s="624"/>
      <c r="P219" s="85"/>
      <c r="Q219" s="626">
        <f t="shared" si="7"/>
        <v>0</v>
      </c>
      <c r="R219" s="85"/>
      <c r="S219" s="624"/>
      <c r="T219" s="260"/>
      <c r="U219" s="624"/>
      <c r="V219" s="85"/>
      <c r="W219" s="624"/>
      <c r="X219" s="81"/>
      <c r="Y219" s="80"/>
      <c r="Z219" s="737">
        <f ca="1">MAX(0%,IF(Q219&lt;&gt;0,MIN((S219-Q219)/Q219/'Underwriting Risk'!$E$27,'Premium and Reserve Risk'!$Z$131),'Premium and Reserve Risk'!$Z$131))</f>
        <v>0.08</v>
      </c>
      <c r="AA219" s="80"/>
      <c r="AB219" s="80"/>
      <c r="AC219" s="737">
        <f ca="1">MAX(0%,IF(U219&lt;&gt;0,MIN((W219-U219)/U219/'Underwriting Risk'!$E$27,'Premium and Reserve Risk'!$AC$131),'Premium and Reserve Risk'!$AC$131))</f>
        <v>0.08</v>
      </c>
      <c r="AD219" s="81"/>
      <c r="AE219" s="97"/>
      <c r="AF219" s="97"/>
      <c r="AG219" s="97"/>
      <c r="AH219" s="97"/>
    </row>
    <row r="220" spans="1:34" ht="13.5" customHeight="1" x14ac:dyDescent="0.25">
      <c r="A220" s="97"/>
      <c r="B220" s="257">
        <v>88</v>
      </c>
      <c r="C220" s="652"/>
      <c r="D220" s="80"/>
      <c r="E220" s="80"/>
      <c r="F220" s="258">
        <f t="shared" ca="1" si="9"/>
        <v>0</v>
      </c>
      <c r="G220" s="624"/>
      <c r="H220" s="85"/>
      <c r="I220" s="624"/>
      <c r="J220" s="85"/>
      <c r="K220" s="624"/>
      <c r="L220" s="85"/>
      <c r="M220" s="624"/>
      <c r="N220" s="85"/>
      <c r="O220" s="624"/>
      <c r="P220" s="85"/>
      <c r="Q220" s="626">
        <f t="shared" si="7"/>
        <v>0</v>
      </c>
      <c r="R220" s="85"/>
      <c r="S220" s="624"/>
      <c r="T220" s="260"/>
      <c r="U220" s="624"/>
      <c r="V220" s="85"/>
      <c r="W220" s="624"/>
      <c r="X220" s="81"/>
      <c r="Y220" s="80"/>
      <c r="Z220" s="737">
        <f ca="1">MAX(0%,IF(Q220&lt;&gt;0,MIN((S220-Q220)/Q220/'Underwriting Risk'!$E$27,'Premium and Reserve Risk'!$Z$131),'Premium and Reserve Risk'!$Z$131))</f>
        <v>0.08</v>
      </c>
      <c r="AA220" s="80"/>
      <c r="AB220" s="80"/>
      <c r="AC220" s="737">
        <f ca="1">MAX(0%,IF(U220&lt;&gt;0,MIN((W220-U220)/U220/'Underwriting Risk'!$E$27,'Premium and Reserve Risk'!$AC$131),'Premium and Reserve Risk'!$AC$131))</f>
        <v>0.08</v>
      </c>
      <c r="AD220" s="81"/>
      <c r="AE220" s="97"/>
      <c r="AF220" s="97"/>
      <c r="AG220" s="97"/>
      <c r="AH220" s="97"/>
    </row>
    <row r="221" spans="1:34" ht="13.5" customHeight="1" x14ac:dyDescent="0.25">
      <c r="A221" s="97"/>
      <c r="B221" s="257">
        <v>89</v>
      </c>
      <c r="C221" s="652"/>
      <c r="D221" s="80"/>
      <c r="E221" s="80"/>
      <c r="F221" s="258">
        <f t="shared" ca="1" si="9"/>
        <v>0</v>
      </c>
      <c r="G221" s="624"/>
      <c r="H221" s="85"/>
      <c r="I221" s="624"/>
      <c r="J221" s="85"/>
      <c r="K221" s="624"/>
      <c r="L221" s="85"/>
      <c r="M221" s="624"/>
      <c r="N221" s="85"/>
      <c r="O221" s="624"/>
      <c r="P221" s="85"/>
      <c r="Q221" s="626">
        <f t="shared" si="7"/>
        <v>0</v>
      </c>
      <c r="R221" s="85"/>
      <c r="S221" s="624"/>
      <c r="T221" s="260"/>
      <c r="U221" s="624"/>
      <c r="V221" s="85"/>
      <c r="W221" s="624"/>
      <c r="X221" s="81"/>
      <c r="Y221" s="80"/>
      <c r="Z221" s="737">
        <f ca="1">MAX(0%,IF(Q221&lt;&gt;0,MIN((S221-Q221)/Q221/'Underwriting Risk'!$E$27,'Premium and Reserve Risk'!$Z$131),'Premium and Reserve Risk'!$Z$131))</f>
        <v>0.08</v>
      </c>
      <c r="AA221" s="80"/>
      <c r="AB221" s="80"/>
      <c r="AC221" s="737">
        <f ca="1">MAX(0%,IF(U221&lt;&gt;0,MIN((W221-U221)/U221/'Underwriting Risk'!$E$27,'Premium and Reserve Risk'!$AC$131),'Premium and Reserve Risk'!$AC$131))</f>
        <v>0.08</v>
      </c>
      <c r="AD221" s="81"/>
      <c r="AE221" s="97"/>
      <c r="AF221" s="97"/>
      <c r="AG221" s="97"/>
      <c r="AH221" s="97"/>
    </row>
    <row r="222" spans="1:34" ht="13.5" customHeight="1" x14ac:dyDescent="0.25">
      <c r="A222" s="97"/>
      <c r="B222" s="257">
        <v>90</v>
      </c>
      <c r="C222" s="652"/>
      <c r="D222" s="80"/>
      <c r="E222" s="80"/>
      <c r="F222" s="258">
        <f t="shared" ca="1" si="9"/>
        <v>0</v>
      </c>
      <c r="G222" s="624"/>
      <c r="H222" s="85"/>
      <c r="I222" s="624"/>
      <c r="J222" s="85"/>
      <c r="K222" s="624"/>
      <c r="L222" s="85"/>
      <c r="M222" s="624"/>
      <c r="N222" s="85"/>
      <c r="O222" s="624"/>
      <c r="P222" s="85"/>
      <c r="Q222" s="626">
        <f t="shared" si="7"/>
        <v>0</v>
      </c>
      <c r="R222" s="85"/>
      <c r="S222" s="624"/>
      <c r="T222" s="260"/>
      <c r="U222" s="624"/>
      <c r="V222" s="85"/>
      <c r="W222" s="624"/>
      <c r="X222" s="81"/>
      <c r="Y222" s="80"/>
      <c r="Z222" s="737">
        <f ca="1">MAX(0%,IF(Q222&lt;&gt;0,MIN((S222-Q222)/Q222/'Underwriting Risk'!$E$27,'Premium and Reserve Risk'!$Z$131),'Premium and Reserve Risk'!$Z$131))</f>
        <v>0.08</v>
      </c>
      <c r="AA222" s="80"/>
      <c r="AB222" s="80"/>
      <c r="AC222" s="737">
        <f ca="1">MAX(0%,IF(U222&lt;&gt;0,MIN((W222-U222)/U222/'Underwriting Risk'!$E$27,'Premium and Reserve Risk'!$AC$131),'Premium and Reserve Risk'!$AC$131))</f>
        <v>0.08</v>
      </c>
      <c r="AD222" s="81"/>
      <c r="AE222" s="97"/>
      <c r="AF222" s="97"/>
      <c r="AG222" s="97"/>
      <c r="AH222" s="97"/>
    </row>
    <row r="223" spans="1:34" ht="13.5" customHeight="1" x14ac:dyDescent="0.25">
      <c r="A223" s="97"/>
      <c r="B223" s="257">
        <v>91</v>
      </c>
      <c r="C223" s="652"/>
      <c r="D223" s="80"/>
      <c r="E223" s="80"/>
      <c r="F223" s="258">
        <f t="shared" ca="1" si="9"/>
        <v>0</v>
      </c>
      <c r="G223" s="624"/>
      <c r="H223" s="85"/>
      <c r="I223" s="624"/>
      <c r="J223" s="85"/>
      <c r="K223" s="624"/>
      <c r="L223" s="85"/>
      <c r="M223" s="624"/>
      <c r="N223" s="85"/>
      <c r="O223" s="624"/>
      <c r="P223" s="85"/>
      <c r="Q223" s="626">
        <f t="shared" si="7"/>
        <v>0</v>
      </c>
      <c r="R223" s="85"/>
      <c r="S223" s="624"/>
      <c r="T223" s="260"/>
      <c r="U223" s="624"/>
      <c r="V223" s="85"/>
      <c r="W223" s="624"/>
      <c r="X223" s="81"/>
      <c r="Y223" s="80"/>
      <c r="Z223" s="737">
        <f ca="1">MAX(0%,IF(Q223&lt;&gt;0,MIN((S223-Q223)/Q223/'Underwriting Risk'!$E$27,'Premium and Reserve Risk'!$Z$131),'Premium and Reserve Risk'!$Z$131))</f>
        <v>0.08</v>
      </c>
      <c r="AA223" s="80"/>
      <c r="AB223" s="80"/>
      <c r="AC223" s="737">
        <f ca="1">MAX(0%,IF(U223&lt;&gt;0,MIN((W223-U223)/U223/'Underwriting Risk'!$E$27,'Premium and Reserve Risk'!$AC$131),'Premium and Reserve Risk'!$AC$131))</f>
        <v>0.08</v>
      </c>
      <c r="AD223" s="81"/>
      <c r="AE223" s="97"/>
      <c r="AF223" s="97"/>
      <c r="AG223" s="97"/>
      <c r="AH223" s="97"/>
    </row>
    <row r="224" spans="1:34" ht="13.5" customHeight="1" x14ac:dyDescent="0.25">
      <c r="A224" s="97"/>
      <c r="B224" s="257">
        <v>92</v>
      </c>
      <c r="C224" s="652"/>
      <c r="D224" s="80"/>
      <c r="E224" s="80"/>
      <c r="F224" s="258">
        <f t="shared" ca="1" si="9"/>
        <v>0</v>
      </c>
      <c r="G224" s="624"/>
      <c r="H224" s="85"/>
      <c r="I224" s="624"/>
      <c r="J224" s="85"/>
      <c r="K224" s="624"/>
      <c r="L224" s="85"/>
      <c r="M224" s="624"/>
      <c r="N224" s="85"/>
      <c r="O224" s="624"/>
      <c r="P224" s="85"/>
      <c r="Q224" s="626">
        <f t="shared" si="7"/>
        <v>0</v>
      </c>
      <c r="R224" s="85"/>
      <c r="S224" s="624"/>
      <c r="T224" s="260"/>
      <c r="U224" s="624"/>
      <c r="V224" s="85"/>
      <c r="W224" s="624"/>
      <c r="X224" s="81"/>
      <c r="Y224" s="80"/>
      <c r="Z224" s="737">
        <f ca="1">MAX(0%,IF(Q224&lt;&gt;0,MIN((S224-Q224)/Q224/'Underwriting Risk'!$E$27,'Premium and Reserve Risk'!$Z$131),'Premium and Reserve Risk'!$Z$131))</f>
        <v>0.08</v>
      </c>
      <c r="AA224" s="80"/>
      <c r="AB224" s="80"/>
      <c r="AC224" s="737">
        <f ca="1">MAX(0%,IF(U224&lt;&gt;0,MIN((W224-U224)/U224/'Underwriting Risk'!$E$27,'Premium and Reserve Risk'!$AC$131),'Premium and Reserve Risk'!$AC$131))</f>
        <v>0.08</v>
      </c>
      <c r="AD224" s="81"/>
      <c r="AE224" s="97"/>
      <c r="AF224" s="97"/>
      <c r="AG224" s="97"/>
      <c r="AH224" s="97"/>
    </row>
    <row r="225" spans="1:34" ht="13.5" customHeight="1" x14ac:dyDescent="0.25">
      <c r="A225" s="97"/>
      <c r="B225" s="257">
        <v>93</v>
      </c>
      <c r="C225" s="652"/>
      <c r="D225" s="80"/>
      <c r="E225" s="80"/>
      <c r="F225" s="258">
        <f t="shared" ca="1" si="9"/>
        <v>0</v>
      </c>
      <c r="G225" s="624"/>
      <c r="H225" s="85"/>
      <c r="I225" s="624"/>
      <c r="J225" s="85"/>
      <c r="K225" s="624"/>
      <c r="L225" s="85"/>
      <c r="M225" s="624"/>
      <c r="N225" s="85"/>
      <c r="O225" s="624"/>
      <c r="P225" s="85"/>
      <c r="Q225" s="626">
        <f t="shared" si="7"/>
        <v>0</v>
      </c>
      <c r="R225" s="85"/>
      <c r="S225" s="624"/>
      <c r="T225" s="260"/>
      <c r="U225" s="624"/>
      <c r="V225" s="85"/>
      <c r="W225" s="624"/>
      <c r="X225" s="81"/>
      <c r="Y225" s="80"/>
      <c r="Z225" s="737">
        <f ca="1">MAX(0%,IF(Q225&lt;&gt;0,MIN((S225-Q225)/Q225/'Underwriting Risk'!$E$27,'Premium and Reserve Risk'!$Z$131),'Premium and Reserve Risk'!$Z$131))</f>
        <v>0.08</v>
      </c>
      <c r="AA225" s="80"/>
      <c r="AB225" s="80"/>
      <c r="AC225" s="737">
        <f ca="1">MAX(0%,IF(U225&lt;&gt;0,MIN((W225-U225)/U225/'Underwriting Risk'!$E$27,'Premium and Reserve Risk'!$AC$131),'Premium and Reserve Risk'!$AC$131))</f>
        <v>0.08</v>
      </c>
      <c r="AD225" s="81"/>
      <c r="AE225" s="97"/>
      <c r="AF225" s="97"/>
      <c r="AG225" s="97"/>
      <c r="AH225" s="97"/>
    </row>
    <row r="226" spans="1:34" ht="13.5" customHeight="1" x14ac:dyDescent="0.25">
      <c r="A226" s="97"/>
      <c r="B226" s="257">
        <v>94</v>
      </c>
      <c r="C226" s="652"/>
      <c r="D226" s="80"/>
      <c r="E226" s="80"/>
      <c r="F226" s="258">
        <f t="shared" ca="1" si="9"/>
        <v>0</v>
      </c>
      <c r="G226" s="624"/>
      <c r="H226" s="85"/>
      <c r="I226" s="624"/>
      <c r="J226" s="85"/>
      <c r="K226" s="624"/>
      <c r="L226" s="85"/>
      <c r="M226" s="624"/>
      <c r="N226" s="85"/>
      <c r="O226" s="624"/>
      <c r="P226" s="85"/>
      <c r="Q226" s="626">
        <f t="shared" si="7"/>
        <v>0</v>
      </c>
      <c r="R226" s="85"/>
      <c r="S226" s="624"/>
      <c r="T226" s="260"/>
      <c r="U226" s="624"/>
      <c r="V226" s="85"/>
      <c r="W226" s="624"/>
      <c r="X226" s="81"/>
      <c r="Y226" s="80"/>
      <c r="Z226" s="737">
        <f ca="1">MAX(0%,IF(Q226&lt;&gt;0,MIN((S226-Q226)/Q226/'Underwriting Risk'!$E$27,'Premium and Reserve Risk'!$Z$131),'Premium and Reserve Risk'!$Z$131))</f>
        <v>0.08</v>
      </c>
      <c r="AA226" s="80"/>
      <c r="AB226" s="80"/>
      <c r="AC226" s="737">
        <f ca="1">MAX(0%,IF(U226&lt;&gt;0,MIN((W226-U226)/U226/'Underwriting Risk'!$E$27,'Premium and Reserve Risk'!$AC$131),'Premium and Reserve Risk'!$AC$131))</f>
        <v>0.08</v>
      </c>
      <c r="AD226" s="81"/>
      <c r="AE226" s="97"/>
      <c r="AF226" s="97"/>
      <c r="AG226" s="97"/>
      <c r="AH226" s="97"/>
    </row>
    <row r="227" spans="1:34" ht="13.5" customHeight="1" x14ac:dyDescent="0.25">
      <c r="A227" s="97"/>
      <c r="B227" s="257">
        <v>95</v>
      </c>
      <c r="C227" s="652"/>
      <c r="D227" s="80"/>
      <c r="E227" s="80"/>
      <c r="F227" s="258">
        <f t="shared" ca="1" si="9"/>
        <v>0</v>
      </c>
      <c r="G227" s="624"/>
      <c r="H227" s="85"/>
      <c r="I227" s="624"/>
      <c r="J227" s="85"/>
      <c r="K227" s="624"/>
      <c r="L227" s="85"/>
      <c r="M227" s="624"/>
      <c r="N227" s="85"/>
      <c r="O227" s="624"/>
      <c r="P227" s="85"/>
      <c r="Q227" s="626">
        <f t="shared" si="7"/>
        <v>0</v>
      </c>
      <c r="R227" s="85"/>
      <c r="S227" s="624"/>
      <c r="T227" s="260"/>
      <c r="U227" s="624"/>
      <c r="V227" s="85"/>
      <c r="W227" s="624"/>
      <c r="X227" s="81"/>
      <c r="Y227" s="80"/>
      <c r="Z227" s="737">
        <f ca="1">MAX(0%,IF(Q227&lt;&gt;0,MIN((S227-Q227)/Q227/'Underwriting Risk'!$E$27,'Premium and Reserve Risk'!$Z$131),'Premium and Reserve Risk'!$Z$131))</f>
        <v>0.08</v>
      </c>
      <c r="AA227" s="80"/>
      <c r="AB227" s="80"/>
      <c r="AC227" s="737">
        <f ca="1">MAX(0%,IF(U227&lt;&gt;0,MIN((W227-U227)/U227/'Underwriting Risk'!$E$27,'Premium and Reserve Risk'!$AC$131),'Premium and Reserve Risk'!$AC$131))</f>
        <v>0.08</v>
      </c>
      <c r="AD227" s="81"/>
      <c r="AE227" s="97"/>
      <c r="AF227" s="97"/>
      <c r="AG227" s="97"/>
      <c r="AH227" s="97"/>
    </row>
    <row r="228" spans="1:34" ht="13.5" customHeight="1" x14ac:dyDescent="0.25">
      <c r="A228" s="97"/>
      <c r="B228" s="257">
        <v>96</v>
      </c>
      <c r="C228" s="652"/>
      <c r="D228" s="80"/>
      <c r="E228" s="80"/>
      <c r="F228" s="258">
        <f t="shared" ca="1" si="9"/>
        <v>0</v>
      </c>
      <c r="G228" s="624"/>
      <c r="H228" s="85"/>
      <c r="I228" s="624"/>
      <c r="J228" s="85"/>
      <c r="K228" s="624"/>
      <c r="L228" s="85"/>
      <c r="M228" s="624"/>
      <c r="N228" s="85"/>
      <c r="O228" s="624"/>
      <c r="P228" s="85"/>
      <c r="Q228" s="626">
        <f t="shared" si="7"/>
        <v>0</v>
      </c>
      <c r="R228" s="85"/>
      <c r="S228" s="624"/>
      <c r="T228" s="260"/>
      <c r="U228" s="624"/>
      <c r="V228" s="85"/>
      <c r="W228" s="624"/>
      <c r="X228" s="81"/>
      <c r="Y228" s="80"/>
      <c r="Z228" s="737">
        <f ca="1">MAX(0%,IF(Q228&lt;&gt;0,MIN((S228-Q228)/Q228/'Underwriting Risk'!$E$27,'Premium and Reserve Risk'!$Z$131),'Premium and Reserve Risk'!$Z$131))</f>
        <v>0.08</v>
      </c>
      <c r="AA228" s="80"/>
      <c r="AB228" s="80"/>
      <c r="AC228" s="737">
        <f ca="1">MAX(0%,IF(U228&lt;&gt;0,MIN((W228-U228)/U228/'Underwriting Risk'!$E$27,'Premium and Reserve Risk'!$AC$131),'Premium and Reserve Risk'!$AC$131))</f>
        <v>0.08</v>
      </c>
      <c r="AD228" s="81"/>
      <c r="AE228" s="97"/>
      <c r="AF228" s="97"/>
      <c r="AG228" s="97"/>
      <c r="AH228" s="97"/>
    </row>
    <row r="229" spans="1:34" ht="13.5" customHeight="1" x14ac:dyDescent="0.25">
      <c r="A229" s="97"/>
      <c r="B229" s="257">
        <v>97</v>
      </c>
      <c r="C229" s="652"/>
      <c r="D229" s="80"/>
      <c r="E229" s="80"/>
      <c r="F229" s="258">
        <f t="shared" ca="1" si="9"/>
        <v>0</v>
      </c>
      <c r="G229" s="624"/>
      <c r="H229" s="85"/>
      <c r="I229" s="624"/>
      <c r="J229" s="85"/>
      <c r="K229" s="624"/>
      <c r="L229" s="85"/>
      <c r="M229" s="624"/>
      <c r="N229" s="85"/>
      <c r="O229" s="624"/>
      <c r="P229" s="85"/>
      <c r="Q229" s="626">
        <f t="shared" si="7"/>
        <v>0</v>
      </c>
      <c r="R229" s="85"/>
      <c r="S229" s="624"/>
      <c r="T229" s="260"/>
      <c r="U229" s="624"/>
      <c r="V229" s="85"/>
      <c r="W229" s="624"/>
      <c r="X229" s="81"/>
      <c r="Y229" s="80"/>
      <c r="Z229" s="737">
        <f ca="1">MAX(0%,IF(Q229&lt;&gt;0,MIN((S229-Q229)/Q229/'Underwriting Risk'!$E$27,'Premium and Reserve Risk'!$Z$131),'Premium and Reserve Risk'!$Z$131))</f>
        <v>0.08</v>
      </c>
      <c r="AA229" s="80"/>
      <c r="AB229" s="80"/>
      <c r="AC229" s="737">
        <f ca="1">MAX(0%,IF(U229&lt;&gt;0,MIN((W229-U229)/U229/'Underwriting Risk'!$E$27,'Premium and Reserve Risk'!$AC$131),'Premium and Reserve Risk'!$AC$131))</f>
        <v>0.08</v>
      </c>
      <c r="AD229" s="81"/>
      <c r="AE229" s="97"/>
      <c r="AF229" s="97"/>
      <c r="AG229" s="97"/>
      <c r="AH229" s="97"/>
    </row>
    <row r="230" spans="1:34" ht="13.5" customHeight="1" x14ac:dyDescent="0.25">
      <c r="A230" s="97"/>
      <c r="B230" s="257">
        <v>98</v>
      </c>
      <c r="C230" s="652"/>
      <c r="D230" s="80"/>
      <c r="E230" s="80"/>
      <c r="F230" s="258">
        <f t="shared" ca="1" si="9"/>
        <v>0</v>
      </c>
      <c r="G230" s="624"/>
      <c r="H230" s="85"/>
      <c r="I230" s="624"/>
      <c r="J230" s="85"/>
      <c r="K230" s="624"/>
      <c r="L230" s="85"/>
      <c r="M230" s="624"/>
      <c r="N230" s="85"/>
      <c r="O230" s="624"/>
      <c r="P230" s="85"/>
      <c r="Q230" s="626">
        <f t="shared" si="7"/>
        <v>0</v>
      </c>
      <c r="R230" s="85"/>
      <c r="S230" s="624"/>
      <c r="T230" s="260"/>
      <c r="U230" s="624"/>
      <c r="V230" s="85"/>
      <c r="W230" s="624"/>
      <c r="X230" s="81"/>
      <c r="Y230" s="80"/>
      <c r="Z230" s="737">
        <f ca="1">MAX(0%,IF(Q230&lt;&gt;0,MIN((S230-Q230)/Q230/'Underwriting Risk'!$E$27,'Premium and Reserve Risk'!$Z$131),'Premium and Reserve Risk'!$Z$131))</f>
        <v>0.08</v>
      </c>
      <c r="AA230" s="80"/>
      <c r="AB230" s="80"/>
      <c r="AC230" s="737">
        <f ca="1">MAX(0%,IF(U230&lt;&gt;0,MIN((W230-U230)/U230/'Underwriting Risk'!$E$27,'Premium and Reserve Risk'!$AC$131),'Premium and Reserve Risk'!$AC$131))</f>
        <v>0.08</v>
      </c>
      <c r="AD230" s="81"/>
      <c r="AE230" s="97"/>
      <c r="AF230" s="97"/>
      <c r="AG230" s="97"/>
      <c r="AH230" s="97"/>
    </row>
    <row r="231" spans="1:34" ht="13.5" customHeight="1" x14ac:dyDescent="0.25">
      <c r="A231" s="97"/>
      <c r="B231" s="257">
        <v>99</v>
      </c>
      <c r="C231" s="652"/>
      <c r="D231" s="80"/>
      <c r="E231" s="80"/>
      <c r="F231" s="258">
        <f t="shared" ca="1" si="9"/>
        <v>0</v>
      </c>
      <c r="G231" s="624"/>
      <c r="H231" s="85"/>
      <c r="I231" s="624"/>
      <c r="J231" s="85"/>
      <c r="K231" s="624"/>
      <c r="L231" s="85"/>
      <c r="M231" s="624"/>
      <c r="N231" s="85"/>
      <c r="O231" s="624"/>
      <c r="P231" s="85"/>
      <c r="Q231" s="626">
        <f t="shared" si="7"/>
        <v>0</v>
      </c>
      <c r="R231" s="85"/>
      <c r="S231" s="624"/>
      <c r="T231" s="260"/>
      <c r="U231" s="624"/>
      <c r="V231" s="85"/>
      <c r="W231" s="624"/>
      <c r="X231" s="81"/>
      <c r="Y231" s="80"/>
      <c r="Z231" s="737">
        <f ca="1">MAX(0%,IF(Q231&lt;&gt;0,MIN((S231-Q231)/Q231/'Underwriting Risk'!$E$27,'Premium and Reserve Risk'!$Z$131),'Premium and Reserve Risk'!$Z$131))</f>
        <v>0.08</v>
      </c>
      <c r="AA231" s="80"/>
      <c r="AB231" s="80"/>
      <c r="AC231" s="737">
        <f ca="1">MAX(0%,IF(U231&lt;&gt;0,MIN((W231-U231)/U231/'Underwriting Risk'!$E$27,'Premium and Reserve Risk'!$AC$131),'Premium and Reserve Risk'!$AC$131))</f>
        <v>0.08</v>
      </c>
      <c r="AD231" s="81"/>
      <c r="AE231" s="97"/>
      <c r="AF231" s="97"/>
      <c r="AG231" s="97"/>
      <c r="AH231" s="97"/>
    </row>
    <row r="232" spans="1:34" ht="13.5" customHeight="1" x14ac:dyDescent="0.25">
      <c r="A232" s="97"/>
      <c r="B232" s="257">
        <v>100</v>
      </c>
      <c r="C232" s="652"/>
      <c r="D232" s="80"/>
      <c r="E232" s="80"/>
      <c r="F232" s="258">
        <f t="shared" ca="1" si="9"/>
        <v>0</v>
      </c>
      <c r="G232" s="624"/>
      <c r="H232" s="85"/>
      <c r="I232" s="624"/>
      <c r="J232" s="85"/>
      <c r="K232" s="624"/>
      <c r="L232" s="85"/>
      <c r="M232" s="624"/>
      <c r="N232" s="85"/>
      <c r="O232" s="624"/>
      <c r="P232" s="85"/>
      <c r="Q232" s="626">
        <f t="shared" si="7"/>
        <v>0</v>
      </c>
      <c r="R232" s="85"/>
      <c r="S232" s="624"/>
      <c r="T232" s="260"/>
      <c r="U232" s="624"/>
      <c r="V232" s="85"/>
      <c r="W232" s="624"/>
      <c r="X232" s="81"/>
      <c r="Y232" s="80"/>
      <c r="Z232" s="737">
        <f ca="1">MAX(0%,IF(Q232&lt;&gt;0,MIN((S232-Q232)/Q232/'Underwriting Risk'!$E$27,'Premium and Reserve Risk'!$Z$131),'Premium and Reserve Risk'!$Z$131))</f>
        <v>0.08</v>
      </c>
      <c r="AA232" s="80"/>
      <c r="AB232" s="80"/>
      <c r="AC232" s="737">
        <f ca="1">MAX(0%,IF(U232&lt;&gt;0,MIN((W232-U232)/U232/'Underwriting Risk'!$E$27,'Premium and Reserve Risk'!$AC$131),'Premium and Reserve Risk'!$AC$131))</f>
        <v>0.08</v>
      </c>
      <c r="AD232" s="81"/>
      <c r="AE232" s="97"/>
      <c r="AF232" s="97"/>
      <c r="AG232" s="97"/>
      <c r="AH232" s="97"/>
    </row>
    <row r="233" spans="1:34" ht="6" customHeight="1" thickBot="1" x14ac:dyDescent="0.3">
      <c r="A233" s="97"/>
      <c r="B233" s="110"/>
      <c r="C233" s="93"/>
      <c r="D233" s="93"/>
      <c r="E233" s="93"/>
      <c r="F233" s="261">
        <f ca="1">IF(OFFSET($Z$8,B130-1,0)=0,1,0)</f>
        <v>0</v>
      </c>
      <c r="G233" s="134"/>
      <c r="H233" s="134"/>
      <c r="I233" s="134"/>
      <c r="J233" s="134"/>
      <c r="K233" s="134"/>
      <c r="L233" s="134"/>
      <c r="M233" s="134"/>
      <c r="N233" s="134"/>
      <c r="O233" s="134"/>
      <c r="P233" s="134"/>
      <c r="Q233" s="134"/>
      <c r="R233" s="134"/>
      <c r="S233" s="134"/>
      <c r="T233" s="134"/>
      <c r="U233" s="134"/>
      <c r="V233" s="134"/>
      <c r="W233" s="134"/>
      <c r="X233" s="94"/>
      <c r="Y233" s="93"/>
      <c r="Z233" s="93"/>
      <c r="AA233" s="93"/>
      <c r="AB233" s="93"/>
      <c r="AC233" s="93"/>
      <c r="AD233" s="94"/>
      <c r="AE233" s="97"/>
      <c r="AF233" s="97"/>
      <c r="AG233" s="97"/>
      <c r="AH233" s="97"/>
    </row>
    <row r="234" spans="1:34" ht="16.5" thickBot="1" x14ac:dyDescent="0.3">
      <c r="A234" s="97"/>
      <c r="B234" s="53"/>
      <c r="C234" s="53"/>
      <c r="D234" s="53"/>
      <c r="E234" s="53"/>
      <c r="F234" s="109"/>
      <c r="G234" s="109"/>
      <c r="H234" s="109"/>
      <c r="I234" s="109"/>
      <c r="J234" s="109"/>
      <c r="K234" s="109"/>
      <c r="L234" s="109"/>
      <c r="M234" s="109"/>
      <c r="N234" s="109"/>
      <c r="O234" s="109"/>
      <c r="P234" s="109"/>
      <c r="Q234" s="109"/>
      <c r="R234" s="109"/>
      <c r="S234" s="109"/>
      <c r="T234" s="109"/>
      <c r="U234" s="109"/>
      <c r="V234" s="109"/>
      <c r="W234" s="109"/>
      <c r="X234" s="53"/>
      <c r="Y234" s="53"/>
      <c r="Z234" s="53"/>
      <c r="AA234" s="53"/>
      <c r="AB234" s="53"/>
      <c r="AC234" s="53"/>
      <c r="AD234" s="53"/>
      <c r="AE234" s="97"/>
      <c r="AF234" s="97"/>
      <c r="AG234" s="97"/>
      <c r="AH234" s="97"/>
    </row>
    <row r="235" spans="1:34" ht="31.5" x14ac:dyDescent="0.25">
      <c r="A235" s="97"/>
      <c r="B235" s="187">
        <v>3</v>
      </c>
      <c r="C235" s="187" t="str">
        <f ca="1">RIGHT(OFFSET($B$8,B235-1,0),LEN(OFFSET($B$8,B235-1,0))-5)</f>
        <v xml:space="preserve"> Marine, Aviation &amp; Transport (MAT) &amp; 15 Prop. Reins.</v>
      </c>
      <c r="D235" s="68"/>
      <c r="E235" s="68"/>
      <c r="F235" s="68"/>
      <c r="G235" s="68"/>
      <c r="H235" s="68"/>
      <c r="I235" s="68"/>
      <c r="J235" s="68"/>
      <c r="K235" s="68"/>
      <c r="L235" s="68"/>
      <c r="M235" s="68"/>
      <c r="N235" s="68"/>
      <c r="O235" s="68"/>
      <c r="P235" s="68"/>
      <c r="Q235" s="68"/>
      <c r="R235" s="68"/>
      <c r="S235" s="68"/>
      <c r="T235" s="68"/>
      <c r="U235" s="68"/>
      <c r="V235" s="68"/>
      <c r="W235" s="68"/>
      <c r="X235" s="251"/>
      <c r="Y235" s="68"/>
      <c r="Z235" s="250" t="s">
        <v>458</v>
      </c>
      <c r="AA235" s="736"/>
      <c r="AB235" s="736"/>
      <c r="AC235" s="250" t="s">
        <v>459</v>
      </c>
      <c r="AD235" s="251"/>
      <c r="AE235" s="97"/>
      <c r="AF235" s="97"/>
      <c r="AG235" s="97"/>
      <c r="AH235" s="97"/>
    </row>
    <row r="236" spans="1:34" ht="129.75" thickBot="1" x14ac:dyDescent="0.3">
      <c r="A236" s="97"/>
      <c r="B236" s="252"/>
      <c r="C236" s="253" t="s">
        <v>460</v>
      </c>
      <c r="D236" s="237"/>
      <c r="E236" s="237"/>
      <c r="F236" s="254">
        <f ca="1">IF(OFFSET($Z$8,B235-1,0)=0,1,0)</f>
        <v>0</v>
      </c>
      <c r="G236" s="792" t="s">
        <v>1130</v>
      </c>
      <c r="H236" s="793"/>
      <c r="I236" s="791" t="s">
        <v>438</v>
      </c>
      <c r="J236" s="791"/>
      <c r="K236" s="791" t="s">
        <v>439</v>
      </c>
      <c r="L236" s="791"/>
      <c r="M236" s="791" t="s">
        <v>1131</v>
      </c>
      <c r="N236" s="791"/>
      <c r="O236" s="791" t="s">
        <v>1132</v>
      </c>
      <c r="P236" s="363"/>
      <c r="Q236" s="237" t="s">
        <v>440</v>
      </c>
      <c r="R236" s="237"/>
      <c r="S236" s="237" t="s">
        <v>461</v>
      </c>
      <c r="T236" s="237"/>
      <c r="U236" s="237" t="s">
        <v>463</v>
      </c>
      <c r="V236" s="237"/>
      <c r="W236" s="237" t="s">
        <v>464</v>
      </c>
      <c r="X236" s="238"/>
      <c r="Y236" s="237"/>
      <c r="Z236" s="255">
        <f ca="1">OFFSET('Underwriting Risk'!$K$55,'Premium and Reserve Risk'!B235-1,0)</f>
        <v>0.15</v>
      </c>
      <c r="AA236" s="237"/>
      <c r="AB236" s="237"/>
      <c r="AC236" s="255">
        <f ca="1">OFFSET('Underwriting Risk'!$M$55,'Premium and Reserve Risk'!B235-1,0)</f>
        <v>0.11</v>
      </c>
      <c r="AD236" s="238"/>
      <c r="AE236" s="97"/>
      <c r="AF236" s="97"/>
      <c r="AG236" s="97"/>
      <c r="AH236" s="97"/>
    </row>
    <row r="237" spans="1:34" ht="6" customHeight="1" x14ac:dyDescent="0.25">
      <c r="A237" s="97"/>
      <c r="B237" s="106"/>
      <c r="C237" s="80"/>
      <c r="D237" s="80"/>
      <c r="E237" s="80"/>
      <c r="F237" s="256">
        <f ca="1">IF(OFFSET($Z$8,B235-1,0)=0,1,0)</f>
        <v>0</v>
      </c>
      <c r="G237" s="85"/>
      <c r="H237" s="85"/>
      <c r="I237" s="85"/>
      <c r="J237" s="85"/>
      <c r="K237" s="85"/>
      <c r="L237" s="85"/>
      <c r="M237" s="85"/>
      <c r="N237" s="85"/>
      <c r="O237" s="85"/>
      <c r="P237" s="85"/>
      <c r="Q237" s="85"/>
      <c r="R237" s="85"/>
      <c r="S237" s="85"/>
      <c r="T237" s="85"/>
      <c r="U237" s="85"/>
      <c r="V237" s="85"/>
      <c r="W237" s="85"/>
      <c r="X237" s="81"/>
      <c r="Y237" s="80"/>
      <c r="Z237" s="80"/>
      <c r="AA237" s="80"/>
      <c r="AB237" s="80"/>
      <c r="AC237" s="80"/>
      <c r="AD237" s="81"/>
      <c r="AE237" s="97"/>
      <c r="AF237" s="97"/>
      <c r="AG237" s="97"/>
      <c r="AH237" s="97"/>
    </row>
    <row r="238" spans="1:34" ht="13.5" customHeight="1" x14ac:dyDescent="0.25">
      <c r="A238" s="97"/>
      <c r="B238" s="257">
        <v>1</v>
      </c>
      <c r="C238" s="652"/>
      <c r="D238" s="80"/>
      <c r="E238" s="80"/>
      <c r="F238" s="258">
        <f ca="1">IF(B238&lt;=OFFSET($Z$8,B$235-1,0),0,1)</f>
        <v>0</v>
      </c>
      <c r="G238" s="624"/>
      <c r="H238" s="85"/>
      <c r="I238" s="624"/>
      <c r="J238" s="85"/>
      <c r="K238" s="624"/>
      <c r="L238" s="85"/>
      <c r="M238" s="624"/>
      <c r="N238" s="85"/>
      <c r="O238" s="624"/>
      <c r="P238" s="85"/>
      <c r="Q238" s="626">
        <f t="shared" ref="Q238:Q337" si="10">MAX(G238,I238)+K238+M238+0.3*O238</f>
        <v>0</v>
      </c>
      <c r="R238" s="85"/>
      <c r="S238" s="624"/>
      <c r="T238" s="260"/>
      <c r="U238" s="624"/>
      <c r="V238" s="85"/>
      <c r="W238" s="624"/>
      <c r="X238" s="81"/>
      <c r="Y238" s="80"/>
      <c r="Z238" s="737">
        <f ca="1">MAX(0%,IF(Q238&lt;&gt;0,MIN((S238-Q238)/Q238/'Underwriting Risk'!$E$27,'Premium and Reserve Risk'!$Z$236),'Premium and Reserve Risk'!$Z$236))</f>
        <v>0.15</v>
      </c>
      <c r="AA238" s="80"/>
      <c r="AB238" s="80"/>
      <c r="AC238" s="737">
        <f ca="1">MAX(0%,IF(U238&lt;&gt;0,MIN((W238-U238)/U238/'Underwriting Risk'!$E$27,'Premium and Reserve Risk'!$AC$236),'Premium and Reserve Risk'!$AC$236))</f>
        <v>0.11</v>
      </c>
      <c r="AD238" s="81"/>
      <c r="AE238" s="97"/>
      <c r="AF238" s="97"/>
      <c r="AG238" s="97"/>
      <c r="AH238" s="97"/>
    </row>
    <row r="239" spans="1:34" ht="13.5" customHeight="1" x14ac:dyDescent="0.25">
      <c r="A239" s="97"/>
      <c r="B239" s="257">
        <v>2</v>
      </c>
      <c r="C239" s="652"/>
      <c r="D239" s="80"/>
      <c r="E239" s="80"/>
      <c r="F239" s="258">
        <f t="shared" ref="F239:F302" ca="1" si="11">IF(B239&lt;=OFFSET($Z$8,B$235-1,0),0,1)</f>
        <v>0</v>
      </c>
      <c r="G239" s="624"/>
      <c r="H239" s="85"/>
      <c r="I239" s="624"/>
      <c r="J239" s="85"/>
      <c r="K239" s="624"/>
      <c r="L239" s="85"/>
      <c r="M239" s="624"/>
      <c r="N239" s="85"/>
      <c r="O239" s="624"/>
      <c r="P239" s="85"/>
      <c r="Q239" s="626">
        <f t="shared" si="10"/>
        <v>0</v>
      </c>
      <c r="R239" s="85"/>
      <c r="S239" s="624"/>
      <c r="T239" s="260"/>
      <c r="U239" s="624"/>
      <c r="V239" s="85"/>
      <c r="W239" s="624"/>
      <c r="X239" s="81"/>
      <c r="Y239" s="80"/>
      <c r="Z239" s="737">
        <f ca="1">MAX(0%,IF(Q239&lt;&gt;0,MIN((S239-Q239)/Q239/'Underwriting Risk'!$E$27,'Premium and Reserve Risk'!$Z$236),'Premium and Reserve Risk'!$Z$236))</f>
        <v>0.15</v>
      </c>
      <c r="AA239" s="80"/>
      <c r="AB239" s="80"/>
      <c r="AC239" s="737">
        <f ca="1">MAX(0%,IF(U239&lt;&gt;0,MIN((W239-U239)/U239/'Underwriting Risk'!$E$27,'Premium and Reserve Risk'!$AC$236),'Premium and Reserve Risk'!$AC$236))</f>
        <v>0.11</v>
      </c>
      <c r="AD239" s="81"/>
      <c r="AE239" s="97"/>
      <c r="AF239" s="97"/>
      <c r="AG239" s="97"/>
      <c r="AH239" s="97"/>
    </row>
    <row r="240" spans="1:34" ht="13.5" customHeight="1" x14ac:dyDescent="0.25">
      <c r="A240" s="97"/>
      <c r="B240" s="257">
        <v>3</v>
      </c>
      <c r="C240" s="652"/>
      <c r="D240" s="80"/>
      <c r="E240" s="80"/>
      <c r="F240" s="258">
        <f t="shared" ca="1" si="11"/>
        <v>0</v>
      </c>
      <c r="G240" s="624"/>
      <c r="H240" s="85"/>
      <c r="I240" s="624"/>
      <c r="J240" s="85"/>
      <c r="K240" s="624"/>
      <c r="L240" s="85"/>
      <c r="M240" s="624"/>
      <c r="N240" s="85"/>
      <c r="O240" s="624"/>
      <c r="P240" s="85"/>
      <c r="Q240" s="626">
        <f t="shared" si="10"/>
        <v>0</v>
      </c>
      <c r="R240" s="85"/>
      <c r="S240" s="624"/>
      <c r="T240" s="260"/>
      <c r="U240" s="624"/>
      <c r="V240" s="85"/>
      <c r="W240" s="624"/>
      <c r="X240" s="81"/>
      <c r="Y240" s="80"/>
      <c r="Z240" s="737">
        <f ca="1">MAX(0%,IF(Q240&lt;&gt;0,MIN((S240-Q240)/Q240/'Underwriting Risk'!$E$27,'Premium and Reserve Risk'!$Z$236),'Premium and Reserve Risk'!$Z$236))</f>
        <v>0.15</v>
      </c>
      <c r="AA240" s="80"/>
      <c r="AB240" s="80"/>
      <c r="AC240" s="737">
        <f ca="1">MAX(0%,IF(U240&lt;&gt;0,MIN((W240-U240)/U240/'Underwriting Risk'!$E$27,'Premium and Reserve Risk'!$AC$236),'Premium and Reserve Risk'!$AC$236))</f>
        <v>0.11</v>
      </c>
      <c r="AD240" s="81"/>
      <c r="AE240" s="97"/>
      <c r="AF240" s="97"/>
      <c r="AG240" s="97"/>
      <c r="AH240" s="97"/>
    </row>
    <row r="241" spans="1:34" ht="13.5" customHeight="1" x14ac:dyDescent="0.25">
      <c r="A241" s="97"/>
      <c r="B241" s="257">
        <v>4</v>
      </c>
      <c r="C241" s="652"/>
      <c r="D241" s="80"/>
      <c r="E241" s="80"/>
      <c r="F241" s="258">
        <f t="shared" ca="1" si="11"/>
        <v>0</v>
      </c>
      <c r="G241" s="624"/>
      <c r="H241" s="85"/>
      <c r="I241" s="624"/>
      <c r="J241" s="85"/>
      <c r="K241" s="624"/>
      <c r="L241" s="85"/>
      <c r="M241" s="624"/>
      <c r="N241" s="85"/>
      <c r="O241" s="624"/>
      <c r="P241" s="85"/>
      <c r="Q241" s="626">
        <f t="shared" si="10"/>
        <v>0</v>
      </c>
      <c r="R241" s="85"/>
      <c r="S241" s="624"/>
      <c r="T241" s="260"/>
      <c r="U241" s="624"/>
      <c r="V241" s="85"/>
      <c r="W241" s="624"/>
      <c r="X241" s="81"/>
      <c r="Y241" s="80"/>
      <c r="Z241" s="737">
        <f ca="1">MAX(0%,IF(Q241&lt;&gt;0,MIN((S241-Q241)/Q241/'Underwriting Risk'!$E$27,'Premium and Reserve Risk'!$Z$236),'Premium and Reserve Risk'!$Z$236))</f>
        <v>0.15</v>
      </c>
      <c r="AA241" s="80"/>
      <c r="AB241" s="80"/>
      <c r="AC241" s="737">
        <f ca="1">MAX(0%,IF(U241&lt;&gt;0,MIN((W241-U241)/U241/'Underwriting Risk'!$E$27,'Premium and Reserve Risk'!$AC$236),'Premium and Reserve Risk'!$AC$236))</f>
        <v>0.11</v>
      </c>
      <c r="AD241" s="81"/>
      <c r="AE241" s="97"/>
      <c r="AF241" s="97"/>
      <c r="AG241" s="97"/>
      <c r="AH241" s="97"/>
    </row>
    <row r="242" spans="1:34" ht="13.5" customHeight="1" x14ac:dyDescent="0.25">
      <c r="A242" s="97"/>
      <c r="B242" s="257">
        <v>5</v>
      </c>
      <c r="C242" s="652"/>
      <c r="D242" s="80"/>
      <c r="E242" s="80"/>
      <c r="F242" s="258">
        <f t="shared" ca="1" si="11"/>
        <v>0</v>
      </c>
      <c r="G242" s="624"/>
      <c r="H242" s="85"/>
      <c r="I242" s="624"/>
      <c r="J242" s="85"/>
      <c r="K242" s="624"/>
      <c r="L242" s="85"/>
      <c r="M242" s="624"/>
      <c r="N242" s="85"/>
      <c r="O242" s="624"/>
      <c r="P242" s="85"/>
      <c r="Q242" s="626">
        <f t="shared" si="10"/>
        <v>0</v>
      </c>
      <c r="R242" s="85"/>
      <c r="S242" s="624"/>
      <c r="T242" s="260"/>
      <c r="U242" s="624"/>
      <c r="V242" s="85"/>
      <c r="W242" s="624"/>
      <c r="X242" s="81"/>
      <c r="Y242" s="80"/>
      <c r="Z242" s="737">
        <f ca="1">MAX(0%,IF(Q242&lt;&gt;0,MIN((S242-Q242)/Q242/'Underwriting Risk'!$E$27,'Premium and Reserve Risk'!$Z$236),'Premium and Reserve Risk'!$Z$236))</f>
        <v>0.15</v>
      </c>
      <c r="AA242" s="80"/>
      <c r="AB242" s="80"/>
      <c r="AC242" s="737">
        <f ca="1">MAX(0%,IF(U242&lt;&gt;0,MIN((W242-U242)/U242/'Underwriting Risk'!$E$27,'Premium and Reserve Risk'!$AC$236),'Premium and Reserve Risk'!$AC$236))</f>
        <v>0.11</v>
      </c>
      <c r="AD242" s="81"/>
      <c r="AE242" s="97"/>
      <c r="AF242" s="97"/>
      <c r="AG242" s="97"/>
      <c r="AH242" s="97"/>
    </row>
    <row r="243" spans="1:34" ht="13.5" customHeight="1" x14ac:dyDescent="0.25">
      <c r="A243" s="97"/>
      <c r="B243" s="257">
        <v>6</v>
      </c>
      <c r="C243" s="652"/>
      <c r="D243" s="80"/>
      <c r="E243" s="80"/>
      <c r="F243" s="258">
        <f t="shared" ca="1" si="11"/>
        <v>0</v>
      </c>
      <c r="G243" s="624"/>
      <c r="H243" s="85"/>
      <c r="I243" s="624"/>
      <c r="J243" s="85"/>
      <c r="K243" s="624"/>
      <c r="L243" s="85"/>
      <c r="M243" s="624"/>
      <c r="N243" s="85"/>
      <c r="O243" s="624"/>
      <c r="P243" s="85"/>
      <c r="Q243" s="626">
        <f t="shared" si="10"/>
        <v>0</v>
      </c>
      <c r="R243" s="85"/>
      <c r="S243" s="624"/>
      <c r="T243" s="260"/>
      <c r="U243" s="624"/>
      <c r="V243" s="85"/>
      <c r="W243" s="624"/>
      <c r="X243" s="81"/>
      <c r="Y243" s="80"/>
      <c r="Z243" s="737">
        <f ca="1">MAX(0%,IF(Q243&lt;&gt;0,MIN((S243-Q243)/Q243/'Underwriting Risk'!$E$27,'Premium and Reserve Risk'!$Z$236),'Premium and Reserve Risk'!$Z$236))</f>
        <v>0.15</v>
      </c>
      <c r="AA243" s="80"/>
      <c r="AB243" s="80"/>
      <c r="AC243" s="737">
        <f ca="1">MAX(0%,IF(U243&lt;&gt;0,MIN((W243-U243)/U243/'Underwriting Risk'!$E$27,'Premium and Reserve Risk'!$AC$236),'Premium and Reserve Risk'!$AC$236))</f>
        <v>0.11</v>
      </c>
      <c r="AD243" s="81"/>
      <c r="AE243" s="97"/>
      <c r="AF243" s="97"/>
      <c r="AG243" s="97"/>
      <c r="AH243" s="97"/>
    </row>
    <row r="244" spans="1:34" ht="13.5" customHeight="1" x14ac:dyDescent="0.25">
      <c r="A244" s="97"/>
      <c r="B244" s="257">
        <v>7</v>
      </c>
      <c r="C244" s="652"/>
      <c r="D244" s="80"/>
      <c r="E244" s="80"/>
      <c r="F244" s="258">
        <f t="shared" ca="1" si="11"/>
        <v>0</v>
      </c>
      <c r="G244" s="624"/>
      <c r="H244" s="85"/>
      <c r="I244" s="624"/>
      <c r="J244" s="85"/>
      <c r="K244" s="624"/>
      <c r="L244" s="85"/>
      <c r="M244" s="624"/>
      <c r="N244" s="85"/>
      <c r="O244" s="624"/>
      <c r="P244" s="85"/>
      <c r="Q244" s="626">
        <f t="shared" si="10"/>
        <v>0</v>
      </c>
      <c r="R244" s="85"/>
      <c r="S244" s="624"/>
      <c r="T244" s="260"/>
      <c r="U244" s="624"/>
      <c r="V244" s="85"/>
      <c r="W244" s="624"/>
      <c r="X244" s="81"/>
      <c r="Y244" s="80"/>
      <c r="Z244" s="737">
        <f ca="1">MAX(0%,IF(Q244&lt;&gt;0,MIN((S244-Q244)/Q244/'Underwriting Risk'!$E$27,'Premium and Reserve Risk'!$Z$236),'Premium and Reserve Risk'!$Z$236))</f>
        <v>0.15</v>
      </c>
      <c r="AA244" s="80"/>
      <c r="AB244" s="80"/>
      <c r="AC244" s="737">
        <f ca="1">MAX(0%,IF(U244&lt;&gt;0,MIN((W244-U244)/U244/'Underwriting Risk'!$E$27,'Premium and Reserve Risk'!$AC$236),'Premium and Reserve Risk'!$AC$236))</f>
        <v>0.11</v>
      </c>
      <c r="AD244" s="81"/>
      <c r="AE244" s="97"/>
      <c r="AF244" s="97"/>
      <c r="AG244" s="97"/>
      <c r="AH244" s="97"/>
    </row>
    <row r="245" spans="1:34" ht="13.5" customHeight="1" x14ac:dyDescent="0.25">
      <c r="A245" s="97"/>
      <c r="B245" s="257">
        <v>8</v>
      </c>
      <c r="C245" s="652"/>
      <c r="D245" s="80"/>
      <c r="E245" s="80"/>
      <c r="F245" s="258">
        <f t="shared" ca="1" si="11"/>
        <v>0</v>
      </c>
      <c r="G245" s="624"/>
      <c r="H245" s="85"/>
      <c r="I245" s="624"/>
      <c r="J245" s="85"/>
      <c r="K245" s="624"/>
      <c r="L245" s="85"/>
      <c r="M245" s="624"/>
      <c r="N245" s="85"/>
      <c r="O245" s="624"/>
      <c r="P245" s="85"/>
      <c r="Q245" s="626">
        <f t="shared" si="10"/>
        <v>0</v>
      </c>
      <c r="R245" s="85"/>
      <c r="S245" s="624"/>
      <c r="T245" s="260"/>
      <c r="U245" s="624"/>
      <c r="V245" s="85"/>
      <c r="W245" s="624"/>
      <c r="X245" s="81"/>
      <c r="Y245" s="80"/>
      <c r="Z245" s="737">
        <f ca="1">MAX(0%,IF(Q245&lt;&gt;0,MIN((S245-Q245)/Q245/'Underwriting Risk'!$E$27,'Premium and Reserve Risk'!$Z$236),'Premium and Reserve Risk'!$Z$236))</f>
        <v>0.15</v>
      </c>
      <c r="AA245" s="80"/>
      <c r="AB245" s="80"/>
      <c r="AC245" s="737">
        <f ca="1">MAX(0%,IF(U245&lt;&gt;0,MIN((W245-U245)/U245/'Underwriting Risk'!$E$27,'Premium and Reserve Risk'!$AC$236),'Premium and Reserve Risk'!$AC$236))</f>
        <v>0.11</v>
      </c>
      <c r="AD245" s="81"/>
      <c r="AE245" s="97"/>
      <c r="AF245" s="97"/>
      <c r="AG245" s="97"/>
      <c r="AH245" s="97"/>
    </row>
    <row r="246" spans="1:34" ht="13.5" customHeight="1" x14ac:dyDescent="0.25">
      <c r="A246" s="97"/>
      <c r="B246" s="257">
        <v>9</v>
      </c>
      <c r="C246" s="652"/>
      <c r="D246" s="80"/>
      <c r="E246" s="80"/>
      <c r="F246" s="258">
        <f t="shared" ca="1" si="11"/>
        <v>0</v>
      </c>
      <c r="G246" s="624"/>
      <c r="H246" s="85"/>
      <c r="I246" s="624"/>
      <c r="J246" s="85"/>
      <c r="K246" s="624"/>
      <c r="L246" s="85"/>
      <c r="M246" s="624"/>
      <c r="N246" s="85"/>
      <c r="O246" s="624"/>
      <c r="P246" s="85"/>
      <c r="Q246" s="626">
        <f t="shared" si="10"/>
        <v>0</v>
      </c>
      <c r="R246" s="85"/>
      <c r="S246" s="624"/>
      <c r="T246" s="260"/>
      <c r="U246" s="624"/>
      <c r="V246" s="85"/>
      <c r="W246" s="624"/>
      <c r="X246" s="81"/>
      <c r="Y246" s="80"/>
      <c r="Z246" s="737">
        <f ca="1">MAX(0%,IF(Q246&lt;&gt;0,MIN((S246-Q246)/Q246/'Underwriting Risk'!$E$27,'Premium and Reserve Risk'!$Z$236),'Premium and Reserve Risk'!$Z$236))</f>
        <v>0.15</v>
      </c>
      <c r="AA246" s="80"/>
      <c r="AB246" s="80"/>
      <c r="AC246" s="737">
        <f ca="1">MAX(0%,IF(U246&lt;&gt;0,MIN((W246-U246)/U246/'Underwriting Risk'!$E$27,'Premium and Reserve Risk'!$AC$236),'Premium and Reserve Risk'!$AC$236))</f>
        <v>0.11</v>
      </c>
      <c r="AD246" s="81"/>
      <c r="AE246" s="97"/>
      <c r="AF246" s="97"/>
      <c r="AG246" s="97"/>
      <c r="AH246" s="97"/>
    </row>
    <row r="247" spans="1:34" ht="13.5" customHeight="1" x14ac:dyDescent="0.25">
      <c r="A247" s="97"/>
      <c r="B247" s="257">
        <v>10</v>
      </c>
      <c r="C247" s="652"/>
      <c r="D247" s="80"/>
      <c r="E247" s="80"/>
      <c r="F247" s="258">
        <f t="shared" ca="1" si="11"/>
        <v>0</v>
      </c>
      <c r="G247" s="624"/>
      <c r="H247" s="85"/>
      <c r="I247" s="624"/>
      <c r="J247" s="85"/>
      <c r="K247" s="624"/>
      <c r="L247" s="85"/>
      <c r="M247" s="624"/>
      <c r="N247" s="85"/>
      <c r="O247" s="624"/>
      <c r="P247" s="85"/>
      <c r="Q247" s="626">
        <f t="shared" si="10"/>
        <v>0</v>
      </c>
      <c r="R247" s="85"/>
      <c r="S247" s="624"/>
      <c r="T247" s="260"/>
      <c r="U247" s="624"/>
      <c r="V247" s="85"/>
      <c r="W247" s="624"/>
      <c r="X247" s="81"/>
      <c r="Y247" s="80"/>
      <c r="Z247" s="737">
        <f ca="1">MAX(0%,IF(Q247&lt;&gt;0,MIN((S247-Q247)/Q247/'Underwriting Risk'!$E$27,'Premium and Reserve Risk'!$Z$236),'Premium and Reserve Risk'!$Z$236))</f>
        <v>0.15</v>
      </c>
      <c r="AA247" s="80"/>
      <c r="AB247" s="80"/>
      <c r="AC247" s="737">
        <f ca="1">MAX(0%,IF(U247&lt;&gt;0,MIN((W247-U247)/U247/'Underwriting Risk'!$E$27,'Premium and Reserve Risk'!$AC$236),'Premium and Reserve Risk'!$AC$236))</f>
        <v>0.11</v>
      </c>
      <c r="AD247" s="81"/>
      <c r="AE247" s="97"/>
      <c r="AF247" s="97"/>
      <c r="AG247" s="97"/>
      <c r="AH247" s="97"/>
    </row>
    <row r="248" spans="1:34" ht="13.5" customHeight="1" x14ac:dyDescent="0.25">
      <c r="A248" s="97"/>
      <c r="B248" s="257">
        <v>11</v>
      </c>
      <c r="C248" s="652"/>
      <c r="D248" s="80"/>
      <c r="E248" s="80"/>
      <c r="F248" s="258">
        <f t="shared" ca="1" si="11"/>
        <v>0</v>
      </c>
      <c r="G248" s="624"/>
      <c r="H248" s="85"/>
      <c r="I248" s="624"/>
      <c r="J248" s="85"/>
      <c r="K248" s="624"/>
      <c r="L248" s="85"/>
      <c r="M248" s="624"/>
      <c r="N248" s="85"/>
      <c r="O248" s="624"/>
      <c r="P248" s="85"/>
      <c r="Q248" s="626">
        <f t="shared" si="10"/>
        <v>0</v>
      </c>
      <c r="R248" s="85"/>
      <c r="S248" s="624"/>
      <c r="T248" s="260"/>
      <c r="U248" s="624"/>
      <c r="V248" s="85"/>
      <c r="W248" s="624"/>
      <c r="X248" s="81"/>
      <c r="Y248" s="80"/>
      <c r="Z248" s="737">
        <f ca="1">MAX(0%,IF(Q248&lt;&gt;0,MIN((S248-Q248)/Q248/'Underwriting Risk'!$E$27,'Premium and Reserve Risk'!$Z$236),'Premium and Reserve Risk'!$Z$236))</f>
        <v>0.15</v>
      </c>
      <c r="AA248" s="80"/>
      <c r="AB248" s="80"/>
      <c r="AC248" s="737">
        <f ca="1">MAX(0%,IF(U248&lt;&gt;0,MIN((W248-U248)/U248/'Underwriting Risk'!$E$27,'Premium and Reserve Risk'!$AC$236),'Premium and Reserve Risk'!$AC$236))</f>
        <v>0.11</v>
      </c>
      <c r="AD248" s="81"/>
      <c r="AE248" s="97"/>
      <c r="AF248" s="97"/>
      <c r="AG248" s="97"/>
      <c r="AH248" s="97"/>
    </row>
    <row r="249" spans="1:34" ht="13.5" customHeight="1" x14ac:dyDescent="0.25">
      <c r="A249" s="97"/>
      <c r="B249" s="257">
        <v>12</v>
      </c>
      <c r="C249" s="652"/>
      <c r="D249" s="80"/>
      <c r="E249" s="80"/>
      <c r="F249" s="258">
        <f t="shared" ca="1" si="11"/>
        <v>0</v>
      </c>
      <c r="G249" s="624"/>
      <c r="H249" s="85"/>
      <c r="I249" s="624"/>
      <c r="J249" s="85"/>
      <c r="K249" s="624"/>
      <c r="L249" s="85"/>
      <c r="M249" s="624"/>
      <c r="N249" s="85"/>
      <c r="O249" s="624"/>
      <c r="P249" s="85"/>
      <c r="Q249" s="626">
        <f t="shared" si="10"/>
        <v>0</v>
      </c>
      <c r="R249" s="85"/>
      <c r="S249" s="624"/>
      <c r="T249" s="260"/>
      <c r="U249" s="624"/>
      <c r="V249" s="85"/>
      <c r="W249" s="624"/>
      <c r="X249" s="81"/>
      <c r="Y249" s="80"/>
      <c r="Z249" s="737">
        <f ca="1">MAX(0%,IF(Q249&lt;&gt;0,MIN((S249-Q249)/Q249/'Underwriting Risk'!$E$27,'Premium and Reserve Risk'!$Z$236),'Premium and Reserve Risk'!$Z$236))</f>
        <v>0.15</v>
      </c>
      <c r="AA249" s="80"/>
      <c r="AB249" s="80"/>
      <c r="AC249" s="737">
        <f ca="1">MAX(0%,IF(U249&lt;&gt;0,MIN((W249-U249)/U249/'Underwriting Risk'!$E$27,'Premium and Reserve Risk'!$AC$236),'Premium and Reserve Risk'!$AC$236))</f>
        <v>0.11</v>
      </c>
      <c r="AD249" s="81"/>
      <c r="AE249" s="97"/>
      <c r="AF249" s="97"/>
      <c r="AG249" s="97"/>
      <c r="AH249" s="97"/>
    </row>
    <row r="250" spans="1:34" ht="13.5" customHeight="1" x14ac:dyDescent="0.25">
      <c r="A250" s="97"/>
      <c r="B250" s="257">
        <v>13</v>
      </c>
      <c r="C250" s="652"/>
      <c r="D250" s="80"/>
      <c r="E250" s="80"/>
      <c r="F250" s="258">
        <f t="shared" ca="1" si="11"/>
        <v>0</v>
      </c>
      <c r="G250" s="624"/>
      <c r="H250" s="85"/>
      <c r="I250" s="624"/>
      <c r="J250" s="85"/>
      <c r="K250" s="624"/>
      <c r="L250" s="85"/>
      <c r="M250" s="624"/>
      <c r="N250" s="85"/>
      <c r="O250" s="624"/>
      <c r="P250" s="85"/>
      <c r="Q250" s="626">
        <f t="shared" si="10"/>
        <v>0</v>
      </c>
      <c r="R250" s="85"/>
      <c r="S250" s="624"/>
      <c r="T250" s="260"/>
      <c r="U250" s="624"/>
      <c r="V250" s="85"/>
      <c r="W250" s="624"/>
      <c r="X250" s="81"/>
      <c r="Y250" s="80"/>
      <c r="Z250" s="737">
        <f ca="1">MAX(0%,IF(Q250&lt;&gt;0,MIN((S250-Q250)/Q250/'Underwriting Risk'!$E$27,'Premium and Reserve Risk'!$Z$236),'Premium and Reserve Risk'!$Z$236))</f>
        <v>0.15</v>
      </c>
      <c r="AA250" s="80"/>
      <c r="AB250" s="80"/>
      <c r="AC250" s="737">
        <f ca="1">MAX(0%,IF(U250&lt;&gt;0,MIN((W250-U250)/U250/'Underwriting Risk'!$E$27,'Premium and Reserve Risk'!$AC$236),'Premium and Reserve Risk'!$AC$236))</f>
        <v>0.11</v>
      </c>
      <c r="AD250" s="81"/>
      <c r="AE250" s="97"/>
      <c r="AF250" s="97"/>
      <c r="AG250" s="97"/>
      <c r="AH250" s="97"/>
    </row>
    <row r="251" spans="1:34" ht="13.5" customHeight="1" x14ac:dyDescent="0.25">
      <c r="A251" s="97"/>
      <c r="B251" s="257">
        <v>14</v>
      </c>
      <c r="C251" s="652"/>
      <c r="D251" s="80"/>
      <c r="E251" s="80"/>
      <c r="F251" s="258">
        <f t="shared" ca="1" si="11"/>
        <v>0</v>
      </c>
      <c r="G251" s="624"/>
      <c r="H251" s="85"/>
      <c r="I251" s="624"/>
      <c r="J251" s="85"/>
      <c r="K251" s="624"/>
      <c r="L251" s="85"/>
      <c r="M251" s="624"/>
      <c r="N251" s="85"/>
      <c r="O251" s="624"/>
      <c r="P251" s="85"/>
      <c r="Q251" s="626">
        <f t="shared" si="10"/>
        <v>0</v>
      </c>
      <c r="R251" s="85"/>
      <c r="S251" s="624"/>
      <c r="T251" s="260"/>
      <c r="U251" s="624"/>
      <c r="V251" s="85"/>
      <c r="W251" s="624"/>
      <c r="X251" s="81"/>
      <c r="Y251" s="80"/>
      <c r="Z251" s="737">
        <f ca="1">MAX(0%,IF(Q251&lt;&gt;0,MIN((S251-Q251)/Q251/'Underwriting Risk'!$E$27,'Premium and Reserve Risk'!$Z$236),'Premium and Reserve Risk'!$Z$236))</f>
        <v>0.15</v>
      </c>
      <c r="AA251" s="80"/>
      <c r="AB251" s="80"/>
      <c r="AC251" s="737">
        <f ca="1">MAX(0%,IF(U251&lt;&gt;0,MIN((W251-U251)/U251/'Underwriting Risk'!$E$27,'Premium and Reserve Risk'!$AC$236),'Premium and Reserve Risk'!$AC$236))</f>
        <v>0.11</v>
      </c>
      <c r="AD251" s="81"/>
      <c r="AE251" s="97"/>
      <c r="AF251" s="97"/>
      <c r="AG251" s="97"/>
      <c r="AH251" s="97"/>
    </row>
    <row r="252" spans="1:34" ht="13.5" customHeight="1" x14ac:dyDescent="0.25">
      <c r="A252" s="97"/>
      <c r="B252" s="257">
        <v>15</v>
      </c>
      <c r="C252" s="652"/>
      <c r="D252" s="80"/>
      <c r="E252" s="80"/>
      <c r="F252" s="258">
        <f t="shared" ca="1" si="11"/>
        <v>0</v>
      </c>
      <c r="G252" s="624"/>
      <c r="H252" s="85"/>
      <c r="I252" s="624"/>
      <c r="J252" s="85"/>
      <c r="K252" s="624"/>
      <c r="L252" s="85"/>
      <c r="M252" s="624"/>
      <c r="N252" s="85"/>
      <c r="O252" s="624"/>
      <c r="P252" s="85"/>
      <c r="Q252" s="626">
        <f t="shared" si="10"/>
        <v>0</v>
      </c>
      <c r="R252" s="85"/>
      <c r="S252" s="624"/>
      <c r="T252" s="260"/>
      <c r="U252" s="624"/>
      <c r="V252" s="85"/>
      <c r="W252" s="624"/>
      <c r="X252" s="81"/>
      <c r="Y252" s="80"/>
      <c r="Z252" s="737">
        <f ca="1">MAX(0%,IF(Q252&lt;&gt;0,MIN((S252-Q252)/Q252/'Underwriting Risk'!$E$27,'Premium and Reserve Risk'!$Z$236),'Premium and Reserve Risk'!$Z$236))</f>
        <v>0.15</v>
      </c>
      <c r="AA252" s="80"/>
      <c r="AB252" s="80"/>
      <c r="AC252" s="737">
        <f ca="1">MAX(0%,IF(U252&lt;&gt;0,MIN((W252-U252)/U252/'Underwriting Risk'!$E$27,'Premium and Reserve Risk'!$AC$236),'Premium and Reserve Risk'!$AC$236))</f>
        <v>0.11</v>
      </c>
      <c r="AD252" s="81"/>
      <c r="AE252" s="97"/>
      <c r="AF252" s="97"/>
      <c r="AG252" s="97"/>
      <c r="AH252" s="97"/>
    </row>
    <row r="253" spans="1:34" ht="13.5" customHeight="1" x14ac:dyDescent="0.25">
      <c r="A253" s="97"/>
      <c r="B253" s="257">
        <v>16</v>
      </c>
      <c r="C253" s="652"/>
      <c r="D253" s="80"/>
      <c r="E253" s="80"/>
      <c r="F253" s="258">
        <f t="shared" ca="1" si="11"/>
        <v>0</v>
      </c>
      <c r="G253" s="624"/>
      <c r="H253" s="85"/>
      <c r="I253" s="624"/>
      <c r="J253" s="85"/>
      <c r="K253" s="624"/>
      <c r="L253" s="85"/>
      <c r="M253" s="624"/>
      <c r="N253" s="85"/>
      <c r="O253" s="624"/>
      <c r="P253" s="85"/>
      <c r="Q253" s="626">
        <f t="shared" si="10"/>
        <v>0</v>
      </c>
      <c r="R253" s="85"/>
      <c r="S253" s="624"/>
      <c r="T253" s="260"/>
      <c r="U253" s="624"/>
      <c r="V253" s="85"/>
      <c r="W253" s="624"/>
      <c r="X253" s="81"/>
      <c r="Y253" s="80"/>
      <c r="Z253" s="737">
        <f ca="1">MAX(0%,IF(Q253&lt;&gt;0,MIN((S253-Q253)/Q253/'Underwriting Risk'!$E$27,'Premium and Reserve Risk'!$Z$236),'Premium and Reserve Risk'!$Z$236))</f>
        <v>0.15</v>
      </c>
      <c r="AA253" s="80"/>
      <c r="AB253" s="80"/>
      <c r="AC253" s="737">
        <f ca="1">MAX(0%,IF(U253&lt;&gt;0,MIN((W253-U253)/U253/'Underwriting Risk'!$E$27,'Premium and Reserve Risk'!$AC$236),'Premium and Reserve Risk'!$AC$236))</f>
        <v>0.11</v>
      </c>
      <c r="AD253" s="81"/>
      <c r="AE253" s="97"/>
      <c r="AF253" s="97"/>
      <c r="AG253" s="97"/>
      <c r="AH253" s="97"/>
    </row>
    <row r="254" spans="1:34" ht="13.5" customHeight="1" x14ac:dyDescent="0.25">
      <c r="A254" s="97"/>
      <c r="B254" s="257">
        <v>17</v>
      </c>
      <c r="C254" s="652"/>
      <c r="D254" s="80"/>
      <c r="E254" s="80"/>
      <c r="F254" s="258">
        <f t="shared" ca="1" si="11"/>
        <v>0</v>
      </c>
      <c r="G254" s="624"/>
      <c r="H254" s="85"/>
      <c r="I254" s="624"/>
      <c r="J254" s="85"/>
      <c r="K254" s="624"/>
      <c r="L254" s="85"/>
      <c r="M254" s="624"/>
      <c r="N254" s="85"/>
      <c r="O254" s="624"/>
      <c r="P254" s="85"/>
      <c r="Q254" s="626">
        <f t="shared" si="10"/>
        <v>0</v>
      </c>
      <c r="R254" s="85"/>
      <c r="S254" s="624"/>
      <c r="T254" s="260"/>
      <c r="U254" s="624"/>
      <c r="V254" s="85"/>
      <c r="W254" s="624"/>
      <c r="X254" s="81"/>
      <c r="Y254" s="80"/>
      <c r="Z254" s="737">
        <f ca="1">MAX(0%,IF(Q254&lt;&gt;0,MIN((S254-Q254)/Q254/'Underwriting Risk'!$E$27,'Premium and Reserve Risk'!$Z$236),'Premium and Reserve Risk'!$Z$236))</f>
        <v>0.15</v>
      </c>
      <c r="AA254" s="80"/>
      <c r="AB254" s="80"/>
      <c r="AC254" s="737">
        <f ca="1">MAX(0%,IF(U254&lt;&gt;0,MIN((W254-U254)/U254/'Underwriting Risk'!$E$27,'Premium and Reserve Risk'!$AC$236),'Premium and Reserve Risk'!$AC$236))</f>
        <v>0.11</v>
      </c>
      <c r="AD254" s="81"/>
      <c r="AE254" s="97"/>
      <c r="AF254" s="97"/>
      <c r="AG254" s="97"/>
      <c r="AH254" s="97"/>
    </row>
    <row r="255" spans="1:34" ht="13.5" customHeight="1" x14ac:dyDescent="0.25">
      <c r="A255" s="97"/>
      <c r="B255" s="257">
        <v>18</v>
      </c>
      <c r="C255" s="652"/>
      <c r="D255" s="80"/>
      <c r="E255" s="80"/>
      <c r="F255" s="258">
        <f t="shared" ca="1" si="11"/>
        <v>0</v>
      </c>
      <c r="G255" s="624"/>
      <c r="H255" s="85"/>
      <c r="I255" s="624"/>
      <c r="J255" s="85"/>
      <c r="K255" s="624"/>
      <c r="L255" s="85"/>
      <c r="M255" s="624"/>
      <c r="N255" s="85"/>
      <c r="O255" s="624"/>
      <c r="P255" s="85"/>
      <c r="Q255" s="626">
        <f t="shared" si="10"/>
        <v>0</v>
      </c>
      <c r="R255" s="85"/>
      <c r="S255" s="624"/>
      <c r="T255" s="260"/>
      <c r="U255" s="624"/>
      <c r="V255" s="85"/>
      <c r="W255" s="624"/>
      <c r="X255" s="81"/>
      <c r="Y255" s="80"/>
      <c r="Z255" s="737">
        <f ca="1">MAX(0%,IF(Q255&lt;&gt;0,MIN((S255-Q255)/Q255/'Underwriting Risk'!$E$27,'Premium and Reserve Risk'!$Z$236),'Premium and Reserve Risk'!$Z$236))</f>
        <v>0.15</v>
      </c>
      <c r="AA255" s="80"/>
      <c r="AB255" s="80"/>
      <c r="AC255" s="737">
        <f ca="1">MAX(0%,IF(U255&lt;&gt;0,MIN((W255-U255)/U255/'Underwriting Risk'!$E$27,'Premium and Reserve Risk'!$AC$236),'Premium and Reserve Risk'!$AC$236))</f>
        <v>0.11</v>
      </c>
      <c r="AD255" s="81"/>
      <c r="AE255" s="97"/>
      <c r="AF255" s="97"/>
      <c r="AG255" s="97"/>
      <c r="AH255" s="97"/>
    </row>
    <row r="256" spans="1:34" ht="13.5" customHeight="1" x14ac:dyDescent="0.25">
      <c r="A256" s="97"/>
      <c r="B256" s="257">
        <v>19</v>
      </c>
      <c r="C256" s="652"/>
      <c r="D256" s="80"/>
      <c r="E256" s="80"/>
      <c r="F256" s="258">
        <f t="shared" ca="1" si="11"/>
        <v>0</v>
      </c>
      <c r="G256" s="624"/>
      <c r="H256" s="85"/>
      <c r="I256" s="624"/>
      <c r="J256" s="85"/>
      <c r="K256" s="624"/>
      <c r="L256" s="85"/>
      <c r="M256" s="624"/>
      <c r="N256" s="85"/>
      <c r="O256" s="624"/>
      <c r="P256" s="85"/>
      <c r="Q256" s="626">
        <f t="shared" si="10"/>
        <v>0</v>
      </c>
      <c r="R256" s="85"/>
      <c r="S256" s="624"/>
      <c r="T256" s="260"/>
      <c r="U256" s="624"/>
      <c r="V256" s="85"/>
      <c r="W256" s="624"/>
      <c r="X256" s="81"/>
      <c r="Y256" s="80"/>
      <c r="Z256" s="737">
        <f ca="1">MAX(0%,IF(Q256&lt;&gt;0,MIN((S256-Q256)/Q256/'Underwriting Risk'!$E$27,'Premium and Reserve Risk'!$Z$236),'Premium and Reserve Risk'!$Z$236))</f>
        <v>0.15</v>
      </c>
      <c r="AA256" s="80"/>
      <c r="AB256" s="80"/>
      <c r="AC256" s="737">
        <f ca="1">MAX(0%,IF(U256&lt;&gt;0,MIN((W256-U256)/U256/'Underwriting Risk'!$E$27,'Premium and Reserve Risk'!$AC$236),'Premium and Reserve Risk'!$AC$236))</f>
        <v>0.11</v>
      </c>
      <c r="AD256" s="81"/>
      <c r="AE256" s="97"/>
      <c r="AF256" s="97"/>
      <c r="AG256" s="97"/>
      <c r="AH256" s="97"/>
    </row>
    <row r="257" spans="1:34" ht="13.5" customHeight="1" x14ac:dyDescent="0.25">
      <c r="A257" s="97"/>
      <c r="B257" s="257">
        <v>20</v>
      </c>
      <c r="C257" s="652"/>
      <c r="D257" s="80"/>
      <c r="E257" s="80"/>
      <c r="F257" s="258">
        <f t="shared" ca="1" si="11"/>
        <v>0</v>
      </c>
      <c r="G257" s="624"/>
      <c r="H257" s="85"/>
      <c r="I257" s="624"/>
      <c r="J257" s="85"/>
      <c r="K257" s="624"/>
      <c r="L257" s="85"/>
      <c r="M257" s="624"/>
      <c r="N257" s="85"/>
      <c r="O257" s="624"/>
      <c r="P257" s="85"/>
      <c r="Q257" s="626">
        <f t="shared" si="10"/>
        <v>0</v>
      </c>
      <c r="R257" s="85"/>
      <c r="S257" s="624"/>
      <c r="T257" s="260"/>
      <c r="U257" s="624"/>
      <c r="V257" s="85"/>
      <c r="W257" s="624"/>
      <c r="X257" s="81"/>
      <c r="Y257" s="80"/>
      <c r="Z257" s="737">
        <f ca="1">MAX(0%,IF(Q257&lt;&gt;0,MIN((S257-Q257)/Q257/'Underwriting Risk'!$E$27,'Premium and Reserve Risk'!$Z$236),'Premium and Reserve Risk'!$Z$236))</f>
        <v>0.15</v>
      </c>
      <c r="AA257" s="80"/>
      <c r="AB257" s="80"/>
      <c r="AC257" s="737">
        <f ca="1">MAX(0%,IF(U257&lt;&gt;0,MIN((W257-U257)/U257/'Underwriting Risk'!$E$27,'Premium and Reserve Risk'!$AC$236),'Premium and Reserve Risk'!$AC$236))</f>
        <v>0.11</v>
      </c>
      <c r="AD257" s="81"/>
      <c r="AE257" s="97"/>
      <c r="AF257" s="97"/>
      <c r="AG257" s="97"/>
      <c r="AH257" s="97"/>
    </row>
    <row r="258" spans="1:34" ht="13.5" customHeight="1" x14ac:dyDescent="0.25">
      <c r="A258" s="97"/>
      <c r="B258" s="257">
        <v>21</v>
      </c>
      <c r="C258" s="652"/>
      <c r="D258" s="80"/>
      <c r="E258" s="80"/>
      <c r="F258" s="258">
        <f t="shared" ca="1" si="11"/>
        <v>0</v>
      </c>
      <c r="G258" s="624"/>
      <c r="H258" s="85"/>
      <c r="I258" s="624"/>
      <c r="J258" s="85"/>
      <c r="K258" s="624"/>
      <c r="L258" s="85"/>
      <c r="M258" s="624"/>
      <c r="N258" s="85"/>
      <c r="O258" s="624"/>
      <c r="P258" s="85"/>
      <c r="Q258" s="626">
        <f t="shared" si="10"/>
        <v>0</v>
      </c>
      <c r="R258" s="85"/>
      <c r="S258" s="624"/>
      <c r="T258" s="260"/>
      <c r="U258" s="624"/>
      <c r="V258" s="85"/>
      <c r="W258" s="624"/>
      <c r="X258" s="81"/>
      <c r="Y258" s="80"/>
      <c r="Z258" s="737">
        <f ca="1">MAX(0%,IF(Q258&lt;&gt;0,MIN((S258-Q258)/Q258/'Underwriting Risk'!$E$27,'Premium and Reserve Risk'!$Z$236),'Premium and Reserve Risk'!$Z$236))</f>
        <v>0.15</v>
      </c>
      <c r="AA258" s="80"/>
      <c r="AB258" s="80"/>
      <c r="AC258" s="737">
        <f ca="1">MAX(0%,IF(U258&lt;&gt;0,MIN((W258-U258)/U258/'Underwriting Risk'!$E$27,'Premium and Reserve Risk'!$AC$236),'Premium and Reserve Risk'!$AC$236))</f>
        <v>0.11</v>
      </c>
      <c r="AD258" s="81"/>
      <c r="AE258" s="97"/>
      <c r="AF258" s="97"/>
      <c r="AG258" s="97"/>
      <c r="AH258" s="97"/>
    </row>
    <row r="259" spans="1:34" ht="13.5" customHeight="1" x14ac:dyDescent="0.25">
      <c r="A259" s="97"/>
      <c r="B259" s="257">
        <v>22</v>
      </c>
      <c r="C259" s="652"/>
      <c r="D259" s="80"/>
      <c r="E259" s="80"/>
      <c r="F259" s="258">
        <f t="shared" ca="1" si="11"/>
        <v>0</v>
      </c>
      <c r="G259" s="624"/>
      <c r="H259" s="85"/>
      <c r="I259" s="624"/>
      <c r="J259" s="85"/>
      <c r="K259" s="624"/>
      <c r="L259" s="85"/>
      <c r="M259" s="624"/>
      <c r="N259" s="85"/>
      <c r="O259" s="624"/>
      <c r="P259" s="85"/>
      <c r="Q259" s="626">
        <f t="shared" si="10"/>
        <v>0</v>
      </c>
      <c r="R259" s="85"/>
      <c r="S259" s="624"/>
      <c r="T259" s="260"/>
      <c r="U259" s="624"/>
      <c r="V259" s="85"/>
      <c r="W259" s="624"/>
      <c r="X259" s="81"/>
      <c r="Y259" s="80"/>
      <c r="Z259" s="737">
        <f ca="1">MAX(0%,IF(Q259&lt;&gt;0,MIN((S259-Q259)/Q259/'Underwriting Risk'!$E$27,'Premium and Reserve Risk'!$Z$236),'Premium and Reserve Risk'!$Z$236))</f>
        <v>0.15</v>
      </c>
      <c r="AA259" s="80"/>
      <c r="AB259" s="80"/>
      <c r="AC259" s="737">
        <f ca="1">MAX(0%,IF(U259&lt;&gt;0,MIN((W259-U259)/U259/'Underwriting Risk'!$E$27,'Premium and Reserve Risk'!$AC$236),'Premium and Reserve Risk'!$AC$236))</f>
        <v>0.11</v>
      </c>
      <c r="AD259" s="81"/>
      <c r="AE259" s="97"/>
      <c r="AF259" s="97"/>
      <c r="AG259" s="97"/>
      <c r="AH259" s="97"/>
    </row>
    <row r="260" spans="1:34" ht="13.5" customHeight="1" x14ac:dyDescent="0.25">
      <c r="A260" s="97"/>
      <c r="B260" s="257">
        <v>23</v>
      </c>
      <c r="C260" s="652"/>
      <c r="D260" s="80"/>
      <c r="E260" s="80"/>
      <c r="F260" s="258">
        <f t="shared" ca="1" si="11"/>
        <v>0</v>
      </c>
      <c r="G260" s="624"/>
      <c r="H260" s="85"/>
      <c r="I260" s="624"/>
      <c r="J260" s="85"/>
      <c r="K260" s="624"/>
      <c r="L260" s="85"/>
      <c r="M260" s="624"/>
      <c r="N260" s="85"/>
      <c r="O260" s="624"/>
      <c r="P260" s="85"/>
      <c r="Q260" s="626">
        <f t="shared" si="10"/>
        <v>0</v>
      </c>
      <c r="R260" s="85"/>
      <c r="S260" s="624"/>
      <c r="T260" s="260"/>
      <c r="U260" s="624"/>
      <c r="V260" s="85"/>
      <c r="W260" s="624"/>
      <c r="X260" s="81"/>
      <c r="Y260" s="80"/>
      <c r="Z260" s="737">
        <f ca="1">MAX(0%,IF(Q260&lt;&gt;0,MIN((S260-Q260)/Q260/'Underwriting Risk'!$E$27,'Premium and Reserve Risk'!$Z$236),'Premium and Reserve Risk'!$Z$236))</f>
        <v>0.15</v>
      </c>
      <c r="AA260" s="80"/>
      <c r="AB260" s="80"/>
      <c r="AC260" s="737">
        <f ca="1">MAX(0%,IF(U260&lt;&gt;0,MIN((W260-U260)/U260/'Underwriting Risk'!$E$27,'Premium and Reserve Risk'!$AC$236),'Premium and Reserve Risk'!$AC$236))</f>
        <v>0.11</v>
      </c>
      <c r="AD260" s="81"/>
      <c r="AE260" s="97"/>
      <c r="AF260" s="97"/>
      <c r="AG260" s="97"/>
      <c r="AH260" s="97"/>
    </row>
    <row r="261" spans="1:34" ht="13.5" customHeight="1" x14ac:dyDescent="0.25">
      <c r="A261" s="97"/>
      <c r="B261" s="257">
        <v>24</v>
      </c>
      <c r="C261" s="652"/>
      <c r="D261" s="80"/>
      <c r="E261" s="80"/>
      <c r="F261" s="258">
        <f t="shared" ca="1" si="11"/>
        <v>0</v>
      </c>
      <c r="G261" s="624"/>
      <c r="H261" s="85"/>
      <c r="I261" s="624"/>
      <c r="J261" s="85"/>
      <c r="K261" s="624"/>
      <c r="L261" s="85"/>
      <c r="M261" s="624"/>
      <c r="N261" s="85"/>
      <c r="O261" s="624"/>
      <c r="P261" s="85"/>
      <c r="Q261" s="626">
        <f t="shared" si="10"/>
        <v>0</v>
      </c>
      <c r="R261" s="85"/>
      <c r="S261" s="624"/>
      <c r="T261" s="260"/>
      <c r="U261" s="624"/>
      <c r="V261" s="85"/>
      <c r="W261" s="624"/>
      <c r="X261" s="81"/>
      <c r="Y261" s="80"/>
      <c r="Z261" s="737">
        <f ca="1">MAX(0%,IF(Q261&lt;&gt;0,MIN((S261-Q261)/Q261/'Underwriting Risk'!$E$27,'Premium and Reserve Risk'!$Z$236),'Premium and Reserve Risk'!$Z$236))</f>
        <v>0.15</v>
      </c>
      <c r="AA261" s="80"/>
      <c r="AB261" s="80"/>
      <c r="AC261" s="737">
        <f ca="1">MAX(0%,IF(U261&lt;&gt;0,MIN((W261-U261)/U261/'Underwriting Risk'!$E$27,'Premium and Reserve Risk'!$AC$236),'Premium and Reserve Risk'!$AC$236))</f>
        <v>0.11</v>
      </c>
      <c r="AD261" s="81"/>
      <c r="AE261" s="97"/>
      <c r="AF261" s="97"/>
      <c r="AG261" s="97"/>
      <c r="AH261" s="97"/>
    </row>
    <row r="262" spans="1:34" ht="13.5" customHeight="1" x14ac:dyDescent="0.25">
      <c r="A262" s="97"/>
      <c r="B262" s="257">
        <v>25</v>
      </c>
      <c r="C262" s="652"/>
      <c r="D262" s="80"/>
      <c r="E262" s="80"/>
      <c r="F262" s="258">
        <f t="shared" ca="1" si="11"/>
        <v>0</v>
      </c>
      <c r="G262" s="624"/>
      <c r="H262" s="85"/>
      <c r="I262" s="624"/>
      <c r="J262" s="85"/>
      <c r="K262" s="624"/>
      <c r="L262" s="85"/>
      <c r="M262" s="624"/>
      <c r="N262" s="85"/>
      <c r="O262" s="624"/>
      <c r="P262" s="85"/>
      <c r="Q262" s="626">
        <f t="shared" si="10"/>
        <v>0</v>
      </c>
      <c r="R262" s="85"/>
      <c r="S262" s="624"/>
      <c r="T262" s="260"/>
      <c r="U262" s="624"/>
      <c r="V262" s="85"/>
      <c r="W262" s="624"/>
      <c r="X262" s="81"/>
      <c r="Y262" s="80"/>
      <c r="Z262" s="737">
        <f ca="1">MAX(0%,IF(Q262&lt;&gt;0,MIN((S262-Q262)/Q262/'Underwriting Risk'!$E$27,'Premium and Reserve Risk'!$Z$236),'Premium and Reserve Risk'!$Z$236))</f>
        <v>0.15</v>
      </c>
      <c r="AA262" s="80"/>
      <c r="AB262" s="80"/>
      <c r="AC262" s="737">
        <f ca="1">MAX(0%,IF(U262&lt;&gt;0,MIN((W262-U262)/U262/'Underwriting Risk'!$E$27,'Premium and Reserve Risk'!$AC$236),'Premium and Reserve Risk'!$AC$236))</f>
        <v>0.11</v>
      </c>
      <c r="AD262" s="81"/>
      <c r="AE262" s="97"/>
      <c r="AF262" s="97"/>
      <c r="AG262" s="97"/>
      <c r="AH262" s="97"/>
    </row>
    <row r="263" spans="1:34" ht="13.5" customHeight="1" x14ac:dyDescent="0.25">
      <c r="A263" s="97"/>
      <c r="B263" s="257">
        <v>26</v>
      </c>
      <c r="C263" s="652"/>
      <c r="D263" s="80"/>
      <c r="E263" s="80"/>
      <c r="F263" s="258">
        <f t="shared" ca="1" si="11"/>
        <v>0</v>
      </c>
      <c r="G263" s="624"/>
      <c r="H263" s="85"/>
      <c r="I263" s="624"/>
      <c r="J263" s="85"/>
      <c r="K263" s="624"/>
      <c r="L263" s="85"/>
      <c r="M263" s="624"/>
      <c r="N263" s="85"/>
      <c r="O263" s="624"/>
      <c r="P263" s="85"/>
      <c r="Q263" s="626">
        <f t="shared" si="10"/>
        <v>0</v>
      </c>
      <c r="R263" s="85"/>
      <c r="S263" s="624"/>
      <c r="T263" s="260"/>
      <c r="U263" s="624"/>
      <c r="V263" s="85"/>
      <c r="W263" s="624"/>
      <c r="X263" s="81"/>
      <c r="Y263" s="80"/>
      <c r="Z263" s="737">
        <f ca="1">MAX(0%,IF(Q263&lt;&gt;0,MIN((S263-Q263)/Q263/'Underwriting Risk'!$E$27,'Premium and Reserve Risk'!$Z$236),'Premium and Reserve Risk'!$Z$236))</f>
        <v>0.15</v>
      </c>
      <c r="AA263" s="80"/>
      <c r="AB263" s="80"/>
      <c r="AC263" s="737">
        <f ca="1">MAX(0%,IF(U263&lt;&gt;0,MIN((W263-U263)/U263/'Underwriting Risk'!$E$27,'Premium and Reserve Risk'!$AC$236),'Premium and Reserve Risk'!$AC$236))</f>
        <v>0.11</v>
      </c>
      <c r="AD263" s="81"/>
      <c r="AE263" s="97"/>
      <c r="AF263" s="97"/>
      <c r="AG263" s="97"/>
      <c r="AH263" s="97"/>
    </row>
    <row r="264" spans="1:34" ht="13.5" customHeight="1" x14ac:dyDescent="0.25">
      <c r="A264" s="97"/>
      <c r="B264" s="257">
        <v>27</v>
      </c>
      <c r="C264" s="652"/>
      <c r="D264" s="80"/>
      <c r="E264" s="80"/>
      <c r="F264" s="258">
        <f t="shared" ca="1" si="11"/>
        <v>0</v>
      </c>
      <c r="G264" s="624"/>
      <c r="H264" s="85"/>
      <c r="I264" s="624"/>
      <c r="J264" s="85"/>
      <c r="K264" s="624"/>
      <c r="L264" s="85"/>
      <c r="M264" s="624"/>
      <c r="N264" s="85"/>
      <c r="O264" s="624"/>
      <c r="P264" s="85"/>
      <c r="Q264" s="626">
        <f t="shared" si="10"/>
        <v>0</v>
      </c>
      <c r="R264" s="85"/>
      <c r="S264" s="624"/>
      <c r="T264" s="260"/>
      <c r="U264" s="624"/>
      <c r="V264" s="85"/>
      <c r="W264" s="624"/>
      <c r="X264" s="81"/>
      <c r="Y264" s="80"/>
      <c r="Z264" s="737">
        <f ca="1">MAX(0%,IF(Q264&lt;&gt;0,MIN((S264-Q264)/Q264/'Underwriting Risk'!$E$27,'Premium and Reserve Risk'!$Z$236),'Premium and Reserve Risk'!$Z$236))</f>
        <v>0.15</v>
      </c>
      <c r="AA264" s="80"/>
      <c r="AB264" s="80"/>
      <c r="AC264" s="737">
        <f ca="1">MAX(0%,IF(U264&lt;&gt;0,MIN((W264-U264)/U264/'Underwriting Risk'!$E$27,'Premium and Reserve Risk'!$AC$236),'Premium and Reserve Risk'!$AC$236))</f>
        <v>0.11</v>
      </c>
      <c r="AD264" s="81"/>
      <c r="AE264" s="97"/>
      <c r="AF264" s="97"/>
      <c r="AG264" s="97"/>
      <c r="AH264" s="97"/>
    </row>
    <row r="265" spans="1:34" ht="13.5" customHeight="1" x14ac:dyDescent="0.25">
      <c r="A265" s="97"/>
      <c r="B265" s="257">
        <v>28</v>
      </c>
      <c r="C265" s="652"/>
      <c r="D265" s="80"/>
      <c r="E265" s="80"/>
      <c r="F265" s="258">
        <f t="shared" ca="1" si="11"/>
        <v>0</v>
      </c>
      <c r="G265" s="624"/>
      <c r="H265" s="85"/>
      <c r="I265" s="624"/>
      <c r="J265" s="85"/>
      <c r="K265" s="624"/>
      <c r="L265" s="85"/>
      <c r="M265" s="624"/>
      <c r="N265" s="85"/>
      <c r="O265" s="624"/>
      <c r="P265" s="85"/>
      <c r="Q265" s="626">
        <f t="shared" si="10"/>
        <v>0</v>
      </c>
      <c r="R265" s="85"/>
      <c r="S265" s="624"/>
      <c r="T265" s="260"/>
      <c r="U265" s="624"/>
      <c r="V265" s="85"/>
      <c r="W265" s="624"/>
      <c r="X265" s="81"/>
      <c r="Y265" s="80"/>
      <c r="Z265" s="737">
        <f ca="1">MAX(0%,IF(Q265&lt;&gt;0,MIN((S265-Q265)/Q265/'Underwriting Risk'!$E$27,'Premium and Reserve Risk'!$Z$236),'Premium and Reserve Risk'!$Z$236))</f>
        <v>0.15</v>
      </c>
      <c r="AA265" s="80"/>
      <c r="AB265" s="80"/>
      <c r="AC265" s="737">
        <f ca="1">MAX(0%,IF(U265&lt;&gt;0,MIN((W265-U265)/U265/'Underwriting Risk'!$E$27,'Premium and Reserve Risk'!$AC$236),'Premium and Reserve Risk'!$AC$236))</f>
        <v>0.11</v>
      </c>
      <c r="AD265" s="81"/>
      <c r="AE265" s="97"/>
      <c r="AF265" s="97"/>
      <c r="AG265" s="97"/>
      <c r="AH265" s="97"/>
    </row>
    <row r="266" spans="1:34" ht="13.5" customHeight="1" x14ac:dyDescent="0.25">
      <c r="A266" s="97"/>
      <c r="B266" s="257">
        <v>29</v>
      </c>
      <c r="C266" s="652"/>
      <c r="D266" s="80"/>
      <c r="E266" s="80"/>
      <c r="F266" s="258">
        <f t="shared" ca="1" si="11"/>
        <v>0</v>
      </c>
      <c r="G266" s="624"/>
      <c r="H266" s="85"/>
      <c r="I266" s="624"/>
      <c r="J266" s="85"/>
      <c r="K266" s="624"/>
      <c r="L266" s="85"/>
      <c r="M266" s="624"/>
      <c r="N266" s="85"/>
      <c r="O266" s="624"/>
      <c r="P266" s="85"/>
      <c r="Q266" s="626">
        <f t="shared" si="10"/>
        <v>0</v>
      </c>
      <c r="R266" s="85"/>
      <c r="S266" s="624"/>
      <c r="T266" s="260"/>
      <c r="U266" s="624"/>
      <c r="V266" s="85"/>
      <c r="W266" s="624"/>
      <c r="X266" s="81"/>
      <c r="Y266" s="80"/>
      <c r="Z266" s="737">
        <f ca="1">MAX(0%,IF(Q266&lt;&gt;0,MIN((S266-Q266)/Q266/'Underwriting Risk'!$E$27,'Premium and Reserve Risk'!$Z$236),'Premium and Reserve Risk'!$Z$236))</f>
        <v>0.15</v>
      </c>
      <c r="AA266" s="80"/>
      <c r="AB266" s="80"/>
      <c r="AC266" s="737">
        <f ca="1">MAX(0%,IF(U266&lt;&gt;0,MIN((W266-U266)/U266/'Underwriting Risk'!$E$27,'Premium and Reserve Risk'!$AC$236),'Premium and Reserve Risk'!$AC$236))</f>
        <v>0.11</v>
      </c>
      <c r="AD266" s="81"/>
      <c r="AE266" s="97"/>
      <c r="AF266" s="97"/>
      <c r="AG266" s="97"/>
      <c r="AH266" s="97"/>
    </row>
    <row r="267" spans="1:34" ht="13.5" customHeight="1" x14ac:dyDescent="0.25">
      <c r="A267" s="97"/>
      <c r="B267" s="257">
        <v>30</v>
      </c>
      <c r="C267" s="652"/>
      <c r="D267" s="80"/>
      <c r="E267" s="80"/>
      <c r="F267" s="258">
        <f t="shared" ca="1" si="11"/>
        <v>0</v>
      </c>
      <c r="G267" s="624"/>
      <c r="H267" s="85"/>
      <c r="I267" s="624"/>
      <c r="J267" s="85"/>
      <c r="K267" s="624"/>
      <c r="L267" s="85"/>
      <c r="M267" s="624"/>
      <c r="N267" s="85"/>
      <c r="O267" s="624"/>
      <c r="P267" s="85"/>
      <c r="Q267" s="626">
        <f t="shared" si="10"/>
        <v>0</v>
      </c>
      <c r="R267" s="85"/>
      <c r="S267" s="624"/>
      <c r="T267" s="260"/>
      <c r="U267" s="624"/>
      <c r="V267" s="85"/>
      <c r="W267" s="624"/>
      <c r="X267" s="81"/>
      <c r="Y267" s="80"/>
      <c r="Z267" s="737">
        <f ca="1">MAX(0%,IF(Q267&lt;&gt;0,MIN((S267-Q267)/Q267/'Underwriting Risk'!$E$27,'Premium and Reserve Risk'!$Z$236),'Premium and Reserve Risk'!$Z$236))</f>
        <v>0.15</v>
      </c>
      <c r="AA267" s="80"/>
      <c r="AB267" s="80"/>
      <c r="AC267" s="737">
        <f ca="1">MAX(0%,IF(U267&lt;&gt;0,MIN((W267-U267)/U267/'Underwriting Risk'!$E$27,'Premium and Reserve Risk'!$AC$236),'Premium and Reserve Risk'!$AC$236))</f>
        <v>0.11</v>
      </c>
      <c r="AD267" s="81"/>
      <c r="AE267" s="97"/>
      <c r="AF267" s="97"/>
      <c r="AG267" s="97"/>
      <c r="AH267" s="97"/>
    </row>
    <row r="268" spans="1:34" ht="13.5" customHeight="1" x14ac:dyDescent="0.25">
      <c r="A268" s="97"/>
      <c r="B268" s="257">
        <v>31</v>
      </c>
      <c r="C268" s="652"/>
      <c r="D268" s="80"/>
      <c r="E268" s="80"/>
      <c r="F268" s="258">
        <f t="shared" ca="1" si="11"/>
        <v>0</v>
      </c>
      <c r="G268" s="624"/>
      <c r="H268" s="85"/>
      <c r="I268" s="624"/>
      <c r="J268" s="85"/>
      <c r="K268" s="624"/>
      <c r="L268" s="85"/>
      <c r="M268" s="624"/>
      <c r="N268" s="85"/>
      <c r="O268" s="624"/>
      <c r="P268" s="85"/>
      <c r="Q268" s="626">
        <f t="shared" si="10"/>
        <v>0</v>
      </c>
      <c r="R268" s="85"/>
      <c r="S268" s="624"/>
      <c r="T268" s="260"/>
      <c r="U268" s="624"/>
      <c r="V268" s="85"/>
      <c r="W268" s="624"/>
      <c r="X268" s="81"/>
      <c r="Y268" s="80"/>
      <c r="Z268" s="737">
        <f ca="1">MAX(0%,IF(Q268&lt;&gt;0,MIN((S268-Q268)/Q268/'Underwriting Risk'!$E$27,'Premium and Reserve Risk'!$Z$236),'Premium and Reserve Risk'!$Z$236))</f>
        <v>0.15</v>
      </c>
      <c r="AA268" s="80"/>
      <c r="AB268" s="80"/>
      <c r="AC268" s="737">
        <f ca="1">MAX(0%,IF(U268&lt;&gt;0,MIN((W268-U268)/U268/'Underwriting Risk'!$E$27,'Premium and Reserve Risk'!$AC$236),'Premium and Reserve Risk'!$AC$236))</f>
        <v>0.11</v>
      </c>
      <c r="AD268" s="81"/>
      <c r="AE268" s="97"/>
      <c r="AF268" s="97"/>
      <c r="AG268" s="97"/>
      <c r="AH268" s="97"/>
    </row>
    <row r="269" spans="1:34" ht="13.5" customHeight="1" x14ac:dyDescent="0.25">
      <c r="A269" s="97"/>
      <c r="B269" s="257">
        <v>32</v>
      </c>
      <c r="C269" s="652"/>
      <c r="D269" s="80"/>
      <c r="E269" s="80"/>
      <c r="F269" s="258">
        <f t="shared" ca="1" si="11"/>
        <v>0</v>
      </c>
      <c r="G269" s="624"/>
      <c r="H269" s="85"/>
      <c r="I269" s="624"/>
      <c r="J269" s="85"/>
      <c r="K269" s="624"/>
      <c r="L269" s="85"/>
      <c r="M269" s="624"/>
      <c r="N269" s="85"/>
      <c r="O269" s="624"/>
      <c r="P269" s="85"/>
      <c r="Q269" s="626">
        <f t="shared" si="10"/>
        <v>0</v>
      </c>
      <c r="R269" s="85"/>
      <c r="S269" s="624"/>
      <c r="T269" s="260"/>
      <c r="U269" s="624"/>
      <c r="V269" s="85"/>
      <c r="W269" s="624"/>
      <c r="X269" s="81"/>
      <c r="Y269" s="80"/>
      <c r="Z269" s="737">
        <f ca="1">MAX(0%,IF(Q269&lt;&gt;0,MIN((S269-Q269)/Q269/'Underwriting Risk'!$E$27,'Premium and Reserve Risk'!$Z$236),'Premium and Reserve Risk'!$Z$236))</f>
        <v>0.15</v>
      </c>
      <c r="AA269" s="80"/>
      <c r="AB269" s="80"/>
      <c r="AC269" s="737">
        <f ca="1">MAX(0%,IF(U269&lt;&gt;0,MIN((W269-U269)/U269/'Underwriting Risk'!$E$27,'Premium and Reserve Risk'!$AC$236),'Premium and Reserve Risk'!$AC$236))</f>
        <v>0.11</v>
      </c>
      <c r="AD269" s="81"/>
      <c r="AE269" s="97"/>
      <c r="AF269" s="97"/>
      <c r="AG269" s="97"/>
      <c r="AH269" s="97"/>
    </row>
    <row r="270" spans="1:34" ht="13.5" customHeight="1" x14ac:dyDescent="0.25">
      <c r="A270" s="97"/>
      <c r="B270" s="257">
        <v>33</v>
      </c>
      <c r="C270" s="652"/>
      <c r="D270" s="80"/>
      <c r="E270" s="80"/>
      <c r="F270" s="258">
        <f t="shared" ca="1" si="11"/>
        <v>0</v>
      </c>
      <c r="G270" s="624"/>
      <c r="H270" s="85"/>
      <c r="I270" s="624"/>
      <c r="J270" s="85"/>
      <c r="K270" s="624"/>
      <c r="L270" s="85"/>
      <c r="M270" s="624"/>
      <c r="N270" s="85"/>
      <c r="O270" s="624"/>
      <c r="P270" s="85"/>
      <c r="Q270" s="626">
        <f t="shared" si="10"/>
        <v>0</v>
      </c>
      <c r="R270" s="85"/>
      <c r="S270" s="624"/>
      <c r="T270" s="260"/>
      <c r="U270" s="624"/>
      <c r="V270" s="85"/>
      <c r="W270" s="624"/>
      <c r="X270" s="81"/>
      <c r="Y270" s="80"/>
      <c r="Z270" s="737">
        <f ca="1">MAX(0%,IF(Q270&lt;&gt;0,MIN((S270-Q270)/Q270/'Underwriting Risk'!$E$27,'Premium and Reserve Risk'!$Z$236),'Premium and Reserve Risk'!$Z$236))</f>
        <v>0.15</v>
      </c>
      <c r="AA270" s="80"/>
      <c r="AB270" s="80"/>
      <c r="AC270" s="737">
        <f ca="1">MAX(0%,IF(U270&lt;&gt;0,MIN((W270-U270)/U270/'Underwriting Risk'!$E$27,'Premium and Reserve Risk'!$AC$236),'Premium and Reserve Risk'!$AC$236))</f>
        <v>0.11</v>
      </c>
      <c r="AD270" s="81"/>
      <c r="AE270" s="97"/>
      <c r="AF270" s="97"/>
      <c r="AG270" s="97"/>
      <c r="AH270" s="97"/>
    </row>
    <row r="271" spans="1:34" ht="13.5" customHeight="1" x14ac:dyDescent="0.25">
      <c r="A271" s="97"/>
      <c r="B271" s="257">
        <v>34</v>
      </c>
      <c r="C271" s="652"/>
      <c r="D271" s="80"/>
      <c r="E271" s="80"/>
      <c r="F271" s="258">
        <f t="shared" ca="1" si="11"/>
        <v>0</v>
      </c>
      <c r="G271" s="624"/>
      <c r="H271" s="85"/>
      <c r="I271" s="624"/>
      <c r="J271" s="85"/>
      <c r="K271" s="624"/>
      <c r="L271" s="85"/>
      <c r="M271" s="624"/>
      <c r="N271" s="85"/>
      <c r="O271" s="624"/>
      <c r="P271" s="85"/>
      <c r="Q271" s="626">
        <f t="shared" si="10"/>
        <v>0</v>
      </c>
      <c r="R271" s="85"/>
      <c r="S271" s="624"/>
      <c r="T271" s="260"/>
      <c r="U271" s="624"/>
      <c r="V271" s="85"/>
      <c r="W271" s="624"/>
      <c r="X271" s="81"/>
      <c r="Y271" s="80"/>
      <c r="Z271" s="737">
        <f ca="1">MAX(0%,IF(Q271&lt;&gt;0,MIN((S271-Q271)/Q271/'Underwriting Risk'!$E$27,'Premium and Reserve Risk'!$Z$236),'Premium and Reserve Risk'!$Z$236))</f>
        <v>0.15</v>
      </c>
      <c r="AA271" s="80"/>
      <c r="AB271" s="80"/>
      <c r="AC271" s="737">
        <f ca="1">MAX(0%,IF(U271&lt;&gt;0,MIN((W271-U271)/U271/'Underwriting Risk'!$E$27,'Premium and Reserve Risk'!$AC$236),'Premium and Reserve Risk'!$AC$236))</f>
        <v>0.11</v>
      </c>
      <c r="AD271" s="81"/>
      <c r="AE271" s="97"/>
      <c r="AF271" s="97"/>
      <c r="AG271" s="97"/>
      <c r="AH271" s="97"/>
    </row>
    <row r="272" spans="1:34" ht="13.5" customHeight="1" x14ac:dyDescent="0.25">
      <c r="A272" s="97"/>
      <c r="B272" s="257">
        <v>35</v>
      </c>
      <c r="C272" s="652"/>
      <c r="D272" s="80"/>
      <c r="E272" s="80"/>
      <c r="F272" s="258">
        <f t="shared" ca="1" si="11"/>
        <v>0</v>
      </c>
      <c r="G272" s="624"/>
      <c r="H272" s="85"/>
      <c r="I272" s="624"/>
      <c r="J272" s="85"/>
      <c r="K272" s="624"/>
      <c r="L272" s="85"/>
      <c r="M272" s="624"/>
      <c r="N272" s="85"/>
      <c r="O272" s="624"/>
      <c r="P272" s="85"/>
      <c r="Q272" s="626">
        <f t="shared" si="10"/>
        <v>0</v>
      </c>
      <c r="R272" s="85"/>
      <c r="S272" s="624"/>
      <c r="T272" s="260"/>
      <c r="U272" s="624"/>
      <c r="V272" s="85"/>
      <c r="W272" s="624"/>
      <c r="X272" s="81"/>
      <c r="Y272" s="80"/>
      <c r="Z272" s="737">
        <f ca="1">MAX(0%,IF(Q272&lt;&gt;0,MIN((S272-Q272)/Q272/'Underwriting Risk'!$E$27,'Premium and Reserve Risk'!$Z$236),'Premium and Reserve Risk'!$Z$236))</f>
        <v>0.15</v>
      </c>
      <c r="AA272" s="80"/>
      <c r="AB272" s="80"/>
      <c r="AC272" s="737">
        <f ca="1">MAX(0%,IF(U272&lt;&gt;0,MIN((W272-U272)/U272/'Underwriting Risk'!$E$27,'Premium and Reserve Risk'!$AC$236),'Premium and Reserve Risk'!$AC$236))</f>
        <v>0.11</v>
      </c>
      <c r="AD272" s="81"/>
      <c r="AE272" s="97"/>
      <c r="AF272" s="97"/>
      <c r="AG272" s="97"/>
      <c r="AH272" s="97"/>
    </row>
    <row r="273" spans="1:34" ht="13.5" customHeight="1" x14ac:dyDescent="0.25">
      <c r="A273" s="97"/>
      <c r="B273" s="257">
        <v>36</v>
      </c>
      <c r="C273" s="652"/>
      <c r="D273" s="80"/>
      <c r="E273" s="80"/>
      <c r="F273" s="258">
        <f t="shared" ca="1" si="11"/>
        <v>0</v>
      </c>
      <c r="G273" s="624"/>
      <c r="H273" s="85"/>
      <c r="I273" s="624"/>
      <c r="J273" s="85"/>
      <c r="K273" s="624"/>
      <c r="L273" s="85"/>
      <c r="M273" s="624"/>
      <c r="N273" s="85"/>
      <c r="O273" s="624"/>
      <c r="P273" s="85"/>
      <c r="Q273" s="626">
        <f t="shared" si="10"/>
        <v>0</v>
      </c>
      <c r="R273" s="85"/>
      <c r="S273" s="624"/>
      <c r="T273" s="260"/>
      <c r="U273" s="624"/>
      <c r="V273" s="85"/>
      <c r="W273" s="624"/>
      <c r="X273" s="81"/>
      <c r="Y273" s="80"/>
      <c r="Z273" s="737">
        <f ca="1">MAX(0%,IF(Q273&lt;&gt;0,MIN((S273-Q273)/Q273/'Underwriting Risk'!$E$27,'Premium and Reserve Risk'!$Z$236),'Premium and Reserve Risk'!$Z$236))</f>
        <v>0.15</v>
      </c>
      <c r="AA273" s="80"/>
      <c r="AB273" s="80"/>
      <c r="AC273" s="737">
        <f ca="1">MAX(0%,IF(U273&lt;&gt;0,MIN((W273-U273)/U273/'Underwriting Risk'!$E$27,'Premium and Reserve Risk'!$AC$236),'Premium and Reserve Risk'!$AC$236))</f>
        <v>0.11</v>
      </c>
      <c r="AD273" s="81"/>
      <c r="AE273" s="97"/>
      <c r="AF273" s="97"/>
      <c r="AG273" s="97"/>
      <c r="AH273" s="97"/>
    </row>
    <row r="274" spans="1:34" ht="13.5" customHeight="1" x14ac:dyDescent="0.25">
      <c r="A274" s="97"/>
      <c r="B274" s="257">
        <v>37</v>
      </c>
      <c r="C274" s="652"/>
      <c r="D274" s="80"/>
      <c r="E274" s="80"/>
      <c r="F274" s="258">
        <f t="shared" ca="1" si="11"/>
        <v>0</v>
      </c>
      <c r="G274" s="624"/>
      <c r="H274" s="85"/>
      <c r="I274" s="624"/>
      <c r="J274" s="85"/>
      <c r="K274" s="624"/>
      <c r="L274" s="85"/>
      <c r="M274" s="624"/>
      <c r="N274" s="85"/>
      <c r="O274" s="624"/>
      <c r="P274" s="85"/>
      <c r="Q274" s="626">
        <f t="shared" si="10"/>
        <v>0</v>
      </c>
      <c r="R274" s="85"/>
      <c r="S274" s="624"/>
      <c r="T274" s="260"/>
      <c r="U274" s="624"/>
      <c r="V274" s="85"/>
      <c r="W274" s="624"/>
      <c r="X274" s="81"/>
      <c r="Y274" s="80"/>
      <c r="Z274" s="737">
        <f ca="1">MAX(0%,IF(Q274&lt;&gt;0,MIN((S274-Q274)/Q274/'Underwriting Risk'!$E$27,'Premium and Reserve Risk'!$Z$236),'Premium and Reserve Risk'!$Z$236))</f>
        <v>0.15</v>
      </c>
      <c r="AA274" s="80"/>
      <c r="AB274" s="80"/>
      <c r="AC274" s="737">
        <f ca="1">MAX(0%,IF(U274&lt;&gt;0,MIN((W274-U274)/U274/'Underwriting Risk'!$E$27,'Premium and Reserve Risk'!$AC$236),'Premium and Reserve Risk'!$AC$236))</f>
        <v>0.11</v>
      </c>
      <c r="AD274" s="81"/>
      <c r="AE274" s="97"/>
      <c r="AF274" s="97"/>
      <c r="AG274" s="97"/>
      <c r="AH274" s="97"/>
    </row>
    <row r="275" spans="1:34" ht="13.5" customHeight="1" x14ac:dyDescent="0.25">
      <c r="A275" s="97"/>
      <c r="B275" s="257">
        <v>38</v>
      </c>
      <c r="C275" s="652"/>
      <c r="D275" s="80"/>
      <c r="E275" s="80"/>
      <c r="F275" s="258">
        <f t="shared" ca="1" si="11"/>
        <v>0</v>
      </c>
      <c r="G275" s="624"/>
      <c r="H275" s="85"/>
      <c r="I275" s="624"/>
      <c r="J275" s="85"/>
      <c r="K275" s="624"/>
      <c r="L275" s="85"/>
      <c r="M275" s="624"/>
      <c r="N275" s="85"/>
      <c r="O275" s="624"/>
      <c r="P275" s="85"/>
      <c r="Q275" s="626">
        <f t="shared" si="10"/>
        <v>0</v>
      </c>
      <c r="R275" s="85"/>
      <c r="S275" s="624"/>
      <c r="T275" s="260"/>
      <c r="U275" s="624"/>
      <c r="V275" s="85"/>
      <c r="W275" s="624"/>
      <c r="X275" s="81"/>
      <c r="Y275" s="80"/>
      <c r="Z275" s="737">
        <f ca="1">MAX(0%,IF(Q275&lt;&gt;0,MIN((S275-Q275)/Q275/'Underwriting Risk'!$E$27,'Premium and Reserve Risk'!$Z$236),'Premium and Reserve Risk'!$Z$236))</f>
        <v>0.15</v>
      </c>
      <c r="AA275" s="80"/>
      <c r="AB275" s="80"/>
      <c r="AC275" s="737">
        <f ca="1">MAX(0%,IF(U275&lt;&gt;0,MIN((W275-U275)/U275/'Underwriting Risk'!$E$27,'Premium and Reserve Risk'!$AC$236),'Premium and Reserve Risk'!$AC$236))</f>
        <v>0.11</v>
      </c>
      <c r="AD275" s="81"/>
      <c r="AE275" s="97"/>
      <c r="AF275" s="97"/>
      <c r="AG275" s="97"/>
      <c r="AH275" s="97"/>
    </row>
    <row r="276" spans="1:34" ht="13.5" customHeight="1" x14ac:dyDescent="0.25">
      <c r="A276" s="97"/>
      <c r="B276" s="257">
        <v>39</v>
      </c>
      <c r="C276" s="652"/>
      <c r="D276" s="80"/>
      <c r="E276" s="80"/>
      <c r="F276" s="258">
        <f t="shared" ca="1" si="11"/>
        <v>0</v>
      </c>
      <c r="G276" s="624"/>
      <c r="H276" s="85"/>
      <c r="I276" s="624"/>
      <c r="J276" s="85"/>
      <c r="K276" s="624"/>
      <c r="L276" s="85"/>
      <c r="M276" s="624"/>
      <c r="N276" s="85"/>
      <c r="O276" s="624"/>
      <c r="P276" s="85"/>
      <c r="Q276" s="626">
        <f t="shared" si="10"/>
        <v>0</v>
      </c>
      <c r="R276" s="85"/>
      <c r="S276" s="624"/>
      <c r="T276" s="260"/>
      <c r="U276" s="624"/>
      <c r="V276" s="85"/>
      <c r="W276" s="624"/>
      <c r="X276" s="81"/>
      <c r="Y276" s="80"/>
      <c r="Z276" s="737">
        <f ca="1">MAX(0%,IF(Q276&lt;&gt;0,MIN((S276-Q276)/Q276/'Underwriting Risk'!$E$27,'Premium and Reserve Risk'!$Z$236),'Premium and Reserve Risk'!$Z$236))</f>
        <v>0.15</v>
      </c>
      <c r="AA276" s="80"/>
      <c r="AB276" s="80"/>
      <c r="AC276" s="737">
        <f ca="1">MAX(0%,IF(U276&lt;&gt;0,MIN((W276-U276)/U276/'Underwriting Risk'!$E$27,'Premium and Reserve Risk'!$AC$236),'Premium and Reserve Risk'!$AC$236))</f>
        <v>0.11</v>
      </c>
      <c r="AD276" s="81"/>
      <c r="AE276" s="97"/>
      <c r="AF276" s="97"/>
      <c r="AG276" s="97"/>
      <c r="AH276" s="97"/>
    </row>
    <row r="277" spans="1:34" ht="13.5" customHeight="1" x14ac:dyDescent="0.25">
      <c r="A277" s="97"/>
      <c r="B277" s="257">
        <v>40</v>
      </c>
      <c r="C277" s="652"/>
      <c r="D277" s="80"/>
      <c r="E277" s="80"/>
      <c r="F277" s="258">
        <f t="shared" ca="1" si="11"/>
        <v>0</v>
      </c>
      <c r="G277" s="624"/>
      <c r="H277" s="85"/>
      <c r="I277" s="624"/>
      <c r="J277" s="85"/>
      <c r="K277" s="624"/>
      <c r="L277" s="85"/>
      <c r="M277" s="624"/>
      <c r="N277" s="85"/>
      <c r="O277" s="624"/>
      <c r="P277" s="85"/>
      <c r="Q277" s="626">
        <f t="shared" si="10"/>
        <v>0</v>
      </c>
      <c r="R277" s="85"/>
      <c r="S277" s="624"/>
      <c r="T277" s="260"/>
      <c r="U277" s="624"/>
      <c r="V277" s="85"/>
      <c r="W277" s="624"/>
      <c r="X277" s="81"/>
      <c r="Y277" s="80"/>
      <c r="Z277" s="737">
        <f ca="1">MAX(0%,IF(Q277&lt;&gt;0,MIN((S277-Q277)/Q277/'Underwriting Risk'!$E$27,'Premium and Reserve Risk'!$Z$236),'Premium and Reserve Risk'!$Z$236))</f>
        <v>0.15</v>
      </c>
      <c r="AA277" s="80"/>
      <c r="AB277" s="80"/>
      <c r="AC277" s="737">
        <f ca="1">MAX(0%,IF(U277&lt;&gt;0,MIN((W277-U277)/U277/'Underwriting Risk'!$E$27,'Premium and Reserve Risk'!$AC$236),'Premium and Reserve Risk'!$AC$236))</f>
        <v>0.11</v>
      </c>
      <c r="AD277" s="81"/>
      <c r="AE277" s="97"/>
      <c r="AF277" s="97"/>
      <c r="AG277" s="97"/>
      <c r="AH277" s="97"/>
    </row>
    <row r="278" spans="1:34" ht="13.5" customHeight="1" x14ac:dyDescent="0.25">
      <c r="A278" s="97"/>
      <c r="B278" s="257">
        <v>41</v>
      </c>
      <c r="C278" s="652"/>
      <c r="D278" s="80"/>
      <c r="E278" s="80"/>
      <c r="F278" s="258">
        <f t="shared" ca="1" si="11"/>
        <v>0</v>
      </c>
      <c r="G278" s="624"/>
      <c r="H278" s="85"/>
      <c r="I278" s="624"/>
      <c r="J278" s="85"/>
      <c r="K278" s="624"/>
      <c r="L278" s="85"/>
      <c r="M278" s="624"/>
      <c r="N278" s="85"/>
      <c r="O278" s="624"/>
      <c r="P278" s="85"/>
      <c r="Q278" s="626">
        <f t="shared" si="10"/>
        <v>0</v>
      </c>
      <c r="R278" s="85"/>
      <c r="S278" s="624"/>
      <c r="T278" s="260"/>
      <c r="U278" s="624"/>
      <c r="V278" s="85"/>
      <c r="W278" s="624"/>
      <c r="X278" s="81"/>
      <c r="Y278" s="80"/>
      <c r="Z278" s="737">
        <f ca="1">MAX(0%,IF(Q278&lt;&gt;0,MIN((S278-Q278)/Q278/'Underwriting Risk'!$E$27,'Premium and Reserve Risk'!$Z$236),'Premium and Reserve Risk'!$Z$236))</f>
        <v>0.15</v>
      </c>
      <c r="AA278" s="80"/>
      <c r="AB278" s="80"/>
      <c r="AC278" s="737">
        <f ca="1">MAX(0%,IF(U278&lt;&gt;0,MIN((W278-U278)/U278/'Underwriting Risk'!$E$27,'Premium and Reserve Risk'!$AC$236),'Premium and Reserve Risk'!$AC$236))</f>
        <v>0.11</v>
      </c>
      <c r="AD278" s="81"/>
      <c r="AE278" s="97"/>
      <c r="AF278" s="97"/>
      <c r="AG278" s="97"/>
      <c r="AH278" s="97"/>
    </row>
    <row r="279" spans="1:34" ht="13.5" customHeight="1" x14ac:dyDescent="0.25">
      <c r="A279" s="97"/>
      <c r="B279" s="257">
        <v>42</v>
      </c>
      <c r="C279" s="652"/>
      <c r="D279" s="80"/>
      <c r="E279" s="80"/>
      <c r="F279" s="258">
        <f t="shared" ca="1" si="11"/>
        <v>0</v>
      </c>
      <c r="G279" s="624"/>
      <c r="H279" s="85"/>
      <c r="I279" s="624"/>
      <c r="J279" s="85"/>
      <c r="K279" s="624"/>
      <c r="L279" s="85"/>
      <c r="M279" s="624"/>
      <c r="N279" s="85"/>
      <c r="O279" s="624"/>
      <c r="P279" s="85"/>
      <c r="Q279" s="626">
        <f t="shared" si="10"/>
        <v>0</v>
      </c>
      <c r="R279" s="85"/>
      <c r="S279" s="624"/>
      <c r="T279" s="260"/>
      <c r="U279" s="624"/>
      <c r="V279" s="85"/>
      <c r="W279" s="624"/>
      <c r="X279" s="81"/>
      <c r="Y279" s="80"/>
      <c r="Z279" s="737">
        <f ca="1">MAX(0%,IF(Q279&lt;&gt;0,MIN((S279-Q279)/Q279/'Underwriting Risk'!$E$27,'Premium and Reserve Risk'!$Z$236),'Premium and Reserve Risk'!$Z$236))</f>
        <v>0.15</v>
      </c>
      <c r="AA279" s="80"/>
      <c r="AB279" s="80"/>
      <c r="AC279" s="737">
        <f ca="1">MAX(0%,IF(U279&lt;&gt;0,MIN((W279-U279)/U279/'Underwriting Risk'!$E$27,'Premium and Reserve Risk'!$AC$236),'Premium and Reserve Risk'!$AC$236))</f>
        <v>0.11</v>
      </c>
      <c r="AD279" s="81"/>
      <c r="AE279" s="97"/>
      <c r="AF279" s="97"/>
      <c r="AG279" s="97"/>
      <c r="AH279" s="97"/>
    </row>
    <row r="280" spans="1:34" ht="13.5" customHeight="1" x14ac:dyDescent="0.25">
      <c r="A280" s="97"/>
      <c r="B280" s="257">
        <v>43</v>
      </c>
      <c r="C280" s="652"/>
      <c r="D280" s="80"/>
      <c r="E280" s="80"/>
      <c r="F280" s="258">
        <f t="shared" ca="1" si="11"/>
        <v>0</v>
      </c>
      <c r="G280" s="624"/>
      <c r="H280" s="85"/>
      <c r="I280" s="624"/>
      <c r="J280" s="85"/>
      <c r="K280" s="624"/>
      <c r="L280" s="85"/>
      <c r="M280" s="624"/>
      <c r="N280" s="85"/>
      <c r="O280" s="624"/>
      <c r="P280" s="85"/>
      <c r="Q280" s="626">
        <f t="shared" si="10"/>
        <v>0</v>
      </c>
      <c r="R280" s="85"/>
      <c r="S280" s="624"/>
      <c r="T280" s="260"/>
      <c r="U280" s="624"/>
      <c r="V280" s="85"/>
      <c r="W280" s="624"/>
      <c r="X280" s="81"/>
      <c r="Y280" s="80"/>
      <c r="Z280" s="737">
        <f ca="1">MAX(0%,IF(Q280&lt;&gt;0,MIN((S280-Q280)/Q280/'Underwriting Risk'!$E$27,'Premium and Reserve Risk'!$Z$236),'Premium and Reserve Risk'!$Z$236))</f>
        <v>0.15</v>
      </c>
      <c r="AA280" s="80"/>
      <c r="AB280" s="80"/>
      <c r="AC280" s="737">
        <f ca="1">MAX(0%,IF(U280&lt;&gt;0,MIN((W280-U280)/U280/'Underwriting Risk'!$E$27,'Premium and Reserve Risk'!$AC$236),'Premium and Reserve Risk'!$AC$236))</f>
        <v>0.11</v>
      </c>
      <c r="AD280" s="81"/>
      <c r="AE280" s="97"/>
      <c r="AF280" s="97"/>
      <c r="AG280" s="97"/>
      <c r="AH280" s="97"/>
    </row>
    <row r="281" spans="1:34" ht="13.5" customHeight="1" x14ac:dyDescent="0.25">
      <c r="A281" s="97"/>
      <c r="B281" s="257">
        <v>44</v>
      </c>
      <c r="C281" s="652"/>
      <c r="D281" s="80"/>
      <c r="E281" s="80"/>
      <c r="F281" s="258">
        <f t="shared" ca="1" si="11"/>
        <v>0</v>
      </c>
      <c r="G281" s="624"/>
      <c r="H281" s="85"/>
      <c r="I281" s="624"/>
      <c r="J281" s="85"/>
      <c r="K281" s="624"/>
      <c r="L281" s="85"/>
      <c r="M281" s="624"/>
      <c r="N281" s="85"/>
      <c r="O281" s="624"/>
      <c r="P281" s="85"/>
      <c r="Q281" s="626">
        <f t="shared" si="10"/>
        <v>0</v>
      </c>
      <c r="R281" s="85"/>
      <c r="S281" s="624"/>
      <c r="T281" s="260"/>
      <c r="U281" s="624"/>
      <c r="V281" s="85"/>
      <c r="W281" s="624"/>
      <c r="X281" s="81"/>
      <c r="Y281" s="80"/>
      <c r="Z281" s="737">
        <f ca="1">MAX(0%,IF(Q281&lt;&gt;0,MIN((S281-Q281)/Q281/'Underwriting Risk'!$E$27,'Premium and Reserve Risk'!$Z$236),'Premium and Reserve Risk'!$Z$236))</f>
        <v>0.15</v>
      </c>
      <c r="AA281" s="80"/>
      <c r="AB281" s="80"/>
      <c r="AC281" s="737">
        <f ca="1">MAX(0%,IF(U281&lt;&gt;0,MIN((W281-U281)/U281/'Underwriting Risk'!$E$27,'Premium and Reserve Risk'!$AC$236),'Premium and Reserve Risk'!$AC$236))</f>
        <v>0.11</v>
      </c>
      <c r="AD281" s="81"/>
      <c r="AE281" s="97"/>
      <c r="AF281" s="97"/>
      <c r="AG281" s="97"/>
      <c r="AH281" s="97"/>
    </row>
    <row r="282" spans="1:34" ht="13.5" customHeight="1" x14ac:dyDescent="0.25">
      <c r="A282" s="97"/>
      <c r="B282" s="257">
        <v>45</v>
      </c>
      <c r="C282" s="652"/>
      <c r="D282" s="80"/>
      <c r="E282" s="80"/>
      <c r="F282" s="258">
        <f t="shared" ca="1" si="11"/>
        <v>0</v>
      </c>
      <c r="G282" s="624"/>
      <c r="H282" s="85"/>
      <c r="I282" s="624"/>
      <c r="J282" s="85"/>
      <c r="K282" s="624"/>
      <c r="L282" s="85"/>
      <c r="M282" s="624"/>
      <c r="N282" s="85"/>
      <c r="O282" s="624"/>
      <c r="P282" s="85"/>
      <c r="Q282" s="626">
        <f t="shared" si="10"/>
        <v>0</v>
      </c>
      <c r="R282" s="85"/>
      <c r="S282" s="624"/>
      <c r="T282" s="260"/>
      <c r="U282" s="624"/>
      <c r="V282" s="85"/>
      <c r="W282" s="624"/>
      <c r="X282" s="81"/>
      <c r="Y282" s="80"/>
      <c r="Z282" s="737">
        <f ca="1">MAX(0%,IF(Q282&lt;&gt;0,MIN((S282-Q282)/Q282/'Underwriting Risk'!$E$27,'Premium and Reserve Risk'!$Z$236),'Premium and Reserve Risk'!$Z$236))</f>
        <v>0.15</v>
      </c>
      <c r="AA282" s="80"/>
      <c r="AB282" s="80"/>
      <c r="AC282" s="737">
        <f ca="1">MAX(0%,IF(U282&lt;&gt;0,MIN((W282-U282)/U282/'Underwriting Risk'!$E$27,'Premium and Reserve Risk'!$AC$236),'Premium and Reserve Risk'!$AC$236))</f>
        <v>0.11</v>
      </c>
      <c r="AD282" s="81"/>
      <c r="AE282" s="97"/>
      <c r="AF282" s="97"/>
      <c r="AG282" s="97"/>
      <c r="AH282" s="97"/>
    </row>
    <row r="283" spans="1:34" ht="13.5" customHeight="1" x14ac:dyDescent="0.25">
      <c r="A283" s="97"/>
      <c r="B283" s="257">
        <v>46</v>
      </c>
      <c r="C283" s="652"/>
      <c r="D283" s="80"/>
      <c r="E283" s="80"/>
      <c r="F283" s="258">
        <f t="shared" ca="1" si="11"/>
        <v>0</v>
      </c>
      <c r="G283" s="624"/>
      <c r="H283" s="85"/>
      <c r="I283" s="624"/>
      <c r="J283" s="85"/>
      <c r="K283" s="624"/>
      <c r="L283" s="85"/>
      <c r="M283" s="624"/>
      <c r="N283" s="85"/>
      <c r="O283" s="624"/>
      <c r="P283" s="85"/>
      <c r="Q283" s="626">
        <f t="shared" si="10"/>
        <v>0</v>
      </c>
      <c r="R283" s="85"/>
      <c r="S283" s="624"/>
      <c r="T283" s="260"/>
      <c r="U283" s="624"/>
      <c r="V283" s="85"/>
      <c r="W283" s="624"/>
      <c r="X283" s="81"/>
      <c r="Y283" s="80"/>
      <c r="Z283" s="737">
        <f ca="1">MAX(0%,IF(Q283&lt;&gt;0,MIN((S283-Q283)/Q283/'Underwriting Risk'!$E$27,'Premium and Reserve Risk'!$Z$236),'Premium and Reserve Risk'!$Z$236))</f>
        <v>0.15</v>
      </c>
      <c r="AA283" s="80"/>
      <c r="AB283" s="80"/>
      <c r="AC283" s="737">
        <f ca="1">MAX(0%,IF(U283&lt;&gt;0,MIN((W283-U283)/U283/'Underwriting Risk'!$E$27,'Premium and Reserve Risk'!$AC$236),'Premium and Reserve Risk'!$AC$236))</f>
        <v>0.11</v>
      </c>
      <c r="AD283" s="81"/>
      <c r="AE283" s="97"/>
      <c r="AF283" s="97"/>
      <c r="AG283" s="97"/>
      <c r="AH283" s="97"/>
    </row>
    <row r="284" spans="1:34" ht="13.5" customHeight="1" x14ac:dyDescent="0.25">
      <c r="A284" s="97"/>
      <c r="B284" s="257">
        <v>47</v>
      </c>
      <c r="C284" s="652"/>
      <c r="D284" s="80"/>
      <c r="E284" s="80"/>
      <c r="F284" s="258">
        <f t="shared" ca="1" si="11"/>
        <v>0</v>
      </c>
      <c r="G284" s="624"/>
      <c r="H284" s="85"/>
      <c r="I284" s="624"/>
      <c r="J284" s="85"/>
      <c r="K284" s="624"/>
      <c r="L284" s="85"/>
      <c r="M284" s="624"/>
      <c r="N284" s="85"/>
      <c r="O284" s="624"/>
      <c r="P284" s="85"/>
      <c r="Q284" s="626">
        <f t="shared" si="10"/>
        <v>0</v>
      </c>
      <c r="R284" s="85"/>
      <c r="S284" s="624"/>
      <c r="T284" s="260"/>
      <c r="U284" s="624"/>
      <c r="V284" s="85"/>
      <c r="W284" s="624"/>
      <c r="X284" s="81"/>
      <c r="Y284" s="80"/>
      <c r="Z284" s="737">
        <f ca="1">MAX(0%,IF(Q284&lt;&gt;0,MIN((S284-Q284)/Q284/'Underwriting Risk'!$E$27,'Premium and Reserve Risk'!$Z$236),'Premium and Reserve Risk'!$Z$236))</f>
        <v>0.15</v>
      </c>
      <c r="AA284" s="80"/>
      <c r="AB284" s="80"/>
      <c r="AC284" s="737">
        <f ca="1">MAX(0%,IF(U284&lt;&gt;0,MIN((W284-U284)/U284/'Underwriting Risk'!$E$27,'Premium and Reserve Risk'!$AC$236),'Premium and Reserve Risk'!$AC$236))</f>
        <v>0.11</v>
      </c>
      <c r="AD284" s="81"/>
      <c r="AE284" s="97"/>
      <c r="AF284" s="97"/>
      <c r="AG284" s="97"/>
      <c r="AH284" s="97"/>
    </row>
    <row r="285" spans="1:34" ht="13.5" customHeight="1" x14ac:dyDescent="0.25">
      <c r="A285" s="97"/>
      <c r="B285" s="257">
        <v>48</v>
      </c>
      <c r="C285" s="652"/>
      <c r="D285" s="80"/>
      <c r="E285" s="80"/>
      <c r="F285" s="258">
        <f t="shared" ca="1" si="11"/>
        <v>0</v>
      </c>
      <c r="G285" s="624"/>
      <c r="H285" s="85"/>
      <c r="I285" s="624"/>
      <c r="J285" s="85"/>
      <c r="K285" s="624"/>
      <c r="L285" s="85"/>
      <c r="M285" s="624"/>
      <c r="N285" s="85"/>
      <c r="O285" s="624"/>
      <c r="P285" s="85"/>
      <c r="Q285" s="626">
        <f t="shared" si="10"/>
        <v>0</v>
      </c>
      <c r="R285" s="85"/>
      <c r="S285" s="624"/>
      <c r="T285" s="260"/>
      <c r="U285" s="624"/>
      <c r="V285" s="85"/>
      <c r="W285" s="624"/>
      <c r="X285" s="81"/>
      <c r="Y285" s="80"/>
      <c r="Z285" s="737">
        <f ca="1">MAX(0%,IF(Q285&lt;&gt;0,MIN((S285-Q285)/Q285/'Underwriting Risk'!$E$27,'Premium and Reserve Risk'!$Z$236),'Premium and Reserve Risk'!$Z$236))</f>
        <v>0.15</v>
      </c>
      <c r="AA285" s="80"/>
      <c r="AB285" s="80"/>
      <c r="AC285" s="737">
        <f ca="1">MAX(0%,IF(U285&lt;&gt;0,MIN((W285-U285)/U285/'Underwriting Risk'!$E$27,'Premium and Reserve Risk'!$AC$236),'Premium and Reserve Risk'!$AC$236))</f>
        <v>0.11</v>
      </c>
      <c r="AD285" s="81"/>
      <c r="AE285" s="97"/>
      <c r="AF285" s="97"/>
      <c r="AG285" s="97"/>
      <c r="AH285" s="97"/>
    </row>
    <row r="286" spans="1:34" ht="13.5" customHeight="1" x14ac:dyDescent="0.25">
      <c r="A286" s="97"/>
      <c r="B286" s="257">
        <v>49</v>
      </c>
      <c r="C286" s="652"/>
      <c r="D286" s="80"/>
      <c r="E286" s="80"/>
      <c r="F286" s="258">
        <f t="shared" ca="1" si="11"/>
        <v>0</v>
      </c>
      <c r="G286" s="624"/>
      <c r="H286" s="85"/>
      <c r="I286" s="624"/>
      <c r="J286" s="85"/>
      <c r="K286" s="624"/>
      <c r="L286" s="85"/>
      <c r="M286" s="624"/>
      <c r="N286" s="85"/>
      <c r="O286" s="624"/>
      <c r="P286" s="85"/>
      <c r="Q286" s="626">
        <f t="shared" si="10"/>
        <v>0</v>
      </c>
      <c r="R286" s="85"/>
      <c r="S286" s="624"/>
      <c r="T286" s="260"/>
      <c r="U286" s="624"/>
      <c r="V286" s="85"/>
      <c r="W286" s="624"/>
      <c r="X286" s="81"/>
      <c r="Y286" s="80"/>
      <c r="Z286" s="737">
        <f ca="1">MAX(0%,IF(Q286&lt;&gt;0,MIN((S286-Q286)/Q286/'Underwriting Risk'!$E$27,'Premium and Reserve Risk'!$Z$236),'Premium and Reserve Risk'!$Z$236))</f>
        <v>0.15</v>
      </c>
      <c r="AA286" s="80"/>
      <c r="AB286" s="80"/>
      <c r="AC286" s="737">
        <f ca="1">MAX(0%,IF(U286&lt;&gt;0,MIN((W286-U286)/U286/'Underwriting Risk'!$E$27,'Premium and Reserve Risk'!$AC$236),'Premium and Reserve Risk'!$AC$236))</f>
        <v>0.11</v>
      </c>
      <c r="AD286" s="81"/>
      <c r="AE286" s="97"/>
      <c r="AF286" s="97"/>
      <c r="AG286" s="97"/>
      <c r="AH286" s="97"/>
    </row>
    <row r="287" spans="1:34" ht="13.5" customHeight="1" x14ac:dyDescent="0.25">
      <c r="A287" s="97"/>
      <c r="B287" s="257">
        <v>50</v>
      </c>
      <c r="C287" s="652"/>
      <c r="D287" s="80"/>
      <c r="E287" s="80"/>
      <c r="F287" s="258">
        <f t="shared" ca="1" si="11"/>
        <v>0</v>
      </c>
      <c r="G287" s="624"/>
      <c r="H287" s="85"/>
      <c r="I287" s="624"/>
      <c r="J287" s="85"/>
      <c r="K287" s="624"/>
      <c r="L287" s="85"/>
      <c r="M287" s="624"/>
      <c r="N287" s="85"/>
      <c r="O287" s="624"/>
      <c r="P287" s="85"/>
      <c r="Q287" s="626">
        <f t="shared" si="10"/>
        <v>0</v>
      </c>
      <c r="R287" s="85"/>
      <c r="S287" s="624"/>
      <c r="T287" s="260"/>
      <c r="U287" s="624"/>
      <c r="V287" s="85"/>
      <c r="W287" s="624"/>
      <c r="X287" s="81"/>
      <c r="Y287" s="80"/>
      <c r="Z287" s="737">
        <f ca="1">MAX(0%,IF(Q287&lt;&gt;0,MIN((S287-Q287)/Q287/'Underwriting Risk'!$E$27,'Premium and Reserve Risk'!$Z$236),'Premium and Reserve Risk'!$Z$236))</f>
        <v>0.15</v>
      </c>
      <c r="AA287" s="80"/>
      <c r="AB287" s="80"/>
      <c r="AC287" s="737">
        <f ca="1">MAX(0%,IF(U287&lt;&gt;0,MIN((W287-U287)/U287/'Underwriting Risk'!$E$27,'Premium and Reserve Risk'!$AC$236),'Premium and Reserve Risk'!$AC$236))</f>
        <v>0.11</v>
      </c>
      <c r="AD287" s="81"/>
      <c r="AE287" s="97"/>
      <c r="AF287" s="97"/>
      <c r="AG287" s="97"/>
      <c r="AH287" s="97"/>
    </row>
    <row r="288" spans="1:34" ht="13.5" customHeight="1" x14ac:dyDescent="0.25">
      <c r="A288" s="97"/>
      <c r="B288" s="257">
        <v>51</v>
      </c>
      <c r="C288" s="652"/>
      <c r="D288" s="80"/>
      <c r="E288" s="80"/>
      <c r="F288" s="258">
        <f t="shared" ca="1" si="11"/>
        <v>0</v>
      </c>
      <c r="G288" s="624"/>
      <c r="H288" s="85"/>
      <c r="I288" s="624"/>
      <c r="J288" s="85"/>
      <c r="K288" s="624"/>
      <c r="L288" s="85"/>
      <c r="M288" s="624"/>
      <c r="N288" s="85"/>
      <c r="O288" s="624"/>
      <c r="P288" s="85"/>
      <c r="Q288" s="626">
        <f t="shared" si="10"/>
        <v>0</v>
      </c>
      <c r="R288" s="85"/>
      <c r="S288" s="624"/>
      <c r="T288" s="260"/>
      <c r="U288" s="624"/>
      <c r="V288" s="85"/>
      <c r="W288" s="624"/>
      <c r="X288" s="81"/>
      <c r="Y288" s="80"/>
      <c r="Z288" s="737">
        <f ca="1">MAX(0%,IF(Q288&lt;&gt;0,MIN((S288-Q288)/Q288/'Underwriting Risk'!$E$27,'Premium and Reserve Risk'!$Z$236),'Premium and Reserve Risk'!$Z$236))</f>
        <v>0.15</v>
      </c>
      <c r="AA288" s="80"/>
      <c r="AB288" s="80"/>
      <c r="AC288" s="737">
        <f ca="1">MAX(0%,IF(U288&lt;&gt;0,MIN((W288-U288)/U288/'Underwriting Risk'!$E$27,'Premium and Reserve Risk'!$AC$236),'Premium and Reserve Risk'!$AC$236))</f>
        <v>0.11</v>
      </c>
      <c r="AD288" s="81"/>
      <c r="AE288" s="97"/>
      <c r="AF288" s="97"/>
      <c r="AG288" s="97"/>
      <c r="AH288" s="97"/>
    </row>
    <row r="289" spans="1:34" ht="13.5" customHeight="1" x14ac:dyDescent="0.25">
      <c r="A289" s="97"/>
      <c r="B289" s="257">
        <v>52</v>
      </c>
      <c r="C289" s="652"/>
      <c r="D289" s="80"/>
      <c r="E289" s="80"/>
      <c r="F289" s="258">
        <f t="shared" ca="1" si="11"/>
        <v>0</v>
      </c>
      <c r="G289" s="624"/>
      <c r="H289" s="85"/>
      <c r="I289" s="624"/>
      <c r="J289" s="85"/>
      <c r="K289" s="624"/>
      <c r="L289" s="85"/>
      <c r="M289" s="624"/>
      <c r="N289" s="85"/>
      <c r="O289" s="624"/>
      <c r="P289" s="85"/>
      <c r="Q289" s="626">
        <f t="shared" si="10"/>
        <v>0</v>
      </c>
      <c r="R289" s="85"/>
      <c r="S289" s="624"/>
      <c r="T289" s="260"/>
      <c r="U289" s="624"/>
      <c r="V289" s="85"/>
      <c r="W289" s="624"/>
      <c r="X289" s="81"/>
      <c r="Y289" s="80"/>
      <c r="Z289" s="737">
        <f ca="1">MAX(0%,IF(Q289&lt;&gt;0,MIN((S289-Q289)/Q289/'Underwriting Risk'!$E$27,'Premium and Reserve Risk'!$Z$236),'Premium and Reserve Risk'!$Z$236))</f>
        <v>0.15</v>
      </c>
      <c r="AA289" s="80"/>
      <c r="AB289" s="80"/>
      <c r="AC289" s="737">
        <f ca="1">MAX(0%,IF(U289&lt;&gt;0,MIN((W289-U289)/U289/'Underwriting Risk'!$E$27,'Premium and Reserve Risk'!$AC$236),'Premium and Reserve Risk'!$AC$236))</f>
        <v>0.11</v>
      </c>
      <c r="AD289" s="81"/>
      <c r="AE289" s="97"/>
      <c r="AF289" s="97"/>
      <c r="AG289" s="97"/>
      <c r="AH289" s="97"/>
    </row>
    <row r="290" spans="1:34" ht="13.5" customHeight="1" x14ac:dyDescent="0.25">
      <c r="A290" s="97"/>
      <c r="B290" s="257">
        <v>53</v>
      </c>
      <c r="C290" s="652"/>
      <c r="D290" s="80"/>
      <c r="E290" s="80"/>
      <c r="F290" s="258">
        <f t="shared" ca="1" si="11"/>
        <v>0</v>
      </c>
      <c r="G290" s="624"/>
      <c r="H290" s="85"/>
      <c r="I290" s="624"/>
      <c r="J290" s="85"/>
      <c r="K290" s="624"/>
      <c r="L290" s="85"/>
      <c r="M290" s="624"/>
      <c r="N290" s="85"/>
      <c r="O290" s="624"/>
      <c r="P290" s="85"/>
      <c r="Q290" s="626">
        <f t="shared" si="10"/>
        <v>0</v>
      </c>
      <c r="R290" s="85"/>
      <c r="S290" s="624"/>
      <c r="T290" s="260"/>
      <c r="U290" s="624"/>
      <c r="V290" s="85"/>
      <c r="W290" s="624"/>
      <c r="X290" s="81"/>
      <c r="Y290" s="80"/>
      <c r="Z290" s="737">
        <f ca="1">MAX(0%,IF(Q290&lt;&gt;0,MIN((S290-Q290)/Q290/'Underwriting Risk'!$E$27,'Premium and Reserve Risk'!$Z$236),'Premium and Reserve Risk'!$Z$236))</f>
        <v>0.15</v>
      </c>
      <c r="AA290" s="80"/>
      <c r="AB290" s="80"/>
      <c r="AC290" s="737">
        <f ca="1">MAX(0%,IF(U290&lt;&gt;0,MIN((W290-U290)/U290/'Underwriting Risk'!$E$27,'Premium and Reserve Risk'!$AC$236),'Premium and Reserve Risk'!$AC$236))</f>
        <v>0.11</v>
      </c>
      <c r="AD290" s="81"/>
      <c r="AE290" s="97"/>
      <c r="AF290" s="97"/>
      <c r="AG290" s="97"/>
      <c r="AH290" s="97"/>
    </row>
    <row r="291" spans="1:34" ht="13.5" customHeight="1" x14ac:dyDescent="0.25">
      <c r="A291" s="97"/>
      <c r="B291" s="257">
        <v>54</v>
      </c>
      <c r="C291" s="652"/>
      <c r="D291" s="80"/>
      <c r="E291" s="80"/>
      <c r="F291" s="258">
        <f t="shared" ca="1" si="11"/>
        <v>0</v>
      </c>
      <c r="G291" s="624"/>
      <c r="H291" s="85"/>
      <c r="I291" s="624"/>
      <c r="J291" s="85"/>
      <c r="K291" s="624"/>
      <c r="L291" s="85"/>
      <c r="M291" s="624"/>
      <c r="N291" s="85"/>
      <c r="O291" s="624"/>
      <c r="P291" s="85"/>
      <c r="Q291" s="626">
        <f t="shared" si="10"/>
        <v>0</v>
      </c>
      <c r="R291" s="85"/>
      <c r="S291" s="624"/>
      <c r="T291" s="260"/>
      <c r="U291" s="624"/>
      <c r="V291" s="85"/>
      <c r="W291" s="624"/>
      <c r="X291" s="81"/>
      <c r="Y291" s="80"/>
      <c r="Z291" s="737">
        <f ca="1">MAX(0%,IF(Q291&lt;&gt;0,MIN((S291-Q291)/Q291/'Underwriting Risk'!$E$27,'Premium and Reserve Risk'!$Z$236),'Premium and Reserve Risk'!$Z$236))</f>
        <v>0.15</v>
      </c>
      <c r="AA291" s="80"/>
      <c r="AB291" s="80"/>
      <c r="AC291" s="737">
        <f ca="1">MAX(0%,IF(U291&lt;&gt;0,MIN((W291-U291)/U291/'Underwriting Risk'!$E$27,'Premium and Reserve Risk'!$AC$236),'Premium and Reserve Risk'!$AC$236))</f>
        <v>0.11</v>
      </c>
      <c r="AD291" s="81"/>
      <c r="AE291" s="97"/>
      <c r="AF291" s="97"/>
      <c r="AG291" s="97"/>
      <c r="AH291" s="97"/>
    </row>
    <row r="292" spans="1:34" ht="13.5" customHeight="1" x14ac:dyDescent="0.25">
      <c r="A292" s="97"/>
      <c r="B292" s="257">
        <v>55</v>
      </c>
      <c r="C292" s="652"/>
      <c r="D292" s="80"/>
      <c r="E292" s="80"/>
      <c r="F292" s="258">
        <f t="shared" ca="1" si="11"/>
        <v>0</v>
      </c>
      <c r="G292" s="624"/>
      <c r="H292" s="85"/>
      <c r="I292" s="624"/>
      <c r="J292" s="85"/>
      <c r="K292" s="624"/>
      <c r="L292" s="85"/>
      <c r="M292" s="624"/>
      <c r="N292" s="85"/>
      <c r="O292" s="624"/>
      <c r="P292" s="85"/>
      <c r="Q292" s="626">
        <f t="shared" si="10"/>
        <v>0</v>
      </c>
      <c r="R292" s="85"/>
      <c r="S292" s="624"/>
      <c r="T292" s="260"/>
      <c r="U292" s="624"/>
      <c r="V292" s="85"/>
      <c r="W292" s="624"/>
      <c r="X292" s="81"/>
      <c r="Y292" s="80"/>
      <c r="Z292" s="737">
        <f ca="1">MAX(0%,IF(Q292&lt;&gt;0,MIN((S292-Q292)/Q292/'Underwriting Risk'!$E$27,'Premium and Reserve Risk'!$Z$236),'Premium and Reserve Risk'!$Z$236))</f>
        <v>0.15</v>
      </c>
      <c r="AA292" s="80"/>
      <c r="AB292" s="80"/>
      <c r="AC292" s="737">
        <f ca="1">MAX(0%,IF(U292&lt;&gt;0,MIN((W292-U292)/U292/'Underwriting Risk'!$E$27,'Premium and Reserve Risk'!$AC$236),'Premium and Reserve Risk'!$AC$236))</f>
        <v>0.11</v>
      </c>
      <c r="AD292" s="81"/>
      <c r="AE292" s="97"/>
      <c r="AF292" s="97"/>
      <c r="AG292" s="97"/>
      <c r="AH292" s="97"/>
    </row>
    <row r="293" spans="1:34" ht="13.5" customHeight="1" x14ac:dyDescent="0.25">
      <c r="A293" s="97"/>
      <c r="B293" s="257">
        <v>56</v>
      </c>
      <c r="C293" s="652"/>
      <c r="D293" s="80"/>
      <c r="E293" s="80"/>
      <c r="F293" s="258">
        <f t="shared" ca="1" si="11"/>
        <v>0</v>
      </c>
      <c r="G293" s="624"/>
      <c r="H293" s="85"/>
      <c r="I293" s="624"/>
      <c r="J293" s="85"/>
      <c r="K293" s="624"/>
      <c r="L293" s="85"/>
      <c r="M293" s="624"/>
      <c r="N293" s="85"/>
      <c r="O293" s="624"/>
      <c r="P293" s="85"/>
      <c r="Q293" s="626">
        <f t="shared" si="10"/>
        <v>0</v>
      </c>
      <c r="R293" s="85"/>
      <c r="S293" s="624"/>
      <c r="T293" s="260"/>
      <c r="U293" s="624"/>
      <c r="V293" s="85"/>
      <c r="W293" s="624"/>
      <c r="X293" s="81"/>
      <c r="Y293" s="80"/>
      <c r="Z293" s="737">
        <f ca="1">MAX(0%,IF(Q293&lt;&gt;0,MIN((S293-Q293)/Q293/'Underwriting Risk'!$E$27,'Premium and Reserve Risk'!$Z$236),'Premium and Reserve Risk'!$Z$236))</f>
        <v>0.15</v>
      </c>
      <c r="AA293" s="80"/>
      <c r="AB293" s="80"/>
      <c r="AC293" s="737">
        <f ca="1">MAX(0%,IF(U293&lt;&gt;0,MIN((W293-U293)/U293/'Underwriting Risk'!$E$27,'Premium and Reserve Risk'!$AC$236),'Premium and Reserve Risk'!$AC$236))</f>
        <v>0.11</v>
      </c>
      <c r="AD293" s="81"/>
      <c r="AE293" s="97"/>
      <c r="AF293" s="97"/>
      <c r="AG293" s="97"/>
      <c r="AH293" s="97"/>
    </row>
    <row r="294" spans="1:34" ht="13.5" customHeight="1" x14ac:dyDescent="0.25">
      <c r="A294" s="97"/>
      <c r="B294" s="257">
        <v>57</v>
      </c>
      <c r="C294" s="652"/>
      <c r="D294" s="80"/>
      <c r="E294" s="80"/>
      <c r="F294" s="258">
        <f t="shared" ca="1" si="11"/>
        <v>0</v>
      </c>
      <c r="G294" s="624"/>
      <c r="H294" s="85"/>
      <c r="I294" s="624"/>
      <c r="J294" s="85"/>
      <c r="K294" s="624"/>
      <c r="L294" s="85"/>
      <c r="M294" s="624"/>
      <c r="N294" s="85"/>
      <c r="O294" s="624"/>
      <c r="P294" s="85"/>
      <c r="Q294" s="626">
        <f t="shared" si="10"/>
        <v>0</v>
      </c>
      <c r="R294" s="85"/>
      <c r="S294" s="624"/>
      <c r="T294" s="260"/>
      <c r="U294" s="624"/>
      <c r="V294" s="85"/>
      <c r="W294" s="624"/>
      <c r="X294" s="81"/>
      <c r="Y294" s="80"/>
      <c r="Z294" s="737">
        <f ca="1">MAX(0%,IF(Q294&lt;&gt;0,MIN((S294-Q294)/Q294/'Underwriting Risk'!$E$27,'Premium and Reserve Risk'!$Z$236),'Premium and Reserve Risk'!$Z$236))</f>
        <v>0.15</v>
      </c>
      <c r="AA294" s="80"/>
      <c r="AB294" s="80"/>
      <c r="AC294" s="737">
        <f ca="1">MAX(0%,IF(U294&lt;&gt;0,MIN((W294-U294)/U294/'Underwriting Risk'!$E$27,'Premium and Reserve Risk'!$AC$236),'Premium and Reserve Risk'!$AC$236))</f>
        <v>0.11</v>
      </c>
      <c r="AD294" s="81"/>
      <c r="AE294" s="97"/>
      <c r="AF294" s="97"/>
      <c r="AG294" s="97"/>
      <c r="AH294" s="97"/>
    </row>
    <row r="295" spans="1:34" ht="13.5" customHeight="1" x14ac:dyDescent="0.25">
      <c r="A295" s="97"/>
      <c r="B295" s="257">
        <v>58</v>
      </c>
      <c r="C295" s="652"/>
      <c r="D295" s="80"/>
      <c r="E295" s="80"/>
      <c r="F295" s="258">
        <f t="shared" ca="1" si="11"/>
        <v>0</v>
      </c>
      <c r="G295" s="624"/>
      <c r="H295" s="85"/>
      <c r="I295" s="624"/>
      <c r="J295" s="85"/>
      <c r="K295" s="624"/>
      <c r="L295" s="85"/>
      <c r="M295" s="624"/>
      <c r="N295" s="85"/>
      <c r="O295" s="624"/>
      <c r="P295" s="85"/>
      <c r="Q295" s="626">
        <f t="shared" si="10"/>
        <v>0</v>
      </c>
      <c r="R295" s="85"/>
      <c r="S295" s="624"/>
      <c r="T295" s="260"/>
      <c r="U295" s="624"/>
      <c r="V295" s="85"/>
      <c r="W295" s="624"/>
      <c r="X295" s="81"/>
      <c r="Y295" s="80"/>
      <c r="Z295" s="737">
        <f ca="1">MAX(0%,IF(Q295&lt;&gt;0,MIN((S295-Q295)/Q295/'Underwriting Risk'!$E$27,'Premium and Reserve Risk'!$Z$236),'Premium and Reserve Risk'!$Z$236))</f>
        <v>0.15</v>
      </c>
      <c r="AA295" s="80"/>
      <c r="AB295" s="80"/>
      <c r="AC295" s="737">
        <f ca="1">MAX(0%,IF(U295&lt;&gt;0,MIN((W295-U295)/U295/'Underwriting Risk'!$E$27,'Premium and Reserve Risk'!$AC$236),'Premium and Reserve Risk'!$AC$236))</f>
        <v>0.11</v>
      </c>
      <c r="AD295" s="81"/>
      <c r="AE295" s="97"/>
      <c r="AF295" s="97"/>
      <c r="AG295" s="97"/>
      <c r="AH295" s="97"/>
    </row>
    <row r="296" spans="1:34" ht="13.5" customHeight="1" x14ac:dyDescent="0.25">
      <c r="A296" s="97"/>
      <c r="B296" s="257">
        <v>59</v>
      </c>
      <c r="C296" s="652"/>
      <c r="D296" s="80"/>
      <c r="E296" s="80"/>
      <c r="F296" s="258">
        <f t="shared" ca="1" si="11"/>
        <v>0</v>
      </c>
      <c r="G296" s="624"/>
      <c r="H296" s="85"/>
      <c r="I296" s="624"/>
      <c r="J296" s="85"/>
      <c r="K296" s="624"/>
      <c r="L296" s="85"/>
      <c r="M296" s="624"/>
      <c r="N296" s="85"/>
      <c r="O296" s="624"/>
      <c r="P296" s="85"/>
      <c r="Q296" s="626">
        <f t="shared" si="10"/>
        <v>0</v>
      </c>
      <c r="R296" s="85"/>
      <c r="S296" s="624"/>
      <c r="T296" s="260"/>
      <c r="U296" s="624"/>
      <c r="V296" s="85"/>
      <c r="W296" s="624"/>
      <c r="X296" s="81"/>
      <c r="Y296" s="80"/>
      <c r="Z296" s="737">
        <f ca="1">MAX(0%,IF(Q296&lt;&gt;0,MIN((S296-Q296)/Q296/'Underwriting Risk'!$E$27,'Premium and Reserve Risk'!$Z$236),'Premium and Reserve Risk'!$Z$236))</f>
        <v>0.15</v>
      </c>
      <c r="AA296" s="80"/>
      <c r="AB296" s="80"/>
      <c r="AC296" s="737">
        <f ca="1">MAX(0%,IF(U296&lt;&gt;0,MIN((W296-U296)/U296/'Underwriting Risk'!$E$27,'Premium and Reserve Risk'!$AC$236),'Premium and Reserve Risk'!$AC$236))</f>
        <v>0.11</v>
      </c>
      <c r="AD296" s="81"/>
      <c r="AE296" s="97"/>
      <c r="AF296" s="97"/>
      <c r="AG296" s="97"/>
      <c r="AH296" s="97"/>
    </row>
    <row r="297" spans="1:34" ht="13.5" customHeight="1" x14ac:dyDescent="0.25">
      <c r="A297" s="97"/>
      <c r="B297" s="257">
        <v>60</v>
      </c>
      <c r="C297" s="652"/>
      <c r="D297" s="80"/>
      <c r="E297" s="80"/>
      <c r="F297" s="258">
        <f t="shared" ca="1" si="11"/>
        <v>0</v>
      </c>
      <c r="G297" s="624"/>
      <c r="H297" s="85"/>
      <c r="I297" s="624"/>
      <c r="J297" s="85"/>
      <c r="K297" s="624"/>
      <c r="L297" s="85"/>
      <c r="M297" s="624"/>
      <c r="N297" s="85"/>
      <c r="O297" s="624"/>
      <c r="P297" s="85"/>
      <c r="Q297" s="626">
        <f t="shared" si="10"/>
        <v>0</v>
      </c>
      <c r="R297" s="85"/>
      <c r="S297" s="624"/>
      <c r="T297" s="260"/>
      <c r="U297" s="624"/>
      <c r="V297" s="85"/>
      <c r="W297" s="624"/>
      <c r="X297" s="81"/>
      <c r="Y297" s="80"/>
      <c r="Z297" s="737">
        <f ca="1">MAX(0%,IF(Q297&lt;&gt;0,MIN((S297-Q297)/Q297/'Underwriting Risk'!$E$27,'Premium and Reserve Risk'!$Z$236),'Premium and Reserve Risk'!$Z$236))</f>
        <v>0.15</v>
      </c>
      <c r="AA297" s="80"/>
      <c r="AB297" s="80"/>
      <c r="AC297" s="737">
        <f ca="1">MAX(0%,IF(U297&lt;&gt;0,MIN((W297-U297)/U297/'Underwriting Risk'!$E$27,'Premium and Reserve Risk'!$AC$236),'Premium and Reserve Risk'!$AC$236))</f>
        <v>0.11</v>
      </c>
      <c r="AD297" s="81"/>
      <c r="AE297" s="97"/>
      <c r="AF297" s="97"/>
      <c r="AG297" s="97"/>
      <c r="AH297" s="97"/>
    </row>
    <row r="298" spans="1:34" ht="13.5" customHeight="1" x14ac:dyDescent="0.25">
      <c r="A298" s="97"/>
      <c r="B298" s="257">
        <v>61</v>
      </c>
      <c r="C298" s="652"/>
      <c r="D298" s="80"/>
      <c r="E298" s="80"/>
      <c r="F298" s="258">
        <f t="shared" ca="1" si="11"/>
        <v>0</v>
      </c>
      <c r="G298" s="624"/>
      <c r="H298" s="85"/>
      <c r="I298" s="624"/>
      <c r="J298" s="85"/>
      <c r="K298" s="624"/>
      <c r="L298" s="85"/>
      <c r="M298" s="624"/>
      <c r="N298" s="85"/>
      <c r="O298" s="624"/>
      <c r="P298" s="85"/>
      <c r="Q298" s="626">
        <f t="shared" si="10"/>
        <v>0</v>
      </c>
      <c r="R298" s="85"/>
      <c r="S298" s="624"/>
      <c r="T298" s="260"/>
      <c r="U298" s="624"/>
      <c r="V298" s="85"/>
      <c r="W298" s="624"/>
      <c r="X298" s="81"/>
      <c r="Y298" s="80"/>
      <c r="Z298" s="737">
        <f ca="1">MAX(0%,IF(Q298&lt;&gt;0,MIN((S298-Q298)/Q298/'Underwriting Risk'!$E$27,'Premium and Reserve Risk'!$Z$236),'Premium and Reserve Risk'!$Z$236))</f>
        <v>0.15</v>
      </c>
      <c r="AA298" s="80"/>
      <c r="AB298" s="80"/>
      <c r="AC298" s="737">
        <f ca="1">MAX(0%,IF(U298&lt;&gt;0,MIN((W298-U298)/U298/'Underwriting Risk'!$E$27,'Premium and Reserve Risk'!$AC$236),'Premium and Reserve Risk'!$AC$236))</f>
        <v>0.11</v>
      </c>
      <c r="AD298" s="81"/>
      <c r="AE298" s="97"/>
      <c r="AF298" s="97"/>
      <c r="AG298" s="97"/>
      <c r="AH298" s="97"/>
    </row>
    <row r="299" spans="1:34" ht="13.5" customHeight="1" x14ac:dyDescent="0.25">
      <c r="A299" s="97"/>
      <c r="B299" s="257">
        <v>62</v>
      </c>
      <c r="C299" s="652"/>
      <c r="D299" s="80"/>
      <c r="E299" s="80"/>
      <c r="F299" s="258">
        <f t="shared" ca="1" si="11"/>
        <v>0</v>
      </c>
      <c r="G299" s="624"/>
      <c r="H299" s="85"/>
      <c r="I299" s="624"/>
      <c r="J299" s="85"/>
      <c r="K299" s="624"/>
      <c r="L299" s="85"/>
      <c r="M299" s="624"/>
      <c r="N299" s="85"/>
      <c r="O299" s="624"/>
      <c r="P299" s="85"/>
      <c r="Q299" s="626">
        <f t="shared" si="10"/>
        <v>0</v>
      </c>
      <c r="R299" s="85"/>
      <c r="S299" s="624"/>
      <c r="T299" s="260"/>
      <c r="U299" s="624"/>
      <c r="V299" s="85"/>
      <c r="W299" s="624"/>
      <c r="X299" s="81"/>
      <c r="Y299" s="80"/>
      <c r="Z299" s="737">
        <f ca="1">MAX(0%,IF(Q299&lt;&gt;0,MIN((S299-Q299)/Q299/'Underwriting Risk'!$E$27,'Premium and Reserve Risk'!$Z$236),'Premium and Reserve Risk'!$Z$236))</f>
        <v>0.15</v>
      </c>
      <c r="AA299" s="80"/>
      <c r="AB299" s="80"/>
      <c r="AC299" s="737">
        <f ca="1">MAX(0%,IF(U299&lt;&gt;0,MIN((W299-U299)/U299/'Underwriting Risk'!$E$27,'Premium and Reserve Risk'!$AC$236),'Premium and Reserve Risk'!$AC$236))</f>
        <v>0.11</v>
      </c>
      <c r="AD299" s="81"/>
      <c r="AE299" s="97"/>
      <c r="AF299" s="97"/>
      <c r="AG299" s="97"/>
      <c r="AH299" s="97"/>
    </row>
    <row r="300" spans="1:34" ht="13.5" customHeight="1" x14ac:dyDescent="0.25">
      <c r="A300" s="97"/>
      <c r="B300" s="257">
        <v>63</v>
      </c>
      <c r="C300" s="652"/>
      <c r="D300" s="80"/>
      <c r="E300" s="80"/>
      <c r="F300" s="258">
        <f t="shared" ca="1" si="11"/>
        <v>0</v>
      </c>
      <c r="G300" s="624"/>
      <c r="H300" s="85"/>
      <c r="I300" s="624"/>
      <c r="J300" s="85"/>
      <c r="K300" s="624"/>
      <c r="L300" s="85"/>
      <c r="M300" s="624"/>
      <c r="N300" s="85"/>
      <c r="O300" s="624"/>
      <c r="P300" s="85"/>
      <c r="Q300" s="626">
        <f t="shared" si="10"/>
        <v>0</v>
      </c>
      <c r="R300" s="85"/>
      <c r="S300" s="624"/>
      <c r="T300" s="260"/>
      <c r="U300" s="624"/>
      <c r="V300" s="85"/>
      <c r="W300" s="624"/>
      <c r="X300" s="81"/>
      <c r="Y300" s="80"/>
      <c r="Z300" s="737">
        <f ca="1">MAX(0%,IF(Q300&lt;&gt;0,MIN((S300-Q300)/Q300/'Underwriting Risk'!$E$27,'Premium and Reserve Risk'!$Z$236),'Premium and Reserve Risk'!$Z$236))</f>
        <v>0.15</v>
      </c>
      <c r="AA300" s="80"/>
      <c r="AB300" s="80"/>
      <c r="AC300" s="737">
        <f ca="1">MAX(0%,IF(U300&lt;&gt;0,MIN((W300-U300)/U300/'Underwriting Risk'!$E$27,'Premium and Reserve Risk'!$AC$236),'Premium and Reserve Risk'!$AC$236))</f>
        <v>0.11</v>
      </c>
      <c r="AD300" s="81"/>
      <c r="AE300" s="97"/>
      <c r="AF300" s="97"/>
      <c r="AG300" s="97"/>
      <c r="AH300" s="97"/>
    </row>
    <row r="301" spans="1:34" ht="13.5" customHeight="1" x14ac:dyDescent="0.25">
      <c r="A301" s="97"/>
      <c r="B301" s="257">
        <v>64</v>
      </c>
      <c r="C301" s="652"/>
      <c r="D301" s="80"/>
      <c r="E301" s="80"/>
      <c r="F301" s="258">
        <f t="shared" ca="1" si="11"/>
        <v>0</v>
      </c>
      <c r="G301" s="624"/>
      <c r="H301" s="85"/>
      <c r="I301" s="624"/>
      <c r="J301" s="85"/>
      <c r="K301" s="624"/>
      <c r="L301" s="85"/>
      <c r="M301" s="624"/>
      <c r="N301" s="85"/>
      <c r="O301" s="624"/>
      <c r="P301" s="85"/>
      <c r="Q301" s="626">
        <f t="shared" si="10"/>
        <v>0</v>
      </c>
      <c r="R301" s="85"/>
      <c r="S301" s="624"/>
      <c r="T301" s="260"/>
      <c r="U301" s="624"/>
      <c r="V301" s="85"/>
      <c r="W301" s="624"/>
      <c r="X301" s="81"/>
      <c r="Y301" s="80"/>
      <c r="Z301" s="737">
        <f ca="1">MAX(0%,IF(Q301&lt;&gt;0,MIN((S301-Q301)/Q301/'Underwriting Risk'!$E$27,'Premium and Reserve Risk'!$Z$236),'Premium and Reserve Risk'!$Z$236))</f>
        <v>0.15</v>
      </c>
      <c r="AA301" s="80"/>
      <c r="AB301" s="80"/>
      <c r="AC301" s="737">
        <f ca="1">MAX(0%,IF(U301&lt;&gt;0,MIN((W301-U301)/U301/'Underwriting Risk'!$E$27,'Premium and Reserve Risk'!$AC$236),'Premium and Reserve Risk'!$AC$236))</f>
        <v>0.11</v>
      </c>
      <c r="AD301" s="81"/>
      <c r="AE301" s="97"/>
      <c r="AF301" s="97"/>
      <c r="AG301" s="97"/>
      <c r="AH301" s="97"/>
    </row>
    <row r="302" spans="1:34" ht="13.5" customHeight="1" x14ac:dyDescent="0.25">
      <c r="A302" s="97"/>
      <c r="B302" s="257">
        <v>65</v>
      </c>
      <c r="C302" s="652"/>
      <c r="D302" s="80"/>
      <c r="E302" s="80"/>
      <c r="F302" s="258">
        <f t="shared" ca="1" si="11"/>
        <v>0</v>
      </c>
      <c r="G302" s="624"/>
      <c r="H302" s="85"/>
      <c r="I302" s="624"/>
      <c r="J302" s="85"/>
      <c r="K302" s="624"/>
      <c r="L302" s="85"/>
      <c r="M302" s="624"/>
      <c r="N302" s="85"/>
      <c r="O302" s="624"/>
      <c r="P302" s="85"/>
      <c r="Q302" s="626">
        <f t="shared" si="10"/>
        <v>0</v>
      </c>
      <c r="R302" s="85"/>
      <c r="S302" s="624"/>
      <c r="T302" s="260"/>
      <c r="U302" s="624"/>
      <c r="V302" s="85"/>
      <c r="W302" s="624"/>
      <c r="X302" s="81"/>
      <c r="Y302" s="80"/>
      <c r="Z302" s="737">
        <f ca="1">MAX(0%,IF(Q302&lt;&gt;0,MIN((S302-Q302)/Q302/'Underwriting Risk'!$E$27,'Premium and Reserve Risk'!$Z$236),'Premium and Reserve Risk'!$Z$236))</f>
        <v>0.15</v>
      </c>
      <c r="AA302" s="80"/>
      <c r="AB302" s="80"/>
      <c r="AC302" s="737">
        <f ca="1">MAX(0%,IF(U302&lt;&gt;0,MIN((W302-U302)/U302/'Underwriting Risk'!$E$27,'Premium and Reserve Risk'!$AC$236),'Premium and Reserve Risk'!$AC$236))</f>
        <v>0.11</v>
      </c>
      <c r="AD302" s="81"/>
      <c r="AE302" s="97"/>
      <c r="AF302" s="97"/>
      <c r="AG302" s="97"/>
      <c r="AH302" s="97"/>
    </row>
    <row r="303" spans="1:34" ht="13.5" customHeight="1" x14ac:dyDescent="0.25">
      <c r="A303" s="97"/>
      <c r="B303" s="257">
        <v>66</v>
      </c>
      <c r="C303" s="652"/>
      <c r="D303" s="80"/>
      <c r="E303" s="80"/>
      <c r="F303" s="258">
        <f t="shared" ref="F303:F337" ca="1" si="12">IF(B303&lt;=OFFSET($Z$8,B$235-1,0),0,1)</f>
        <v>0</v>
      </c>
      <c r="G303" s="624"/>
      <c r="H303" s="85"/>
      <c r="I303" s="624"/>
      <c r="J303" s="85"/>
      <c r="K303" s="624"/>
      <c r="L303" s="85"/>
      <c r="M303" s="624"/>
      <c r="N303" s="85"/>
      <c r="O303" s="624"/>
      <c r="P303" s="85"/>
      <c r="Q303" s="626">
        <f t="shared" si="10"/>
        <v>0</v>
      </c>
      <c r="R303" s="85"/>
      <c r="S303" s="624"/>
      <c r="T303" s="260"/>
      <c r="U303" s="624"/>
      <c r="V303" s="85"/>
      <c r="W303" s="624"/>
      <c r="X303" s="81"/>
      <c r="Y303" s="80"/>
      <c r="Z303" s="737">
        <f ca="1">MAX(0%,IF(Q303&lt;&gt;0,MIN((S303-Q303)/Q303/'Underwriting Risk'!$E$27,'Premium and Reserve Risk'!$Z$236),'Premium and Reserve Risk'!$Z$236))</f>
        <v>0.15</v>
      </c>
      <c r="AA303" s="80"/>
      <c r="AB303" s="80"/>
      <c r="AC303" s="737">
        <f ca="1">MAX(0%,IF(U303&lt;&gt;0,MIN((W303-U303)/U303/'Underwriting Risk'!$E$27,'Premium and Reserve Risk'!$AC$236),'Premium and Reserve Risk'!$AC$236))</f>
        <v>0.11</v>
      </c>
      <c r="AD303" s="81"/>
      <c r="AE303" s="97"/>
      <c r="AF303" s="97"/>
      <c r="AG303" s="97"/>
      <c r="AH303" s="97"/>
    </row>
    <row r="304" spans="1:34" ht="13.5" customHeight="1" x14ac:dyDescent="0.25">
      <c r="A304" s="97"/>
      <c r="B304" s="257">
        <v>67</v>
      </c>
      <c r="C304" s="652"/>
      <c r="D304" s="80"/>
      <c r="E304" s="80"/>
      <c r="F304" s="258">
        <f t="shared" ca="1" si="12"/>
        <v>0</v>
      </c>
      <c r="G304" s="624"/>
      <c r="H304" s="85"/>
      <c r="I304" s="624"/>
      <c r="J304" s="85"/>
      <c r="K304" s="624"/>
      <c r="L304" s="85"/>
      <c r="M304" s="624"/>
      <c r="N304" s="85"/>
      <c r="O304" s="624"/>
      <c r="P304" s="85"/>
      <c r="Q304" s="626">
        <f t="shared" si="10"/>
        <v>0</v>
      </c>
      <c r="R304" s="85"/>
      <c r="S304" s="624"/>
      <c r="T304" s="260"/>
      <c r="U304" s="624"/>
      <c r="V304" s="85"/>
      <c r="W304" s="624"/>
      <c r="X304" s="81"/>
      <c r="Y304" s="80"/>
      <c r="Z304" s="737">
        <f ca="1">MAX(0%,IF(Q304&lt;&gt;0,MIN((S304-Q304)/Q304/'Underwriting Risk'!$E$27,'Premium and Reserve Risk'!$Z$236),'Premium and Reserve Risk'!$Z$236))</f>
        <v>0.15</v>
      </c>
      <c r="AA304" s="80"/>
      <c r="AB304" s="80"/>
      <c r="AC304" s="737">
        <f ca="1">MAX(0%,IF(U304&lt;&gt;0,MIN((W304-U304)/U304/'Underwriting Risk'!$E$27,'Premium and Reserve Risk'!$AC$236),'Premium and Reserve Risk'!$AC$236))</f>
        <v>0.11</v>
      </c>
      <c r="AD304" s="81"/>
      <c r="AE304" s="97"/>
      <c r="AF304" s="97"/>
      <c r="AG304" s="97"/>
      <c r="AH304" s="97"/>
    </row>
    <row r="305" spans="1:34" ht="13.5" customHeight="1" x14ac:dyDescent="0.25">
      <c r="A305" s="97"/>
      <c r="B305" s="257">
        <v>68</v>
      </c>
      <c r="C305" s="652"/>
      <c r="D305" s="80"/>
      <c r="E305" s="80"/>
      <c r="F305" s="258">
        <f t="shared" ca="1" si="12"/>
        <v>0</v>
      </c>
      <c r="G305" s="624"/>
      <c r="H305" s="85"/>
      <c r="I305" s="624"/>
      <c r="J305" s="85"/>
      <c r="K305" s="624"/>
      <c r="L305" s="85"/>
      <c r="M305" s="624"/>
      <c r="N305" s="85"/>
      <c r="O305" s="624"/>
      <c r="P305" s="85"/>
      <c r="Q305" s="626">
        <f t="shared" si="10"/>
        <v>0</v>
      </c>
      <c r="R305" s="85"/>
      <c r="S305" s="624"/>
      <c r="T305" s="260"/>
      <c r="U305" s="624"/>
      <c r="V305" s="85"/>
      <c r="W305" s="624"/>
      <c r="X305" s="81"/>
      <c r="Y305" s="80"/>
      <c r="Z305" s="737">
        <f ca="1">MAX(0%,IF(Q305&lt;&gt;0,MIN((S305-Q305)/Q305/'Underwriting Risk'!$E$27,'Premium and Reserve Risk'!$Z$236),'Premium and Reserve Risk'!$Z$236))</f>
        <v>0.15</v>
      </c>
      <c r="AA305" s="80"/>
      <c r="AB305" s="80"/>
      <c r="AC305" s="737">
        <f ca="1">MAX(0%,IF(U305&lt;&gt;0,MIN((W305-U305)/U305/'Underwriting Risk'!$E$27,'Premium and Reserve Risk'!$AC$236),'Premium and Reserve Risk'!$AC$236))</f>
        <v>0.11</v>
      </c>
      <c r="AD305" s="81"/>
      <c r="AE305" s="97"/>
      <c r="AF305" s="97"/>
      <c r="AG305" s="97"/>
      <c r="AH305" s="97"/>
    </row>
    <row r="306" spans="1:34" ht="13.5" customHeight="1" x14ac:dyDescent="0.25">
      <c r="A306" s="97"/>
      <c r="B306" s="257">
        <v>69</v>
      </c>
      <c r="C306" s="652"/>
      <c r="D306" s="80"/>
      <c r="E306" s="80"/>
      <c r="F306" s="258">
        <f t="shared" ca="1" si="12"/>
        <v>0</v>
      </c>
      <c r="G306" s="624"/>
      <c r="H306" s="85"/>
      <c r="I306" s="624"/>
      <c r="J306" s="85"/>
      <c r="K306" s="624"/>
      <c r="L306" s="85"/>
      <c r="M306" s="624"/>
      <c r="N306" s="85"/>
      <c r="O306" s="624"/>
      <c r="P306" s="85"/>
      <c r="Q306" s="626">
        <f t="shared" si="10"/>
        <v>0</v>
      </c>
      <c r="R306" s="85"/>
      <c r="S306" s="624"/>
      <c r="T306" s="260"/>
      <c r="U306" s="624"/>
      <c r="V306" s="85"/>
      <c r="W306" s="624"/>
      <c r="X306" s="81"/>
      <c r="Y306" s="80"/>
      <c r="Z306" s="737">
        <f ca="1">MAX(0%,IF(Q306&lt;&gt;0,MIN((S306-Q306)/Q306/'Underwriting Risk'!$E$27,'Premium and Reserve Risk'!$Z$236),'Premium and Reserve Risk'!$Z$236))</f>
        <v>0.15</v>
      </c>
      <c r="AA306" s="80"/>
      <c r="AB306" s="80"/>
      <c r="AC306" s="737">
        <f ca="1">MAX(0%,IF(U306&lt;&gt;0,MIN((W306-U306)/U306/'Underwriting Risk'!$E$27,'Premium and Reserve Risk'!$AC$236),'Premium and Reserve Risk'!$AC$236))</f>
        <v>0.11</v>
      </c>
      <c r="AD306" s="81"/>
      <c r="AE306" s="97"/>
      <c r="AF306" s="97"/>
      <c r="AG306" s="97"/>
      <c r="AH306" s="97"/>
    </row>
    <row r="307" spans="1:34" ht="13.5" customHeight="1" x14ac:dyDescent="0.25">
      <c r="A307" s="97"/>
      <c r="B307" s="257">
        <v>70</v>
      </c>
      <c r="C307" s="652"/>
      <c r="D307" s="80"/>
      <c r="E307" s="80"/>
      <c r="F307" s="258">
        <f t="shared" ca="1" si="12"/>
        <v>0</v>
      </c>
      <c r="G307" s="624"/>
      <c r="H307" s="85"/>
      <c r="I307" s="624"/>
      <c r="J307" s="85"/>
      <c r="K307" s="624"/>
      <c r="L307" s="85"/>
      <c r="M307" s="624"/>
      <c r="N307" s="85"/>
      <c r="O307" s="624"/>
      <c r="P307" s="85"/>
      <c r="Q307" s="626">
        <f t="shared" si="10"/>
        <v>0</v>
      </c>
      <c r="R307" s="85"/>
      <c r="S307" s="624"/>
      <c r="T307" s="260"/>
      <c r="U307" s="624"/>
      <c r="V307" s="85"/>
      <c r="W307" s="624"/>
      <c r="X307" s="81"/>
      <c r="Y307" s="80"/>
      <c r="Z307" s="737">
        <f ca="1">MAX(0%,IF(Q307&lt;&gt;0,MIN((S307-Q307)/Q307/'Underwriting Risk'!$E$27,'Premium and Reserve Risk'!$Z$236),'Premium and Reserve Risk'!$Z$236))</f>
        <v>0.15</v>
      </c>
      <c r="AA307" s="80"/>
      <c r="AB307" s="80"/>
      <c r="AC307" s="737">
        <f ca="1">MAX(0%,IF(U307&lt;&gt;0,MIN((W307-U307)/U307/'Underwriting Risk'!$E$27,'Premium and Reserve Risk'!$AC$236),'Premium and Reserve Risk'!$AC$236))</f>
        <v>0.11</v>
      </c>
      <c r="AD307" s="81"/>
      <c r="AE307" s="97"/>
      <c r="AF307" s="97"/>
      <c r="AG307" s="97"/>
      <c r="AH307" s="97"/>
    </row>
    <row r="308" spans="1:34" ht="13.5" customHeight="1" x14ac:dyDescent="0.25">
      <c r="A308" s="97"/>
      <c r="B308" s="257">
        <v>71</v>
      </c>
      <c r="C308" s="652"/>
      <c r="D308" s="80"/>
      <c r="E308" s="80"/>
      <c r="F308" s="258">
        <f t="shared" ca="1" si="12"/>
        <v>0</v>
      </c>
      <c r="G308" s="624"/>
      <c r="H308" s="85"/>
      <c r="I308" s="624"/>
      <c r="J308" s="85"/>
      <c r="K308" s="624"/>
      <c r="L308" s="85"/>
      <c r="M308" s="624"/>
      <c r="N308" s="85"/>
      <c r="O308" s="624"/>
      <c r="P308" s="85"/>
      <c r="Q308" s="626">
        <f t="shared" si="10"/>
        <v>0</v>
      </c>
      <c r="R308" s="85"/>
      <c r="S308" s="624"/>
      <c r="T308" s="260"/>
      <c r="U308" s="624"/>
      <c r="V308" s="85"/>
      <c r="W308" s="624"/>
      <c r="X308" s="81"/>
      <c r="Y308" s="80"/>
      <c r="Z308" s="737">
        <f ca="1">MAX(0%,IF(Q308&lt;&gt;0,MIN((S308-Q308)/Q308/'Underwriting Risk'!$E$27,'Premium and Reserve Risk'!$Z$236),'Premium and Reserve Risk'!$Z$236))</f>
        <v>0.15</v>
      </c>
      <c r="AA308" s="80"/>
      <c r="AB308" s="80"/>
      <c r="AC308" s="737">
        <f ca="1">MAX(0%,IF(U308&lt;&gt;0,MIN((W308-U308)/U308/'Underwriting Risk'!$E$27,'Premium and Reserve Risk'!$AC$236),'Premium and Reserve Risk'!$AC$236))</f>
        <v>0.11</v>
      </c>
      <c r="AD308" s="81"/>
      <c r="AE308" s="97"/>
      <c r="AF308" s="97"/>
      <c r="AG308" s="97"/>
      <c r="AH308" s="97"/>
    </row>
    <row r="309" spans="1:34" ht="13.5" customHeight="1" x14ac:dyDescent="0.25">
      <c r="A309" s="97"/>
      <c r="B309" s="257">
        <v>72</v>
      </c>
      <c r="C309" s="652"/>
      <c r="D309" s="80"/>
      <c r="E309" s="80"/>
      <c r="F309" s="258">
        <f t="shared" ca="1" si="12"/>
        <v>0</v>
      </c>
      <c r="G309" s="624"/>
      <c r="H309" s="85"/>
      <c r="I309" s="624"/>
      <c r="J309" s="85"/>
      <c r="K309" s="624"/>
      <c r="L309" s="85"/>
      <c r="M309" s="624"/>
      <c r="N309" s="85"/>
      <c r="O309" s="624"/>
      <c r="P309" s="85"/>
      <c r="Q309" s="626">
        <f t="shared" si="10"/>
        <v>0</v>
      </c>
      <c r="R309" s="85"/>
      <c r="S309" s="624"/>
      <c r="T309" s="260"/>
      <c r="U309" s="624"/>
      <c r="V309" s="85"/>
      <c r="W309" s="624"/>
      <c r="X309" s="81"/>
      <c r="Y309" s="80"/>
      <c r="Z309" s="737">
        <f ca="1">MAX(0%,IF(Q309&lt;&gt;0,MIN((S309-Q309)/Q309/'Underwriting Risk'!$E$27,'Premium and Reserve Risk'!$Z$236),'Premium and Reserve Risk'!$Z$236))</f>
        <v>0.15</v>
      </c>
      <c r="AA309" s="80"/>
      <c r="AB309" s="80"/>
      <c r="AC309" s="737">
        <f ca="1">MAX(0%,IF(U309&lt;&gt;0,MIN((W309-U309)/U309/'Underwriting Risk'!$E$27,'Premium and Reserve Risk'!$AC$236),'Premium and Reserve Risk'!$AC$236))</f>
        <v>0.11</v>
      </c>
      <c r="AD309" s="81"/>
      <c r="AE309" s="97"/>
      <c r="AF309" s="97"/>
      <c r="AG309" s="97"/>
      <c r="AH309" s="97"/>
    </row>
    <row r="310" spans="1:34" ht="13.5" customHeight="1" x14ac:dyDescent="0.25">
      <c r="A310" s="97"/>
      <c r="B310" s="257">
        <v>73</v>
      </c>
      <c r="C310" s="652"/>
      <c r="D310" s="80"/>
      <c r="E310" s="80"/>
      <c r="F310" s="258">
        <f t="shared" ca="1" si="12"/>
        <v>0</v>
      </c>
      <c r="G310" s="624"/>
      <c r="H310" s="85"/>
      <c r="I310" s="624"/>
      <c r="J310" s="85"/>
      <c r="K310" s="624"/>
      <c r="L310" s="85"/>
      <c r="M310" s="624"/>
      <c r="N310" s="85"/>
      <c r="O310" s="624"/>
      <c r="P310" s="85"/>
      <c r="Q310" s="626">
        <f t="shared" si="10"/>
        <v>0</v>
      </c>
      <c r="R310" s="85"/>
      <c r="S310" s="624"/>
      <c r="T310" s="260"/>
      <c r="U310" s="624"/>
      <c r="V310" s="85"/>
      <c r="W310" s="624"/>
      <c r="X310" s="81"/>
      <c r="Y310" s="80"/>
      <c r="Z310" s="737">
        <f ca="1">MAX(0%,IF(Q310&lt;&gt;0,MIN((S310-Q310)/Q310/'Underwriting Risk'!$E$27,'Premium and Reserve Risk'!$Z$236),'Premium and Reserve Risk'!$Z$236))</f>
        <v>0.15</v>
      </c>
      <c r="AA310" s="80"/>
      <c r="AB310" s="80"/>
      <c r="AC310" s="737">
        <f ca="1">MAX(0%,IF(U310&lt;&gt;0,MIN((W310-U310)/U310/'Underwriting Risk'!$E$27,'Premium and Reserve Risk'!$AC$236),'Premium and Reserve Risk'!$AC$236))</f>
        <v>0.11</v>
      </c>
      <c r="AD310" s="81"/>
      <c r="AE310" s="97"/>
      <c r="AF310" s="97"/>
      <c r="AG310" s="97"/>
      <c r="AH310" s="97"/>
    </row>
    <row r="311" spans="1:34" ht="13.5" customHeight="1" x14ac:dyDescent="0.25">
      <c r="A311" s="97"/>
      <c r="B311" s="257">
        <v>74</v>
      </c>
      <c r="C311" s="652"/>
      <c r="D311" s="80"/>
      <c r="E311" s="80"/>
      <c r="F311" s="258">
        <f t="shared" ca="1" si="12"/>
        <v>0</v>
      </c>
      <c r="G311" s="624"/>
      <c r="H311" s="85"/>
      <c r="I311" s="624"/>
      <c r="J311" s="85"/>
      <c r="K311" s="624"/>
      <c r="L311" s="85"/>
      <c r="M311" s="624"/>
      <c r="N311" s="85"/>
      <c r="O311" s="624"/>
      <c r="P311" s="85"/>
      <c r="Q311" s="626">
        <f t="shared" si="10"/>
        <v>0</v>
      </c>
      <c r="R311" s="85"/>
      <c r="S311" s="624"/>
      <c r="T311" s="260"/>
      <c r="U311" s="624"/>
      <c r="V311" s="85"/>
      <c r="W311" s="624"/>
      <c r="X311" s="81"/>
      <c r="Y311" s="80"/>
      <c r="Z311" s="737">
        <f ca="1">MAX(0%,IF(Q311&lt;&gt;0,MIN((S311-Q311)/Q311/'Underwriting Risk'!$E$27,'Premium and Reserve Risk'!$Z$236),'Premium and Reserve Risk'!$Z$236))</f>
        <v>0.15</v>
      </c>
      <c r="AA311" s="80"/>
      <c r="AB311" s="80"/>
      <c r="AC311" s="737">
        <f ca="1">MAX(0%,IF(U311&lt;&gt;0,MIN((W311-U311)/U311/'Underwriting Risk'!$E$27,'Premium and Reserve Risk'!$AC$236),'Premium and Reserve Risk'!$AC$236))</f>
        <v>0.11</v>
      </c>
      <c r="AD311" s="81"/>
      <c r="AE311" s="97"/>
      <c r="AF311" s="97"/>
      <c r="AG311" s="97"/>
      <c r="AH311" s="97"/>
    </row>
    <row r="312" spans="1:34" ht="13.5" customHeight="1" x14ac:dyDescent="0.25">
      <c r="A312" s="97"/>
      <c r="B312" s="257">
        <v>75</v>
      </c>
      <c r="C312" s="652"/>
      <c r="D312" s="80"/>
      <c r="E312" s="80"/>
      <c r="F312" s="258">
        <f t="shared" ca="1" si="12"/>
        <v>0</v>
      </c>
      <c r="G312" s="624"/>
      <c r="H312" s="85"/>
      <c r="I312" s="624"/>
      <c r="J312" s="85"/>
      <c r="K312" s="624"/>
      <c r="L312" s="85"/>
      <c r="M312" s="624"/>
      <c r="N312" s="85"/>
      <c r="O312" s="624"/>
      <c r="P312" s="85"/>
      <c r="Q312" s="626">
        <f t="shared" si="10"/>
        <v>0</v>
      </c>
      <c r="R312" s="85"/>
      <c r="S312" s="624"/>
      <c r="T312" s="260"/>
      <c r="U312" s="624"/>
      <c r="V312" s="85"/>
      <c r="W312" s="624"/>
      <c r="X312" s="81"/>
      <c r="Y312" s="80"/>
      <c r="Z312" s="737">
        <f ca="1">MAX(0%,IF(Q312&lt;&gt;0,MIN((S312-Q312)/Q312/'Underwriting Risk'!$E$27,'Premium and Reserve Risk'!$Z$236),'Premium and Reserve Risk'!$Z$236))</f>
        <v>0.15</v>
      </c>
      <c r="AA312" s="80"/>
      <c r="AB312" s="80"/>
      <c r="AC312" s="737">
        <f ca="1">MAX(0%,IF(U312&lt;&gt;0,MIN((W312-U312)/U312/'Underwriting Risk'!$E$27,'Premium and Reserve Risk'!$AC$236),'Premium and Reserve Risk'!$AC$236))</f>
        <v>0.11</v>
      </c>
      <c r="AD312" s="81"/>
      <c r="AE312" s="97"/>
      <c r="AF312" s="97"/>
      <c r="AG312" s="97"/>
      <c r="AH312" s="97"/>
    </row>
    <row r="313" spans="1:34" ht="13.5" customHeight="1" x14ac:dyDescent="0.25">
      <c r="A313" s="97"/>
      <c r="B313" s="257">
        <v>76</v>
      </c>
      <c r="C313" s="652"/>
      <c r="D313" s="80"/>
      <c r="E313" s="80"/>
      <c r="F313" s="258">
        <f t="shared" ca="1" si="12"/>
        <v>0</v>
      </c>
      <c r="G313" s="624"/>
      <c r="H313" s="85"/>
      <c r="I313" s="624"/>
      <c r="J313" s="85"/>
      <c r="K313" s="624"/>
      <c r="L313" s="85"/>
      <c r="M313" s="624"/>
      <c r="N313" s="85"/>
      <c r="O313" s="624"/>
      <c r="P313" s="85"/>
      <c r="Q313" s="626">
        <f t="shared" si="10"/>
        <v>0</v>
      </c>
      <c r="R313" s="85"/>
      <c r="S313" s="624"/>
      <c r="T313" s="260"/>
      <c r="U313" s="624"/>
      <c r="V313" s="85"/>
      <c r="W313" s="624"/>
      <c r="X313" s="81"/>
      <c r="Y313" s="80"/>
      <c r="Z313" s="737">
        <f ca="1">MAX(0%,IF(Q313&lt;&gt;0,MIN((S313-Q313)/Q313/'Underwriting Risk'!$E$27,'Premium and Reserve Risk'!$Z$236),'Premium and Reserve Risk'!$Z$236))</f>
        <v>0.15</v>
      </c>
      <c r="AA313" s="80"/>
      <c r="AB313" s="80"/>
      <c r="AC313" s="737">
        <f ca="1">MAX(0%,IF(U313&lt;&gt;0,MIN((W313-U313)/U313/'Underwriting Risk'!$E$27,'Premium and Reserve Risk'!$AC$236),'Premium and Reserve Risk'!$AC$236))</f>
        <v>0.11</v>
      </c>
      <c r="AD313" s="81"/>
      <c r="AE313" s="97"/>
      <c r="AF313" s="97"/>
      <c r="AG313" s="97"/>
      <c r="AH313" s="97"/>
    </row>
    <row r="314" spans="1:34" ht="13.5" customHeight="1" x14ac:dyDescent="0.25">
      <c r="A314" s="97"/>
      <c r="B314" s="257">
        <v>77</v>
      </c>
      <c r="C314" s="652"/>
      <c r="D314" s="80"/>
      <c r="E314" s="80"/>
      <c r="F314" s="258">
        <f t="shared" ca="1" si="12"/>
        <v>0</v>
      </c>
      <c r="G314" s="624"/>
      <c r="H314" s="85"/>
      <c r="I314" s="624"/>
      <c r="J314" s="85"/>
      <c r="K314" s="624"/>
      <c r="L314" s="85"/>
      <c r="M314" s="624"/>
      <c r="N314" s="85"/>
      <c r="O314" s="624"/>
      <c r="P314" s="85"/>
      <c r="Q314" s="626">
        <f t="shared" si="10"/>
        <v>0</v>
      </c>
      <c r="R314" s="85"/>
      <c r="S314" s="624"/>
      <c r="T314" s="260"/>
      <c r="U314" s="624"/>
      <c r="V314" s="85"/>
      <c r="W314" s="624"/>
      <c r="X314" s="81"/>
      <c r="Y314" s="80"/>
      <c r="Z314" s="737">
        <f ca="1">MAX(0%,IF(Q314&lt;&gt;0,MIN((S314-Q314)/Q314/'Underwriting Risk'!$E$27,'Premium and Reserve Risk'!$Z$236),'Premium and Reserve Risk'!$Z$236))</f>
        <v>0.15</v>
      </c>
      <c r="AA314" s="80"/>
      <c r="AB314" s="80"/>
      <c r="AC314" s="737">
        <f ca="1">MAX(0%,IF(U314&lt;&gt;0,MIN((W314-U314)/U314/'Underwriting Risk'!$E$27,'Premium and Reserve Risk'!$AC$236),'Premium and Reserve Risk'!$AC$236))</f>
        <v>0.11</v>
      </c>
      <c r="AD314" s="81"/>
      <c r="AE314" s="97"/>
      <c r="AF314" s="97"/>
      <c r="AG314" s="97"/>
      <c r="AH314" s="97"/>
    </row>
    <row r="315" spans="1:34" ht="13.5" customHeight="1" x14ac:dyDescent="0.25">
      <c r="A315" s="97"/>
      <c r="B315" s="257">
        <v>78</v>
      </c>
      <c r="C315" s="652"/>
      <c r="D315" s="80"/>
      <c r="E315" s="80"/>
      <c r="F315" s="258">
        <f t="shared" ca="1" si="12"/>
        <v>0</v>
      </c>
      <c r="G315" s="624"/>
      <c r="H315" s="85"/>
      <c r="I315" s="624"/>
      <c r="J315" s="85"/>
      <c r="K315" s="624"/>
      <c r="L315" s="85"/>
      <c r="M315" s="624"/>
      <c r="N315" s="85"/>
      <c r="O315" s="624"/>
      <c r="P315" s="85"/>
      <c r="Q315" s="626">
        <f t="shared" si="10"/>
        <v>0</v>
      </c>
      <c r="R315" s="85"/>
      <c r="S315" s="624"/>
      <c r="T315" s="260"/>
      <c r="U315" s="624"/>
      <c r="V315" s="85"/>
      <c r="W315" s="624"/>
      <c r="X315" s="81"/>
      <c r="Y315" s="80"/>
      <c r="Z315" s="737">
        <f ca="1">MAX(0%,IF(Q315&lt;&gt;0,MIN((S315-Q315)/Q315/'Underwriting Risk'!$E$27,'Premium and Reserve Risk'!$Z$236),'Premium and Reserve Risk'!$Z$236))</f>
        <v>0.15</v>
      </c>
      <c r="AA315" s="80"/>
      <c r="AB315" s="80"/>
      <c r="AC315" s="737">
        <f ca="1">MAX(0%,IF(U315&lt;&gt;0,MIN((W315-U315)/U315/'Underwriting Risk'!$E$27,'Premium and Reserve Risk'!$AC$236),'Premium and Reserve Risk'!$AC$236))</f>
        <v>0.11</v>
      </c>
      <c r="AD315" s="81"/>
      <c r="AE315" s="97"/>
      <c r="AF315" s="97"/>
      <c r="AG315" s="97"/>
      <c r="AH315" s="97"/>
    </row>
    <row r="316" spans="1:34" ht="13.5" customHeight="1" x14ac:dyDescent="0.25">
      <c r="A316" s="97"/>
      <c r="B316" s="257">
        <v>79</v>
      </c>
      <c r="C316" s="652"/>
      <c r="D316" s="80"/>
      <c r="E316" s="80"/>
      <c r="F316" s="258">
        <f t="shared" ca="1" si="12"/>
        <v>0</v>
      </c>
      <c r="G316" s="624"/>
      <c r="H316" s="85"/>
      <c r="I316" s="624"/>
      <c r="J316" s="85"/>
      <c r="K316" s="624"/>
      <c r="L316" s="85"/>
      <c r="M316" s="624"/>
      <c r="N316" s="85"/>
      <c r="O316" s="624"/>
      <c r="P316" s="85"/>
      <c r="Q316" s="626">
        <f t="shared" si="10"/>
        <v>0</v>
      </c>
      <c r="R316" s="85"/>
      <c r="S316" s="624"/>
      <c r="T316" s="260"/>
      <c r="U316" s="624"/>
      <c r="V316" s="85"/>
      <c r="W316" s="624"/>
      <c r="X316" s="81"/>
      <c r="Y316" s="80"/>
      <c r="Z316" s="737">
        <f ca="1">MAX(0%,IF(Q316&lt;&gt;0,MIN((S316-Q316)/Q316/'Underwriting Risk'!$E$27,'Premium and Reserve Risk'!$Z$236),'Premium and Reserve Risk'!$Z$236))</f>
        <v>0.15</v>
      </c>
      <c r="AA316" s="80"/>
      <c r="AB316" s="80"/>
      <c r="AC316" s="737">
        <f ca="1">MAX(0%,IF(U316&lt;&gt;0,MIN((W316-U316)/U316/'Underwriting Risk'!$E$27,'Premium and Reserve Risk'!$AC$236),'Premium and Reserve Risk'!$AC$236))</f>
        <v>0.11</v>
      </c>
      <c r="AD316" s="81"/>
      <c r="AE316" s="97"/>
      <c r="AF316" s="97"/>
      <c r="AG316" s="97"/>
      <c r="AH316" s="97"/>
    </row>
    <row r="317" spans="1:34" ht="13.5" customHeight="1" x14ac:dyDescent="0.25">
      <c r="A317" s="97"/>
      <c r="B317" s="257">
        <v>80</v>
      </c>
      <c r="C317" s="652"/>
      <c r="D317" s="80"/>
      <c r="E317" s="80"/>
      <c r="F317" s="258">
        <f t="shared" ca="1" si="12"/>
        <v>0</v>
      </c>
      <c r="G317" s="624"/>
      <c r="H317" s="85"/>
      <c r="I317" s="624"/>
      <c r="J317" s="85"/>
      <c r="K317" s="624"/>
      <c r="L317" s="85"/>
      <c r="M317" s="624"/>
      <c r="N317" s="85"/>
      <c r="O317" s="624"/>
      <c r="P317" s="85"/>
      <c r="Q317" s="626">
        <f t="shared" si="10"/>
        <v>0</v>
      </c>
      <c r="R317" s="85"/>
      <c r="S317" s="624"/>
      <c r="T317" s="260"/>
      <c r="U317" s="624"/>
      <c r="V317" s="85"/>
      <c r="W317" s="624"/>
      <c r="X317" s="81"/>
      <c r="Y317" s="80"/>
      <c r="Z317" s="737">
        <f ca="1">MAX(0%,IF(Q317&lt;&gt;0,MIN((S317-Q317)/Q317/'Underwriting Risk'!$E$27,'Premium and Reserve Risk'!$Z$236),'Premium and Reserve Risk'!$Z$236))</f>
        <v>0.15</v>
      </c>
      <c r="AA317" s="80"/>
      <c r="AB317" s="80"/>
      <c r="AC317" s="737">
        <f ca="1">MAX(0%,IF(U317&lt;&gt;0,MIN((W317-U317)/U317/'Underwriting Risk'!$E$27,'Premium and Reserve Risk'!$AC$236),'Premium and Reserve Risk'!$AC$236))</f>
        <v>0.11</v>
      </c>
      <c r="AD317" s="81"/>
      <c r="AE317" s="97"/>
      <c r="AF317" s="97"/>
      <c r="AG317" s="97"/>
      <c r="AH317" s="97"/>
    </row>
    <row r="318" spans="1:34" ht="13.5" customHeight="1" x14ac:dyDescent="0.25">
      <c r="A318" s="97"/>
      <c r="B318" s="257">
        <v>81</v>
      </c>
      <c r="C318" s="652"/>
      <c r="D318" s="80"/>
      <c r="E318" s="80"/>
      <c r="F318" s="258">
        <f t="shared" ca="1" si="12"/>
        <v>0</v>
      </c>
      <c r="G318" s="624"/>
      <c r="H318" s="85"/>
      <c r="I318" s="624"/>
      <c r="J318" s="85"/>
      <c r="K318" s="624"/>
      <c r="L318" s="85"/>
      <c r="M318" s="624"/>
      <c r="N318" s="85"/>
      <c r="O318" s="624"/>
      <c r="P318" s="85"/>
      <c r="Q318" s="626">
        <f t="shared" si="10"/>
        <v>0</v>
      </c>
      <c r="R318" s="85"/>
      <c r="S318" s="624"/>
      <c r="T318" s="260"/>
      <c r="U318" s="624"/>
      <c r="V318" s="85"/>
      <c r="W318" s="624"/>
      <c r="X318" s="81"/>
      <c r="Y318" s="80"/>
      <c r="Z318" s="737">
        <f ca="1">MAX(0%,IF(Q318&lt;&gt;0,MIN((S318-Q318)/Q318/'Underwriting Risk'!$E$27,'Premium and Reserve Risk'!$Z$236),'Premium and Reserve Risk'!$Z$236))</f>
        <v>0.15</v>
      </c>
      <c r="AA318" s="80"/>
      <c r="AB318" s="80"/>
      <c r="AC318" s="737">
        <f ca="1">MAX(0%,IF(U318&lt;&gt;0,MIN((W318-U318)/U318/'Underwriting Risk'!$E$27,'Premium and Reserve Risk'!$AC$236),'Premium and Reserve Risk'!$AC$236))</f>
        <v>0.11</v>
      </c>
      <c r="AD318" s="81"/>
      <c r="AE318" s="97"/>
      <c r="AF318" s="97"/>
      <c r="AG318" s="97"/>
      <c r="AH318" s="97"/>
    </row>
    <row r="319" spans="1:34" ht="13.5" customHeight="1" x14ac:dyDescent="0.25">
      <c r="A319" s="97"/>
      <c r="B319" s="257">
        <v>82</v>
      </c>
      <c r="C319" s="652"/>
      <c r="D319" s="80"/>
      <c r="E319" s="80"/>
      <c r="F319" s="258">
        <f t="shared" ca="1" si="12"/>
        <v>0</v>
      </c>
      <c r="G319" s="624"/>
      <c r="H319" s="85"/>
      <c r="I319" s="624"/>
      <c r="J319" s="85"/>
      <c r="K319" s="624"/>
      <c r="L319" s="85"/>
      <c r="M319" s="624"/>
      <c r="N319" s="85"/>
      <c r="O319" s="624"/>
      <c r="P319" s="85"/>
      <c r="Q319" s="626">
        <f t="shared" si="10"/>
        <v>0</v>
      </c>
      <c r="R319" s="85"/>
      <c r="S319" s="624"/>
      <c r="T319" s="260"/>
      <c r="U319" s="624"/>
      <c r="V319" s="85"/>
      <c r="W319" s="624"/>
      <c r="X319" s="81"/>
      <c r="Y319" s="80"/>
      <c r="Z319" s="737">
        <f ca="1">MAX(0%,IF(Q319&lt;&gt;0,MIN((S319-Q319)/Q319/'Underwriting Risk'!$E$27,'Premium and Reserve Risk'!$Z$236),'Premium and Reserve Risk'!$Z$236))</f>
        <v>0.15</v>
      </c>
      <c r="AA319" s="80"/>
      <c r="AB319" s="80"/>
      <c r="AC319" s="737">
        <f ca="1">MAX(0%,IF(U319&lt;&gt;0,MIN((W319-U319)/U319/'Underwriting Risk'!$E$27,'Premium and Reserve Risk'!$AC$236),'Premium and Reserve Risk'!$AC$236))</f>
        <v>0.11</v>
      </c>
      <c r="AD319" s="81"/>
      <c r="AE319" s="97"/>
      <c r="AF319" s="97"/>
      <c r="AG319" s="97"/>
      <c r="AH319" s="97"/>
    </row>
    <row r="320" spans="1:34" ht="13.5" customHeight="1" x14ac:dyDescent="0.25">
      <c r="A320" s="97"/>
      <c r="B320" s="257">
        <v>83</v>
      </c>
      <c r="C320" s="652"/>
      <c r="D320" s="80"/>
      <c r="E320" s="80"/>
      <c r="F320" s="258">
        <f t="shared" ca="1" si="12"/>
        <v>0</v>
      </c>
      <c r="G320" s="624"/>
      <c r="H320" s="85"/>
      <c r="I320" s="624"/>
      <c r="J320" s="85"/>
      <c r="K320" s="624"/>
      <c r="L320" s="85"/>
      <c r="M320" s="624"/>
      <c r="N320" s="85"/>
      <c r="O320" s="624"/>
      <c r="P320" s="85"/>
      <c r="Q320" s="626">
        <f t="shared" si="10"/>
        <v>0</v>
      </c>
      <c r="R320" s="85"/>
      <c r="S320" s="624"/>
      <c r="T320" s="260"/>
      <c r="U320" s="624"/>
      <c r="V320" s="85"/>
      <c r="W320" s="624"/>
      <c r="X320" s="81"/>
      <c r="Y320" s="80"/>
      <c r="Z320" s="737">
        <f ca="1">MAX(0%,IF(Q320&lt;&gt;0,MIN((S320-Q320)/Q320/'Underwriting Risk'!$E$27,'Premium and Reserve Risk'!$Z$236),'Premium and Reserve Risk'!$Z$236))</f>
        <v>0.15</v>
      </c>
      <c r="AA320" s="80"/>
      <c r="AB320" s="80"/>
      <c r="AC320" s="737">
        <f ca="1">MAX(0%,IF(U320&lt;&gt;0,MIN((W320-U320)/U320/'Underwriting Risk'!$E$27,'Premium and Reserve Risk'!$AC$236),'Premium and Reserve Risk'!$AC$236))</f>
        <v>0.11</v>
      </c>
      <c r="AD320" s="81"/>
      <c r="AE320" s="97"/>
      <c r="AF320" s="97"/>
      <c r="AG320" s="97"/>
      <c r="AH320" s="97"/>
    </row>
    <row r="321" spans="1:34" ht="13.5" customHeight="1" x14ac:dyDescent="0.25">
      <c r="A321" s="97"/>
      <c r="B321" s="257">
        <v>84</v>
      </c>
      <c r="C321" s="652"/>
      <c r="D321" s="80"/>
      <c r="E321" s="80"/>
      <c r="F321" s="258">
        <f t="shared" ca="1" si="12"/>
        <v>0</v>
      </c>
      <c r="G321" s="624"/>
      <c r="H321" s="85"/>
      <c r="I321" s="624"/>
      <c r="J321" s="85"/>
      <c r="K321" s="624"/>
      <c r="L321" s="85"/>
      <c r="M321" s="624"/>
      <c r="N321" s="85"/>
      <c r="O321" s="624"/>
      <c r="P321" s="85"/>
      <c r="Q321" s="626">
        <f t="shared" si="10"/>
        <v>0</v>
      </c>
      <c r="R321" s="85"/>
      <c r="S321" s="624"/>
      <c r="T321" s="260"/>
      <c r="U321" s="624"/>
      <c r="V321" s="85"/>
      <c r="W321" s="624"/>
      <c r="X321" s="81"/>
      <c r="Y321" s="80"/>
      <c r="Z321" s="737">
        <f ca="1">MAX(0%,IF(Q321&lt;&gt;0,MIN((S321-Q321)/Q321/'Underwriting Risk'!$E$27,'Premium and Reserve Risk'!$Z$236),'Premium and Reserve Risk'!$Z$236))</f>
        <v>0.15</v>
      </c>
      <c r="AA321" s="80"/>
      <c r="AB321" s="80"/>
      <c r="AC321" s="737">
        <f ca="1">MAX(0%,IF(U321&lt;&gt;0,MIN((W321-U321)/U321/'Underwriting Risk'!$E$27,'Premium and Reserve Risk'!$AC$236),'Premium and Reserve Risk'!$AC$236))</f>
        <v>0.11</v>
      </c>
      <c r="AD321" s="81"/>
      <c r="AE321" s="97"/>
      <c r="AF321" s="97"/>
      <c r="AG321" s="97"/>
      <c r="AH321" s="97"/>
    </row>
    <row r="322" spans="1:34" ht="13.5" customHeight="1" x14ac:dyDescent="0.25">
      <c r="A322" s="97"/>
      <c r="B322" s="257">
        <v>85</v>
      </c>
      <c r="C322" s="652"/>
      <c r="D322" s="80"/>
      <c r="E322" s="80"/>
      <c r="F322" s="258">
        <f t="shared" ca="1" si="12"/>
        <v>0</v>
      </c>
      <c r="G322" s="624"/>
      <c r="H322" s="85"/>
      <c r="I322" s="624"/>
      <c r="J322" s="85"/>
      <c r="K322" s="624"/>
      <c r="L322" s="85"/>
      <c r="M322" s="624"/>
      <c r="N322" s="85"/>
      <c r="O322" s="624"/>
      <c r="P322" s="85"/>
      <c r="Q322" s="626">
        <f t="shared" si="10"/>
        <v>0</v>
      </c>
      <c r="R322" s="85"/>
      <c r="S322" s="624"/>
      <c r="T322" s="260"/>
      <c r="U322" s="624"/>
      <c r="V322" s="85"/>
      <c r="W322" s="624"/>
      <c r="X322" s="81"/>
      <c r="Y322" s="80"/>
      <c r="Z322" s="737">
        <f ca="1">MAX(0%,IF(Q322&lt;&gt;0,MIN((S322-Q322)/Q322/'Underwriting Risk'!$E$27,'Premium and Reserve Risk'!$Z$236),'Premium and Reserve Risk'!$Z$236))</f>
        <v>0.15</v>
      </c>
      <c r="AA322" s="80"/>
      <c r="AB322" s="80"/>
      <c r="AC322" s="737">
        <f ca="1">MAX(0%,IF(U322&lt;&gt;0,MIN((W322-U322)/U322/'Underwriting Risk'!$E$27,'Premium and Reserve Risk'!$AC$236),'Premium and Reserve Risk'!$AC$236))</f>
        <v>0.11</v>
      </c>
      <c r="AD322" s="81"/>
      <c r="AE322" s="97"/>
      <c r="AF322" s="97"/>
      <c r="AG322" s="97"/>
      <c r="AH322" s="97"/>
    </row>
    <row r="323" spans="1:34" ht="13.5" customHeight="1" x14ac:dyDescent="0.25">
      <c r="A323" s="97"/>
      <c r="B323" s="257">
        <v>86</v>
      </c>
      <c r="C323" s="652"/>
      <c r="D323" s="80"/>
      <c r="E323" s="80"/>
      <c r="F323" s="258">
        <f t="shared" ca="1" si="12"/>
        <v>0</v>
      </c>
      <c r="G323" s="624"/>
      <c r="H323" s="85"/>
      <c r="I323" s="624"/>
      <c r="J323" s="85"/>
      <c r="K323" s="624"/>
      <c r="L323" s="85"/>
      <c r="M323" s="624"/>
      <c r="N323" s="85"/>
      <c r="O323" s="624"/>
      <c r="P323" s="85"/>
      <c r="Q323" s="626">
        <f t="shared" si="10"/>
        <v>0</v>
      </c>
      <c r="R323" s="85"/>
      <c r="S323" s="624"/>
      <c r="T323" s="260"/>
      <c r="U323" s="624"/>
      <c r="V323" s="85"/>
      <c r="W323" s="624"/>
      <c r="X323" s="81"/>
      <c r="Y323" s="80"/>
      <c r="Z323" s="737">
        <f ca="1">MAX(0%,IF(Q323&lt;&gt;0,MIN((S323-Q323)/Q323/'Underwriting Risk'!$E$27,'Premium and Reserve Risk'!$Z$236),'Premium and Reserve Risk'!$Z$236))</f>
        <v>0.15</v>
      </c>
      <c r="AA323" s="80"/>
      <c r="AB323" s="80"/>
      <c r="AC323" s="737">
        <f ca="1">MAX(0%,IF(U323&lt;&gt;0,MIN((W323-U323)/U323/'Underwriting Risk'!$E$27,'Premium and Reserve Risk'!$AC$236),'Premium and Reserve Risk'!$AC$236))</f>
        <v>0.11</v>
      </c>
      <c r="AD323" s="81"/>
      <c r="AE323" s="97"/>
      <c r="AF323" s="97"/>
      <c r="AG323" s="97"/>
      <c r="AH323" s="97"/>
    </row>
    <row r="324" spans="1:34" ht="13.5" customHeight="1" x14ac:dyDescent="0.25">
      <c r="A324" s="97"/>
      <c r="B324" s="257">
        <v>87</v>
      </c>
      <c r="C324" s="652"/>
      <c r="D324" s="80"/>
      <c r="E324" s="80"/>
      <c r="F324" s="258">
        <f t="shared" ca="1" si="12"/>
        <v>0</v>
      </c>
      <c r="G324" s="624"/>
      <c r="H324" s="85"/>
      <c r="I324" s="624"/>
      <c r="J324" s="85"/>
      <c r="K324" s="624"/>
      <c r="L324" s="85"/>
      <c r="M324" s="624"/>
      <c r="N324" s="85"/>
      <c r="O324" s="624"/>
      <c r="P324" s="85"/>
      <c r="Q324" s="626">
        <f t="shared" si="10"/>
        <v>0</v>
      </c>
      <c r="R324" s="85"/>
      <c r="S324" s="624"/>
      <c r="T324" s="260"/>
      <c r="U324" s="624"/>
      <c r="V324" s="85"/>
      <c r="W324" s="624"/>
      <c r="X324" s="81"/>
      <c r="Y324" s="80"/>
      <c r="Z324" s="737">
        <f ca="1">MAX(0%,IF(Q324&lt;&gt;0,MIN((S324-Q324)/Q324/'Underwriting Risk'!$E$27,'Premium and Reserve Risk'!$Z$236),'Premium and Reserve Risk'!$Z$236))</f>
        <v>0.15</v>
      </c>
      <c r="AA324" s="80"/>
      <c r="AB324" s="80"/>
      <c r="AC324" s="737">
        <f ca="1">MAX(0%,IF(U324&lt;&gt;0,MIN((W324-U324)/U324/'Underwriting Risk'!$E$27,'Premium and Reserve Risk'!$AC$236),'Premium and Reserve Risk'!$AC$236))</f>
        <v>0.11</v>
      </c>
      <c r="AD324" s="81"/>
      <c r="AE324" s="97"/>
      <c r="AF324" s="97"/>
      <c r="AG324" s="97"/>
      <c r="AH324" s="97"/>
    </row>
    <row r="325" spans="1:34" ht="13.5" customHeight="1" x14ac:dyDescent="0.25">
      <c r="A325" s="97"/>
      <c r="B325" s="257">
        <v>88</v>
      </c>
      <c r="C325" s="652"/>
      <c r="D325" s="80"/>
      <c r="E325" s="80"/>
      <c r="F325" s="258">
        <f t="shared" ca="1" si="12"/>
        <v>0</v>
      </c>
      <c r="G325" s="624"/>
      <c r="H325" s="85"/>
      <c r="I325" s="624"/>
      <c r="J325" s="85"/>
      <c r="K325" s="624"/>
      <c r="L325" s="85"/>
      <c r="M325" s="624"/>
      <c r="N325" s="85"/>
      <c r="O325" s="624"/>
      <c r="P325" s="85"/>
      <c r="Q325" s="626">
        <f t="shared" si="10"/>
        <v>0</v>
      </c>
      <c r="R325" s="85"/>
      <c r="S325" s="624"/>
      <c r="T325" s="260"/>
      <c r="U325" s="624"/>
      <c r="V325" s="85"/>
      <c r="W325" s="624"/>
      <c r="X325" s="81"/>
      <c r="Y325" s="80"/>
      <c r="Z325" s="737">
        <f ca="1">MAX(0%,IF(Q325&lt;&gt;0,MIN((S325-Q325)/Q325/'Underwriting Risk'!$E$27,'Premium and Reserve Risk'!$Z$236),'Premium and Reserve Risk'!$Z$236))</f>
        <v>0.15</v>
      </c>
      <c r="AA325" s="80"/>
      <c r="AB325" s="80"/>
      <c r="AC325" s="737">
        <f ca="1">MAX(0%,IF(U325&lt;&gt;0,MIN((W325-U325)/U325/'Underwriting Risk'!$E$27,'Premium and Reserve Risk'!$AC$236),'Premium and Reserve Risk'!$AC$236))</f>
        <v>0.11</v>
      </c>
      <c r="AD325" s="81"/>
      <c r="AE325" s="97"/>
      <c r="AF325" s="97"/>
      <c r="AG325" s="97"/>
      <c r="AH325" s="97"/>
    </row>
    <row r="326" spans="1:34" ht="13.5" customHeight="1" x14ac:dyDescent="0.25">
      <c r="A326" s="97"/>
      <c r="B326" s="257">
        <v>89</v>
      </c>
      <c r="C326" s="652"/>
      <c r="D326" s="80"/>
      <c r="E326" s="80"/>
      <c r="F326" s="258">
        <f t="shared" ca="1" si="12"/>
        <v>0</v>
      </c>
      <c r="G326" s="624"/>
      <c r="H326" s="85"/>
      <c r="I326" s="624"/>
      <c r="J326" s="85"/>
      <c r="K326" s="624"/>
      <c r="L326" s="85"/>
      <c r="M326" s="624"/>
      <c r="N326" s="85"/>
      <c r="O326" s="624"/>
      <c r="P326" s="85"/>
      <c r="Q326" s="626">
        <f t="shared" si="10"/>
        <v>0</v>
      </c>
      <c r="R326" s="85"/>
      <c r="S326" s="624"/>
      <c r="T326" s="260"/>
      <c r="U326" s="624"/>
      <c r="V326" s="85"/>
      <c r="W326" s="624"/>
      <c r="X326" s="81"/>
      <c r="Y326" s="80"/>
      <c r="Z326" s="737">
        <f ca="1">MAX(0%,IF(Q326&lt;&gt;0,MIN((S326-Q326)/Q326/'Underwriting Risk'!$E$27,'Premium and Reserve Risk'!$Z$236),'Premium and Reserve Risk'!$Z$236))</f>
        <v>0.15</v>
      </c>
      <c r="AA326" s="80"/>
      <c r="AB326" s="80"/>
      <c r="AC326" s="737">
        <f ca="1">MAX(0%,IF(U326&lt;&gt;0,MIN((W326-U326)/U326/'Underwriting Risk'!$E$27,'Premium and Reserve Risk'!$AC$236),'Premium and Reserve Risk'!$AC$236))</f>
        <v>0.11</v>
      </c>
      <c r="AD326" s="81"/>
      <c r="AE326" s="97"/>
      <c r="AF326" s="97"/>
      <c r="AG326" s="97"/>
      <c r="AH326" s="97"/>
    </row>
    <row r="327" spans="1:34" ht="13.5" customHeight="1" x14ac:dyDescent="0.25">
      <c r="A327" s="97"/>
      <c r="B327" s="257">
        <v>90</v>
      </c>
      <c r="C327" s="652"/>
      <c r="D327" s="80"/>
      <c r="E327" s="80"/>
      <c r="F327" s="258">
        <f t="shared" ca="1" si="12"/>
        <v>0</v>
      </c>
      <c r="G327" s="624"/>
      <c r="H327" s="85"/>
      <c r="I327" s="624"/>
      <c r="J327" s="85"/>
      <c r="K327" s="624"/>
      <c r="L327" s="85"/>
      <c r="M327" s="624"/>
      <c r="N327" s="85"/>
      <c r="O327" s="624"/>
      <c r="P327" s="85"/>
      <c r="Q327" s="626">
        <f t="shared" si="10"/>
        <v>0</v>
      </c>
      <c r="R327" s="85"/>
      <c r="S327" s="624"/>
      <c r="T327" s="260"/>
      <c r="U327" s="624"/>
      <c r="V327" s="85"/>
      <c r="W327" s="624"/>
      <c r="X327" s="81"/>
      <c r="Y327" s="80"/>
      <c r="Z327" s="737">
        <f ca="1">MAX(0%,IF(Q327&lt;&gt;0,MIN((S327-Q327)/Q327/'Underwriting Risk'!$E$27,'Premium and Reserve Risk'!$Z$236),'Premium and Reserve Risk'!$Z$236))</f>
        <v>0.15</v>
      </c>
      <c r="AA327" s="80"/>
      <c r="AB327" s="80"/>
      <c r="AC327" s="737">
        <f ca="1">MAX(0%,IF(U327&lt;&gt;0,MIN((W327-U327)/U327/'Underwriting Risk'!$E$27,'Premium and Reserve Risk'!$AC$236),'Premium and Reserve Risk'!$AC$236))</f>
        <v>0.11</v>
      </c>
      <c r="AD327" s="81"/>
      <c r="AE327" s="97"/>
      <c r="AF327" s="97"/>
      <c r="AG327" s="97"/>
      <c r="AH327" s="97"/>
    </row>
    <row r="328" spans="1:34" ht="13.5" customHeight="1" x14ac:dyDescent="0.25">
      <c r="A328" s="97"/>
      <c r="B328" s="257">
        <v>91</v>
      </c>
      <c r="C328" s="652"/>
      <c r="D328" s="80"/>
      <c r="E328" s="80"/>
      <c r="F328" s="258">
        <f t="shared" ca="1" si="12"/>
        <v>0</v>
      </c>
      <c r="G328" s="624"/>
      <c r="H328" s="85"/>
      <c r="I328" s="624"/>
      <c r="J328" s="85"/>
      <c r="K328" s="624"/>
      <c r="L328" s="85"/>
      <c r="M328" s="624"/>
      <c r="N328" s="85"/>
      <c r="O328" s="624"/>
      <c r="P328" s="85"/>
      <c r="Q328" s="626">
        <f t="shared" si="10"/>
        <v>0</v>
      </c>
      <c r="R328" s="85"/>
      <c r="S328" s="624"/>
      <c r="T328" s="260"/>
      <c r="U328" s="624"/>
      <c r="V328" s="85"/>
      <c r="W328" s="624"/>
      <c r="X328" s="81"/>
      <c r="Y328" s="80"/>
      <c r="Z328" s="737">
        <f ca="1">MAX(0%,IF(Q328&lt;&gt;0,MIN((S328-Q328)/Q328/'Underwriting Risk'!$E$27,'Premium and Reserve Risk'!$Z$236),'Premium and Reserve Risk'!$Z$236))</f>
        <v>0.15</v>
      </c>
      <c r="AA328" s="80"/>
      <c r="AB328" s="80"/>
      <c r="AC328" s="737">
        <f ca="1">MAX(0%,IF(U328&lt;&gt;0,MIN((W328-U328)/U328/'Underwriting Risk'!$E$27,'Premium and Reserve Risk'!$AC$236),'Premium and Reserve Risk'!$AC$236))</f>
        <v>0.11</v>
      </c>
      <c r="AD328" s="81"/>
      <c r="AE328" s="97"/>
      <c r="AF328" s="97"/>
      <c r="AG328" s="97"/>
      <c r="AH328" s="97"/>
    </row>
    <row r="329" spans="1:34" ht="13.5" customHeight="1" x14ac:dyDescent="0.25">
      <c r="A329" s="97"/>
      <c r="B329" s="257">
        <v>92</v>
      </c>
      <c r="C329" s="652"/>
      <c r="D329" s="80"/>
      <c r="E329" s="80"/>
      <c r="F329" s="258">
        <f t="shared" ca="1" si="12"/>
        <v>0</v>
      </c>
      <c r="G329" s="624"/>
      <c r="H329" s="85"/>
      <c r="I329" s="624"/>
      <c r="J329" s="85"/>
      <c r="K329" s="624"/>
      <c r="L329" s="85"/>
      <c r="M329" s="624"/>
      <c r="N329" s="85"/>
      <c r="O329" s="624"/>
      <c r="P329" s="85"/>
      <c r="Q329" s="626">
        <f t="shared" si="10"/>
        <v>0</v>
      </c>
      <c r="R329" s="85"/>
      <c r="S329" s="624"/>
      <c r="T329" s="260"/>
      <c r="U329" s="624"/>
      <c r="V329" s="85"/>
      <c r="W329" s="624"/>
      <c r="X329" s="81"/>
      <c r="Y329" s="80"/>
      <c r="Z329" s="737">
        <f ca="1">MAX(0%,IF(Q329&lt;&gt;0,MIN((S329-Q329)/Q329/'Underwriting Risk'!$E$27,'Premium and Reserve Risk'!$Z$236),'Premium and Reserve Risk'!$Z$236))</f>
        <v>0.15</v>
      </c>
      <c r="AA329" s="80"/>
      <c r="AB329" s="80"/>
      <c r="AC329" s="737">
        <f ca="1">MAX(0%,IF(U329&lt;&gt;0,MIN((W329-U329)/U329/'Underwriting Risk'!$E$27,'Premium and Reserve Risk'!$AC$236),'Premium and Reserve Risk'!$AC$236))</f>
        <v>0.11</v>
      </c>
      <c r="AD329" s="81"/>
      <c r="AE329" s="97"/>
      <c r="AF329" s="97"/>
      <c r="AG329" s="97"/>
      <c r="AH329" s="97"/>
    </row>
    <row r="330" spans="1:34" ht="13.5" customHeight="1" x14ac:dyDescent="0.25">
      <c r="A330" s="97"/>
      <c r="B330" s="257">
        <v>93</v>
      </c>
      <c r="C330" s="652"/>
      <c r="D330" s="80"/>
      <c r="E330" s="80"/>
      <c r="F330" s="258">
        <f t="shared" ca="1" si="12"/>
        <v>0</v>
      </c>
      <c r="G330" s="624"/>
      <c r="H330" s="85"/>
      <c r="I330" s="624"/>
      <c r="J330" s="85"/>
      <c r="K330" s="624"/>
      <c r="L330" s="85"/>
      <c r="M330" s="624"/>
      <c r="N330" s="85"/>
      <c r="O330" s="624"/>
      <c r="P330" s="85"/>
      <c r="Q330" s="626">
        <f t="shared" si="10"/>
        <v>0</v>
      </c>
      <c r="R330" s="85"/>
      <c r="S330" s="624"/>
      <c r="T330" s="260"/>
      <c r="U330" s="624"/>
      <c r="V330" s="85"/>
      <c r="W330" s="624"/>
      <c r="X330" s="81"/>
      <c r="Y330" s="80"/>
      <c r="Z330" s="737">
        <f ca="1">MAX(0%,IF(Q330&lt;&gt;0,MIN((S330-Q330)/Q330/'Underwriting Risk'!$E$27,'Premium and Reserve Risk'!$Z$236),'Premium and Reserve Risk'!$Z$236))</f>
        <v>0.15</v>
      </c>
      <c r="AA330" s="80"/>
      <c r="AB330" s="80"/>
      <c r="AC330" s="737">
        <f ca="1">MAX(0%,IF(U330&lt;&gt;0,MIN((W330-U330)/U330/'Underwriting Risk'!$E$27,'Premium and Reserve Risk'!$AC$236),'Premium and Reserve Risk'!$AC$236))</f>
        <v>0.11</v>
      </c>
      <c r="AD330" s="81"/>
      <c r="AE330" s="97"/>
      <c r="AF330" s="97"/>
      <c r="AG330" s="97"/>
      <c r="AH330" s="97"/>
    </row>
    <row r="331" spans="1:34" ht="13.5" customHeight="1" x14ac:dyDescent="0.25">
      <c r="A331" s="97"/>
      <c r="B331" s="257">
        <v>94</v>
      </c>
      <c r="C331" s="652"/>
      <c r="D331" s="80"/>
      <c r="E331" s="80"/>
      <c r="F331" s="258">
        <f t="shared" ca="1" si="12"/>
        <v>0</v>
      </c>
      <c r="G331" s="624"/>
      <c r="H331" s="85"/>
      <c r="I331" s="624"/>
      <c r="J331" s="85"/>
      <c r="K331" s="624"/>
      <c r="L331" s="85"/>
      <c r="M331" s="624"/>
      <c r="N331" s="85"/>
      <c r="O331" s="624"/>
      <c r="P331" s="85"/>
      <c r="Q331" s="626">
        <f t="shared" si="10"/>
        <v>0</v>
      </c>
      <c r="R331" s="85"/>
      <c r="S331" s="624"/>
      <c r="T331" s="260"/>
      <c r="U331" s="624"/>
      <c r="V331" s="85"/>
      <c r="W331" s="624"/>
      <c r="X331" s="81"/>
      <c r="Y331" s="80"/>
      <c r="Z331" s="737">
        <f ca="1">MAX(0%,IF(Q331&lt;&gt;0,MIN((S331-Q331)/Q331/'Underwriting Risk'!$E$27,'Premium and Reserve Risk'!$Z$236),'Premium and Reserve Risk'!$Z$236))</f>
        <v>0.15</v>
      </c>
      <c r="AA331" s="80"/>
      <c r="AB331" s="80"/>
      <c r="AC331" s="737">
        <f ca="1">MAX(0%,IF(U331&lt;&gt;0,MIN((W331-U331)/U331/'Underwriting Risk'!$E$27,'Premium and Reserve Risk'!$AC$236),'Premium and Reserve Risk'!$AC$236))</f>
        <v>0.11</v>
      </c>
      <c r="AD331" s="81"/>
      <c r="AE331" s="97"/>
      <c r="AF331" s="97"/>
      <c r="AG331" s="97"/>
      <c r="AH331" s="97"/>
    </row>
    <row r="332" spans="1:34" ht="13.5" customHeight="1" x14ac:dyDescent="0.25">
      <c r="A332" s="97"/>
      <c r="B332" s="257">
        <v>95</v>
      </c>
      <c r="C332" s="652"/>
      <c r="D332" s="80"/>
      <c r="E332" s="80"/>
      <c r="F332" s="258">
        <f t="shared" ca="1" si="12"/>
        <v>0</v>
      </c>
      <c r="G332" s="624"/>
      <c r="H332" s="85"/>
      <c r="I332" s="624"/>
      <c r="J332" s="85"/>
      <c r="K332" s="624"/>
      <c r="L332" s="85"/>
      <c r="M332" s="624"/>
      <c r="N332" s="85"/>
      <c r="O332" s="624"/>
      <c r="P332" s="85"/>
      <c r="Q332" s="626">
        <f t="shared" si="10"/>
        <v>0</v>
      </c>
      <c r="R332" s="85"/>
      <c r="S332" s="624"/>
      <c r="T332" s="260"/>
      <c r="U332" s="624"/>
      <c r="V332" s="85"/>
      <c r="W332" s="624"/>
      <c r="X332" s="81"/>
      <c r="Y332" s="80"/>
      <c r="Z332" s="737">
        <f ca="1">MAX(0%,IF(Q332&lt;&gt;0,MIN((S332-Q332)/Q332/'Underwriting Risk'!$E$27,'Premium and Reserve Risk'!$Z$236),'Premium and Reserve Risk'!$Z$236))</f>
        <v>0.15</v>
      </c>
      <c r="AA332" s="80"/>
      <c r="AB332" s="80"/>
      <c r="AC332" s="737">
        <f ca="1">MAX(0%,IF(U332&lt;&gt;0,MIN((W332-U332)/U332/'Underwriting Risk'!$E$27,'Premium and Reserve Risk'!$AC$236),'Premium and Reserve Risk'!$AC$236))</f>
        <v>0.11</v>
      </c>
      <c r="AD332" s="81"/>
      <c r="AE332" s="97"/>
      <c r="AF332" s="97"/>
      <c r="AG332" s="97"/>
      <c r="AH332" s="97"/>
    </row>
    <row r="333" spans="1:34" ht="13.5" customHeight="1" x14ac:dyDescent="0.25">
      <c r="A333" s="97"/>
      <c r="B333" s="257">
        <v>96</v>
      </c>
      <c r="C333" s="652"/>
      <c r="D333" s="80"/>
      <c r="E333" s="80"/>
      <c r="F333" s="258">
        <f t="shared" ca="1" si="12"/>
        <v>0</v>
      </c>
      <c r="G333" s="624"/>
      <c r="H333" s="85"/>
      <c r="I333" s="624"/>
      <c r="J333" s="85"/>
      <c r="K333" s="624"/>
      <c r="L333" s="85"/>
      <c r="M333" s="624"/>
      <c r="N333" s="85"/>
      <c r="O333" s="624"/>
      <c r="P333" s="85"/>
      <c r="Q333" s="626">
        <f t="shared" si="10"/>
        <v>0</v>
      </c>
      <c r="R333" s="85"/>
      <c r="S333" s="624"/>
      <c r="T333" s="260"/>
      <c r="U333" s="624"/>
      <c r="V333" s="85"/>
      <c r="W333" s="624"/>
      <c r="X333" s="81"/>
      <c r="Y333" s="80"/>
      <c r="Z333" s="737">
        <f ca="1">MAX(0%,IF(Q333&lt;&gt;0,MIN((S333-Q333)/Q333/'Underwriting Risk'!$E$27,'Premium and Reserve Risk'!$Z$236),'Premium and Reserve Risk'!$Z$236))</f>
        <v>0.15</v>
      </c>
      <c r="AA333" s="80"/>
      <c r="AB333" s="80"/>
      <c r="AC333" s="737">
        <f ca="1">MAX(0%,IF(U333&lt;&gt;0,MIN((W333-U333)/U333/'Underwriting Risk'!$E$27,'Premium and Reserve Risk'!$AC$236),'Premium and Reserve Risk'!$AC$236))</f>
        <v>0.11</v>
      </c>
      <c r="AD333" s="81"/>
      <c r="AE333" s="97"/>
      <c r="AF333" s="97"/>
      <c r="AG333" s="97"/>
      <c r="AH333" s="97"/>
    </row>
    <row r="334" spans="1:34" ht="13.5" customHeight="1" x14ac:dyDescent="0.25">
      <c r="A334" s="97"/>
      <c r="B334" s="257">
        <v>97</v>
      </c>
      <c r="C334" s="652"/>
      <c r="D334" s="80"/>
      <c r="E334" s="80"/>
      <c r="F334" s="258">
        <f t="shared" ca="1" si="12"/>
        <v>0</v>
      </c>
      <c r="G334" s="624"/>
      <c r="H334" s="85"/>
      <c r="I334" s="624"/>
      <c r="J334" s="85"/>
      <c r="K334" s="624"/>
      <c r="L334" s="85"/>
      <c r="M334" s="624"/>
      <c r="N334" s="85"/>
      <c r="O334" s="624"/>
      <c r="P334" s="85"/>
      <c r="Q334" s="626">
        <f t="shared" si="10"/>
        <v>0</v>
      </c>
      <c r="R334" s="85"/>
      <c r="S334" s="624"/>
      <c r="T334" s="260"/>
      <c r="U334" s="624"/>
      <c r="V334" s="85"/>
      <c r="W334" s="624"/>
      <c r="X334" s="81"/>
      <c r="Y334" s="80"/>
      <c r="Z334" s="737">
        <f ca="1">MAX(0%,IF(Q334&lt;&gt;0,MIN((S334-Q334)/Q334/'Underwriting Risk'!$E$27,'Premium and Reserve Risk'!$Z$236),'Premium and Reserve Risk'!$Z$236))</f>
        <v>0.15</v>
      </c>
      <c r="AA334" s="80"/>
      <c r="AB334" s="80"/>
      <c r="AC334" s="737">
        <f ca="1">MAX(0%,IF(U334&lt;&gt;0,MIN((W334-U334)/U334/'Underwriting Risk'!$E$27,'Premium and Reserve Risk'!$AC$236),'Premium and Reserve Risk'!$AC$236))</f>
        <v>0.11</v>
      </c>
      <c r="AD334" s="81"/>
      <c r="AE334" s="97"/>
      <c r="AF334" s="97"/>
      <c r="AG334" s="97"/>
      <c r="AH334" s="97"/>
    </row>
    <row r="335" spans="1:34" ht="13.5" customHeight="1" x14ac:dyDescent="0.25">
      <c r="A335" s="97"/>
      <c r="B335" s="257">
        <v>98</v>
      </c>
      <c r="C335" s="652"/>
      <c r="D335" s="80"/>
      <c r="E335" s="80"/>
      <c r="F335" s="258">
        <f t="shared" ca="1" si="12"/>
        <v>0</v>
      </c>
      <c r="G335" s="624"/>
      <c r="H335" s="85"/>
      <c r="I335" s="624"/>
      <c r="J335" s="85"/>
      <c r="K335" s="624"/>
      <c r="L335" s="85"/>
      <c r="M335" s="624"/>
      <c r="N335" s="85"/>
      <c r="O335" s="624"/>
      <c r="P335" s="85"/>
      <c r="Q335" s="626">
        <f t="shared" si="10"/>
        <v>0</v>
      </c>
      <c r="R335" s="85"/>
      <c r="S335" s="624"/>
      <c r="T335" s="260"/>
      <c r="U335" s="624"/>
      <c r="V335" s="85"/>
      <c r="W335" s="624"/>
      <c r="X335" s="81"/>
      <c r="Y335" s="80"/>
      <c r="Z335" s="737">
        <f ca="1">MAX(0%,IF(Q335&lt;&gt;0,MIN((S335-Q335)/Q335/'Underwriting Risk'!$E$27,'Premium and Reserve Risk'!$Z$236),'Premium and Reserve Risk'!$Z$236))</f>
        <v>0.15</v>
      </c>
      <c r="AA335" s="80"/>
      <c r="AB335" s="80"/>
      <c r="AC335" s="737">
        <f ca="1">MAX(0%,IF(U335&lt;&gt;0,MIN((W335-U335)/U335/'Underwriting Risk'!$E$27,'Premium and Reserve Risk'!$AC$236),'Premium and Reserve Risk'!$AC$236))</f>
        <v>0.11</v>
      </c>
      <c r="AD335" s="81"/>
      <c r="AE335" s="97"/>
      <c r="AF335" s="97"/>
      <c r="AG335" s="97"/>
      <c r="AH335" s="97"/>
    </row>
    <row r="336" spans="1:34" ht="13.5" customHeight="1" x14ac:dyDescent="0.25">
      <c r="A336" s="97"/>
      <c r="B336" s="257">
        <v>99</v>
      </c>
      <c r="C336" s="652"/>
      <c r="D336" s="80"/>
      <c r="E336" s="80"/>
      <c r="F336" s="258">
        <f t="shared" ca="1" si="12"/>
        <v>0</v>
      </c>
      <c r="G336" s="624"/>
      <c r="H336" s="85"/>
      <c r="I336" s="624"/>
      <c r="J336" s="85"/>
      <c r="K336" s="624"/>
      <c r="L336" s="85"/>
      <c r="M336" s="624"/>
      <c r="N336" s="85"/>
      <c r="O336" s="624"/>
      <c r="P336" s="85"/>
      <c r="Q336" s="626">
        <f t="shared" si="10"/>
        <v>0</v>
      </c>
      <c r="R336" s="85"/>
      <c r="S336" s="624"/>
      <c r="T336" s="260"/>
      <c r="U336" s="624"/>
      <c r="V336" s="85"/>
      <c r="W336" s="624"/>
      <c r="X336" s="81"/>
      <c r="Y336" s="80"/>
      <c r="Z336" s="737">
        <f ca="1">MAX(0%,IF(Q336&lt;&gt;0,MIN((S336-Q336)/Q336/'Underwriting Risk'!$E$27,'Premium and Reserve Risk'!$Z$236),'Premium and Reserve Risk'!$Z$236))</f>
        <v>0.15</v>
      </c>
      <c r="AA336" s="80"/>
      <c r="AB336" s="80"/>
      <c r="AC336" s="737">
        <f ca="1">MAX(0%,IF(U336&lt;&gt;0,MIN((W336-U336)/U336/'Underwriting Risk'!$E$27,'Premium and Reserve Risk'!$AC$236),'Premium and Reserve Risk'!$AC$236))</f>
        <v>0.11</v>
      </c>
      <c r="AD336" s="81"/>
      <c r="AE336" s="97"/>
      <c r="AF336" s="97"/>
      <c r="AG336" s="97"/>
      <c r="AH336" s="97"/>
    </row>
    <row r="337" spans="1:34" ht="13.5" customHeight="1" x14ac:dyDescent="0.25">
      <c r="A337" s="97"/>
      <c r="B337" s="257">
        <v>100</v>
      </c>
      <c r="C337" s="652"/>
      <c r="D337" s="80"/>
      <c r="E337" s="80"/>
      <c r="F337" s="258">
        <f t="shared" ca="1" si="12"/>
        <v>0</v>
      </c>
      <c r="G337" s="624"/>
      <c r="H337" s="85"/>
      <c r="I337" s="624"/>
      <c r="J337" s="85"/>
      <c r="K337" s="624"/>
      <c r="L337" s="85"/>
      <c r="M337" s="624"/>
      <c r="N337" s="85"/>
      <c r="O337" s="624"/>
      <c r="P337" s="85"/>
      <c r="Q337" s="626">
        <f t="shared" si="10"/>
        <v>0</v>
      </c>
      <c r="R337" s="85"/>
      <c r="S337" s="624"/>
      <c r="T337" s="260"/>
      <c r="U337" s="624"/>
      <c r="V337" s="85"/>
      <c r="W337" s="624"/>
      <c r="X337" s="81"/>
      <c r="Y337" s="80"/>
      <c r="Z337" s="737">
        <f ca="1">MAX(0%,IF(Q337&lt;&gt;0,MIN((S337-Q337)/Q337/'Underwriting Risk'!$E$27,'Premium and Reserve Risk'!$Z$236),'Premium and Reserve Risk'!$Z$236))</f>
        <v>0.15</v>
      </c>
      <c r="AA337" s="80"/>
      <c r="AB337" s="80"/>
      <c r="AC337" s="737">
        <f ca="1">MAX(0%,IF(U337&lt;&gt;0,MIN((W337-U337)/U337/'Underwriting Risk'!$E$27,'Premium and Reserve Risk'!$AC$236),'Premium and Reserve Risk'!$AC$236))</f>
        <v>0.11</v>
      </c>
      <c r="AD337" s="81"/>
      <c r="AE337" s="97"/>
      <c r="AF337" s="97"/>
      <c r="AG337" s="97"/>
      <c r="AH337" s="97"/>
    </row>
    <row r="338" spans="1:34" ht="6" customHeight="1" thickBot="1" x14ac:dyDescent="0.3">
      <c r="A338" s="97"/>
      <c r="B338" s="110"/>
      <c r="C338" s="93"/>
      <c r="D338" s="93"/>
      <c r="E338" s="93"/>
      <c r="F338" s="261">
        <f ca="1">IF(OFFSET($Z$8,B235-1,0)=0,1,0)</f>
        <v>0</v>
      </c>
      <c r="G338" s="134"/>
      <c r="H338" s="134"/>
      <c r="I338" s="134"/>
      <c r="J338" s="134"/>
      <c r="K338" s="134"/>
      <c r="L338" s="134"/>
      <c r="M338" s="134"/>
      <c r="N338" s="134"/>
      <c r="O338" s="134"/>
      <c r="P338" s="134"/>
      <c r="Q338" s="134"/>
      <c r="R338" s="134"/>
      <c r="S338" s="134"/>
      <c r="T338" s="134"/>
      <c r="U338" s="134"/>
      <c r="V338" s="134"/>
      <c r="W338" s="134"/>
      <c r="X338" s="94"/>
      <c r="Y338" s="93"/>
      <c r="Z338" s="93"/>
      <c r="AA338" s="93"/>
      <c r="AB338" s="93"/>
      <c r="AC338" s="93"/>
      <c r="AD338" s="94"/>
      <c r="AE338" s="97"/>
      <c r="AF338" s="97"/>
      <c r="AG338" s="97"/>
      <c r="AH338" s="97"/>
    </row>
    <row r="339" spans="1:34" ht="16.5" thickBot="1" x14ac:dyDescent="0.3">
      <c r="A339" s="97"/>
      <c r="B339" s="53"/>
      <c r="C339" s="53"/>
      <c r="D339" s="53"/>
      <c r="E339" s="53"/>
      <c r="F339" s="109"/>
      <c r="G339" s="109"/>
      <c r="H339" s="109"/>
      <c r="I339" s="109"/>
      <c r="J339" s="109"/>
      <c r="K339" s="109"/>
      <c r="L339" s="109"/>
      <c r="M339" s="109"/>
      <c r="N339" s="109"/>
      <c r="O339" s="109"/>
      <c r="P339" s="109"/>
      <c r="Q339" s="109"/>
      <c r="R339" s="109"/>
      <c r="S339" s="109"/>
      <c r="T339" s="109"/>
      <c r="U339" s="109"/>
      <c r="V339" s="109"/>
      <c r="W339" s="109"/>
      <c r="X339" s="53"/>
      <c r="Y339" s="53"/>
      <c r="Z339" s="53"/>
      <c r="AA339" s="53"/>
      <c r="AB339" s="53"/>
      <c r="AC339" s="53"/>
      <c r="AD339" s="53"/>
      <c r="AE339" s="97"/>
      <c r="AF339" s="97"/>
      <c r="AG339" s="97"/>
      <c r="AH339" s="97"/>
    </row>
    <row r="340" spans="1:34" ht="31.5" x14ac:dyDescent="0.25">
      <c r="A340" s="97"/>
      <c r="B340" s="187">
        <v>4</v>
      </c>
      <c r="C340" s="187" t="str">
        <f ca="1">RIGHT(OFFSET($B$8,B340-1,0),LEN(OFFSET($B$8,B340-1,0))-5)</f>
        <v xml:space="preserve"> Fire &amp; Other Damage to Property &amp; 16 Prop. Reins.</v>
      </c>
      <c r="D340" s="68"/>
      <c r="E340" s="68"/>
      <c r="F340" s="68"/>
      <c r="G340" s="68"/>
      <c r="H340" s="68"/>
      <c r="I340" s="68"/>
      <c r="J340" s="68"/>
      <c r="K340" s="68"/>
      <c r="L340" s="68"/>
      <c r="M340" s="68"/>
      <c r="N340" s="68"/>
      <c r="O340" s="68"/>
      <c r="P340" s="68"/>
      <c r="Q340" s="68"/>
      <c r="R340" s="68"/>
      <c r="S340" s="68"/>
      <c r="T340" s="68"/>
      <c r="U340" s="68"/>
      <c r="V340" s="68"/>
      <c r="W340" s="68"/>
      <c r="X340" s="251"/>
      <c r="Y340" s="68"/>
      <c r="Z340" s="250" t="s">
        <v>458</v>
      </c>
      <c r="AA340" s="736"/>
      <c r="AB340" s="736"/>
      <c r="AC340" s="250" t="s">
        <v>459</v>
      </c>
      <c r="AD340" s="251"/>
      <c r="AE340" s="97"/>
      <c r="AF340" s="97"/>
      <c r="AG340" s="97"/>
      <c r="AH340" s="97"/>
    </row>
    <row r="341" spans="1:34" ht="129.75" thickBot="1" x14ac:dyDescent="0.3">
      <c r="A341" s="97"/>
      <c r="B341" s="252"/>
      <c r="C341" s="253" t="s">
        <v>460</v>
      </c>
      <c r="D341" s="237"/>
      <c r="E341" s="237"/>
      <c r="F341" s="254">
        <f ca="1">IF(OFFSET($Z$8,B340-1,0)=0,1,0)</f>
        <v>0</v>
      </c>
      <c r="G341" s="792" t="s">
        <v>1130</v>
      </c>
      <c r="H341" s="793"/>
      <c r="I341" s="791" t="s">
        <v>438</v>
      </c>
      <c r="J341" s="791"/>
      <c r="K341" s="791" t="s">
        <v>439</v>
      </c>
      <c r="L341" s="791"/>
      <c r="M341" s="791" t="s">
        <v>1131</v>
      </c>
      <c r="N341" s="791"/>
      <c r="O341" s="791" t="s">
        <v>1132</v>
      </c>
      <c r="P341" s="363"/>
      <c r="Q341" s="237" t="s">
        <v>440</v>
      </c>
      <c r="R341" s="237"/>
      <c r="S341" s="237" t="s">
        <v>461</v>
      </c>
      <c r="T341" s="237"/>
      <c r="U341" s="237" t="s">
        <v>463</v>
      </c>
      <c r="V341" s="237"/>
      <c r="W341" s="237" t="s">
        <v>464</v>
      </c>
      <c r="X341" s="238"/>
      <c r="Y341" s="237"/>
      <c r="Z341" s="255">
        <f ca="1">OFFSET('Underwriting Risk'!$K$55,'Premium and Reserve Risk'!B340-1,0)</f>
        <v>6.4000000000000001E-2</v>
      </c>
      <c r="AA341" s="237"/>
      <c r="AB341" s="237"/>
      <c r="AC341" s="255">
        <f ca="1">OFFSET('Underwriting Risk'!$M$55,'Premium and Reserve Risk'!B340-1,0)</f>
        <v>0.1</v>
      </c>
      <c r="AD341" s="238"/>
      <c r="AE341" s="97"/>
      <c r="AF341" s="97"/>
      <c r="AG341" s="97"/>
      <c r="AH341" s="97"/>
    </row>
    <row r="342" spans="1:34" ht="6" customHeight="1" x14ac:dyDescent="0.25">
      <c r="A342" s="97"/>
      <c r="B342" s="106"/>
      <c r="C342" s="80"/>
      <c r="D342" s="80"/>
      <c r="E342" s="80"/>
      <c r="F342" s="256">
        <f ca="1">IF(OFFSET($Z$8,B340-1,0)=0,1,0)</f>
        <v>0</v>
      </c>
      <c r="G342" s="85"/>
      <c r="H342" s="85"/>
      <c r="I342" s="85"/>
      <c r="J342" s="85"/>
      <c r="K342" s="85"/>
      <c r="L342" s="85"/>
      <c r="M342" s="85"/>
      <c r="N342" s="85"/>
      <c r="O342" s="85"/>
      <c r="P342" s="85"/>
      <c r="Q342" s="85"/>
      <c r="R342" s="85"/>
      <c r="S342" s="85"/>
      <c r="T342" s="85"/>
      <c r="U342" s="85"/>
      <c r="V342" s="85"/>
      <c r="W342" s="85"/>
      <c r="X342" s="81"/>
      <c r="Y342" s="80"/>
      <c r="Z342" s="80"/>
      <c r="AA342" s="80"/>
      <c r="AB342" s="80"/>
      <c r="AC342" s="80"/>
      <c r="AD342" s="81"/>
      <c r="AE342" s="97"/>
      <c r="AF342" s="97"/>
      <c r="AG342" s="97"/>
      <c r="AH342" s="97"/>
    </row>
    <row r="343" spans="1:34" ht="13.5" customHeight="1" x14ac:dyDescent="0.25">
      <c r="A343" s="97"/>
      <c r="B343" s="257">
        <v>1</v>
      </c>
      <c r="C343" s="652"/>
      <c r="D343" s="80"/>
      <c r="E343" s="80"/>
      <c r="F343" s="258">
        <f ca="1">IF(B343&lt;=OFFSET($Z$8,B$340-1,0),0,1)</f>
        <v>0</v>
      </c>
      <c r="G343" s="624"/>
      <c r="H343" s="85"/>
      <c r="I343" s="624"/>
      <c r="J343" s="85"/>
      <c r="K343" s="624"/>
      <c r="L343" s="85"/>
      <c r="M343" s="624"/>
      <c r="N343" s="85"/>
      <c r="O343" s="624"/>
      <c r="P343" s="85"/>
      <c r="Q343" s="626">
        <f t="shared" ref="Q343:Q442" si="13">MAX(G343,I343)+K343+M343+0.3*O343</f>
        <v>0</v>
      </c>
      <c r="R343" s="85"/>
      <c r="S343" s="624"/>
      <c r="T343" s="260"/>
      <c r="U343" s="624"/>
      <c r="V343" s="85"/>
      <c r="W343" s="624"/>
      <c r="X343" s="81"/>
      <c r="Y343" s="80"/>
      <c r="Z343" s="737">
        <f ca="1">MAX(0%,IF(Q343&lt;&gt;0,MIN((S343-Q343)/Q343/'Underwriting Risk'!$E$27,'Premium and Reserve Risk'!$Z$341),'Premium and Reserve Risk'!$Z$341))</f>
        <v>6.4000000000000001E-2</v>
      </c>
      <c r="AA343" s="80"/>
      <c r="AB343" s="80"/>
      <c r="AC343" s="737">
        <f ca="1">MAX(0%,IF(U343&lt;&gt;0,MIN((W343-U343)/U343/'Underwriting Risk'!$E$27,'Premium and Reserve Risk'!$AC$341),'Premium and Reserve Risk'!$AC$341))</f>
        <v>0.1</v>
      </c>
      <c r="AD343" s="81"/>
      <c r="AE343" s="97"/>
      <c r="AF343" s="97"/>
      <c r="AG343" s="97"/>
      <c r="AH343" s="97"/>
    </row>
    <row r="344" spans="1:34" ht="13.5" customHeight="1" x14ac:dyDescent="0.25">
      <c r="A344" s="97"/>
      <c r="B344" s="257">
        <v>2</v>
      </c>
      <c r="C344" s="652"/>
      <c r="D344" s="80"/>
      <c r="E344" s="80"/>
      <c r="F344" s="258">
        <f t="shared" ref="F344:F407" ca="1" si="14">IF(B344&lt;=OFFSET($Z$8,B$340-1,0),0,1)</f>
        <v>0</v>
      </c>
      <c r="G344" s="624"/>
      <c r="H344" s="85"/>
      <c r="I344" s="624"/>
      <c r="J344" s="85"/>
      <c r="K344" s="624"/>
      <c r="L344" s="85"/>
      <c r="M344" s="624"/>
      <c r="N344" s="85"/>
      <c r="O344" s="624"/>
      <c r="P344" s="85"/>
      <c r="Q344" s="626">
        <f t="shared" si="13"/>
        <v>0</v>
      </c>
      <c r="R344" s="85"/>
      <c r="S344" s="624"/>
      <c r="T344" s="260"/>
      <c r="U344" s="624"/>
      <c r="V344" s="85"/>
      <c r="W344" s="624"/>
      <c r="X344" s="81"/>
      <c r="Y344" s="80"/>
      <c r="Z344" s="737">
        <f ca="1">MAX(0%,IF(Q344&lt;&gt;0,MIN((S344-Q344)/Q344/'Underwriting Risk'!$E$27,'Premium and Reserve Risk'!$Z$341),'Premium and Reserve Risk'!$Z$341))</f>
        <v>6.4000000000000001E-2</v>
      </c>
      <c r="AA344" s="80"/>
      <c r="AB344" s="80"/>
      <c r="AC344" s="737">
        <f ca="1">MAX(0%,IF(U344&lt;&gt;0,MIN((W344-U344)/U344/'Underwriting Risk'!$E$27,'Premium and Reserve Risk'!$AC$341),'Premium and Reserve Risk'!$AC$341))</f>
        <v>0.1</v>
      </c>
      <c r="AD344" s="81"/>
      <c r="AE344" s="97"/>
      <c r="AF344" s="97"/>
      <c r="AG344" s="97"/>
      <c r="AH344" s="97"/>
    </row>
    <row r="345" spans="1:34" ht="13.5" customHeight="1" x14ac:dyDescent="0.25">
      <c r="A345" s="97"/>
      <c r="B345" s="257">
        <v>3</v>
      </c>
      <c r="C345" s="652"/>
      <c r="D345" s="80"/>
      <c r="E345" s="80"/>
      <c r="F345" s="258">
        <f t="shared" ca="1" si="14"/>
        <v>0</v>
      </c>
      <c r="G345" s="624"/>
      <c r="H345" s="85"/>
      <c r="I345" s="624"/>
      <c r="J345" s="85"/>
      <c r="K345" s="624"/>
      <c r="L345" s="85"/>
      <c r="M345" s="624"/>
      <c r="N345" s="85"/>
      <c r="O345" s="624"/>
      <c r="P345" s="85"/>
      <c r="Q345" s="626">
        <f t="shared" si="13"/>
        <v>0</v>
      </c>
      <c r="R345" s="85"/>
      <c r="S345" s="624"/>
      <c r="T345" s="260"/>
      <c r="U345" s="624"/>
      <c r="V345" s="85"/>
      <c r="W345" s="624"/>
      <c r="X345" s="81"/>
      <c r="Y345" s="80"/>
      <c r="Z345" s="737">
        <f ca="1">MAX(0%,IF(Q345&lt;&gt;0,MIN((S345-Q345)/Q345/'Underwriting Risk'!$E$27,'Premium and Reserve Risk'!$Z$341),'Premium and Reserve Risk'!$Z$341))</f>
        <v>6.4000000000000001E-2</v>
      </c>
      <c r="AA345" s="80"/>
      <c r="AB345" s="80"/>
      <c r="AC345" s="737">
        <f ca="1">MAX(0%,IF(U345&lt;&gt;0,MIN((W345-U345)/U345/'Underwriting Risk'!$E$27,'Premium and Reserve Risk'!$AC$341),'Premium and Reserve Risk'!$AC$341))</f>
        <v>0.1</v>
      </c>
      <c r="AD345" s="81"/>
      <c r="AE345" s="97"/>
      <c r="AF345" s="97"/>
      <c r="AG345" s="97"/>
      <c r="AH345" s="97"/>
    </row>
    <row r="346" spans="1:34" ht="13.5" customHeight="1" x14ac:dyDescent="0.25">
      <c r="A346" s="97"/>
      <c r="B346" s="257">
        <v>4</v>
      </c>
      <c r="C346" s="652"/>
      <c r="D346" s="80"/>
      <c r="E346" s="80"/>
      <c r="F346" s="258">
        <f t="shared" ca="1" si="14"/>
        <v>0</v>
      </c>
      <c r="G346" s="624"/>
      <c r="H346" s="85"/>
      <c r="I346" s="624"/>
      <c r="J346" s="85"/>
      <c r="K346" s="624"/>
      <c r="L346" s="85"/>
      <c r="M346" s="624"/>
      <c r="N346" s="85"/>
      <c r="O346" s="624"/>
      <c r="P346" s="85"/>
      <c r="Q346" s="626">
        <f t="shared" si="13"/>
        <v>0</v>
      </c>
      <c r="R346" s="85"/>
      <c r="S346" s="624"/>
      <c r="T346" s="260"/>
      <c r="U346" s="624"/>
      <c r="V346" s="85"/>
      <c r="W346" s="624"/>
      <c r="X346" s="81"/>
      <c r="Y346" s="80"/>
      <c r="Z346" s="737">
        <f ca="1">MAX(0%,IF(Q346&lt;&gt;0,MIN((S346-Q346)/Q346/'Underwriting Risk'!$E$27,'Premium and Reserve Risk'!$Z$341),'Premium and Reserve Risk'!$Z$341))</f>
        <v>6.4000000000000001E-2</v>
      </c>
      <c r="AA346" s="80"/>
      <c r="AB346" s="80"/>
      <c r="AC346" s="737">
        <f ca="1">MAX(0%,IF(U346&lt;&gt;0,MIN((W346-U346)/U346/'Underwriting Risk'!$E$27,'Premium and Reserve Risk'!$AC$341),'Premium and Reserve Risk'!$AC$341))</f>
        <v>0.1</v>
      </c>
      <c r="AD346" s="81"/>
      <c r="AE346" s="97"/>
      <c r="AF346" s="97"/>
      <c r="AG346" s="97"/>
      <c r="AH346" s="97"/>
    </row>
    <row r="347" spans="1:34" ht="13.5" customHeight="1" x14ac:dyDescent="0.25">
      <c r="A347" s="97"/>
      <c r="B347" s="257">
        <v>5</v>
      </c>
      <c r="C347" s="652"/>
      <c r="D347" s="80"/>
      <c r="E347" s="80"/>
      <c r="F347" s="258">
        <f t="shared" ca="1" si="14"/>
        <v>0</v>
      </c>
      <c r="G347" s="624"/>
      <c r="H347" s="85"/>
      <c r="I347" s="624"/>
      <c r="J347" s="85"/>
      <c r="K347" s="624"/>
      <c r="L347" s="85"/>
      <c r="M347" s="624"/>
      <c r="N347" s="85"/>
      <c r="O347" s="624"/>
      <c r="P347" s="85"/>
      <c r="Q347" s="626">
        <f t="shared" si="13"/>
        <v>0</v>
      </c>
      <c r="R347" s="85"/>
      <c r="S347" s="624"/>
      <c r="T347" s="260"/>
      <c r="U347" s="624"/>
      <c r="V347" s="85"/>
      <c r="W347" s="624"/>
      <c r="X347" s="81"/>
      <c r="Y347" s="80"/>
      <c r="Z347" s="737">
        <f ca="1">MAX(0%,IF(Q347&lt;&gt;0,MIN((S347-Q347)/Q347/'Underwriting Risk'!$E$27,'Premium and Reserve Risk'!$Z$341),'Premium and Reserve Risk'!$Z$341))</f>
        <v>6.4000000000000001E-2</v>
      </c>
      <c r="AA347" s="80"/>
      <c r="AB347" s="80"/>
      <c r="AC347" s="737">
        <f ca="1">MAX(0%,IF(U347&lt;&gt;0,MIN((W347-U347)/U347/'Underwriting Risk'!$E$27,'Premium and Reserve Risk'!$AC$341),'Premium and Reserve Risk'!$AC$341))</f>
        <v>0.1</v>
      </c>
      <c r="AD347" s="81"/>
      <c r="AE347" s="97"/>
      <c r="AF347" s="97"/>
      <c r="AG347" s="97"/>
      <c r="AH347" s="97"/>
    </row>
    <row r="348" spans="1:34" ht="13.5" customHeight="1" x14ac:dyDescent="0.25">
      <c r="A348" s="97"/>
      <c r="B348" s="257">
        <v>6</v>
      </c>
      <c r="C348" s="652"/>
      <c r="D348" s="80"/>
      <c r="E348" s="80"/>
      <c r="F348" s="258">
        <f t="shared" ca="1" si="14"/>
        <v>0</v>
      </c>
      <c r="G348" s="624"/>
      <c r="H348" s="85"/>
      <c r="I348" s="624"/>
      <c r="J348" s="85"/>
      <c r="K348" s="624"/>
      <c r="L348" s="85"/>
      <c r="M348" s="624"/>
      <c r="N348" s="85"/>
      <c r="O348" s="624"/>
      <c r="P348" s="85"/>
      <c r="Q348" s="626">
        <f t="shared" si="13"/>
        <v>0</v>
      </c>
      <c r="R348" s="85"/>
      <c r="S348" s="624"/>
      <c r="T348" s="260"/>
      <c r="U348" s="624"/>
      <c r="V348" s="85"/>
      <c r="W348" s="624"/>
      <c r="X348" s="81"/>
      <c r="Y348" s="80"/>
      <c r="Z348" s="737">
        <f ca="1">MAX(0%,IF(Q348&lt;&gt;0,MIN((S348-Q348)/Q348/'Underwriting Risk'!$E$27,'Premium and Reserve Risk'!$Z$341),'Premium and Reserve Risk'!$Z$341))</f>
        <v>6.4000000000000001E-2</v>
      </c>
      <c r="AA348" s="80"/>
      <c r="AB348" s="80"/>
      <c r="AC348" s="737">
        <f ca="1">MAX(0%,IF(U348&lt;&gt;0,MIN((W348-U348)/U348/'Underwriting Risk'!$E$27,'Premium and Reserve Risk'!$AC$341),'Premium and Reserve Risk'!$AC$341))</f>
        <v>0.1</v>
      </c>
      <c r="AD348" s="81"/>
      <c r="AE348" s="97"/>
      <c r="AF348" s="97"/>
      <c r="AG348" s="97"/>
      <c r="AH348" s="97"/>
    </row>
    <row r="349" spans="1:34" ht="13.5" customHeight="1" x14ac:dyDescent="0.25">
      <c r="A349" s="97"/>
      <c r="B349" s="257">
        <v>7</v>
      </c>
      <c r="C349" s="652"/>
      <c r="D349" s="80"/>
      <c r="E349" s="80"/>
      <c r="F349" s="258">
        <f t="shared" ca="1" si="14"/>
        <v>0</v>
      </c>
      <c r="G349" s="624"/>
      <c r="H349" s="85"/>
      <c r="I349" s="624"/>
      <c r="J349" s="85"/>
      <c r="K349" s="624"/>
      <c r="L349" s="85"/>
      <c r="M349" s="624"/>
      <c r="N349" s="85"/>
      <c r="O349" s="624"/>
      <c r="P349" s="85"/>
      <c r="Q349" s="626">
        <f t="shared" si="13"/>
        <v>0</v>
      </c>
      <c r="R349" s="85"/>
      <c r="S349" s="624"/>
      <c r="T349" s="260"/>
      <c r="U349" s="624"/>
      <c r="V349" s="85"/>
      <c r="W349" s="624"/>
      <c r="X349" s="81"/>
      <c r="Y349" s="80"/>
      <c r="Z349" s="737">
        <f ca="1">MAX(0%,IF(Q349&lt;&gt;0,MIN((S349-Q349)/Q349/'Underwriting Risk'!$E$27,'Premium and Reserve Risk'!$Z$341),'Premium and Reserve Risk'!$Z$341))</f>
        <v>6.4000000000000001E-2</v>
      </c>
      <c r="AA349" s="80"/>
      <c r="AB349" s="80"/>
      <c r="AC349" s="737">
        <f ca="1">MAX(0%,IF(U349&lt;&gt;0,MIN((W349-U349)/U349/'Underwriting Risk'!$E$27,'Premium and Reserve Risk'!$AC$341),'Premium and Reserve Risk'!$AC$341))</f>
        <v>0.1</v>
      </c>
      <c r="AD349" s="81"/>
      <c r="AE349" s="97"/>
      <c r="AF349" s="97"/>
      <c r="AG349" s="97"/>
      <c r="AH349" s="97"/>
    </row>
    <row r="350" spans="1:34" ht="13.5" customHeight="1" x14ac:dyDescent="0.25">
      <c r="A350" s="97"/>
      <c r="B350" s="257">
        <v>8</v>
      </c>
      <c r="C350" s="652"/>
      <c r="D350" s="80"/>
      <c r="E350" s="80"/>
      <c r="F350" s="258">
        <f t="shared" ca="1" si="14"/>
        <v>0</v>
      </c>
      <c r="G350" s="624"/>
      <c r="H350" s="85"/>
      <c r="I350" s="624"/>
      <c r="J350" s="85"/>
      <c r="K350" s="624"/>
      <c r="L350" s="85"/>
      <c r="M350" s="624"/>
      <c r="N350" s="85"/>
      <c r="O350" s="624"/>
      <c r="P350" s="85"/>
      <c r="Q350" s="626">
        <f t="shared" si="13"/>
        <v>0</v>
      </c>
      <c r="R350" s="85"/>
      <c r="S350" s="624"/>
      <c r="T350" s="260"/>
      <c r="U350" s="624"/>
      <c r="V350" s="85"/>
      <c r="W350" s="624"/>
      <c r="X350" s="81"/>
      <c r="Y350" s="80"/>
      <c r="Z350" s="737">
        <f ca="1">MAX(0%,IF(Q350&lt;&gt;0,MIN((S350-Q350)/Q350/'Underwriting Risk'!$E$27,'Premium and Reserve Risk'!$Z$341),'Premium and Reserve Risk'!$Z$341))</f>
        <v>6.4000000000000001E-2</v>
      </c>
      <c r="AA350" s="80"/>
      <c r="AB350" s="80"/>
      <c r="AC350" s="737">
        <f ca="1">MAX(0%,IF(U350&lt;&gt;0,MIN((W350-U350)/U350/'Underwriting Risk'!$E$27,'Premium and Reserve Risk'!$AC$341),'Premium and Reserve Risk'!$AC$341))</f>
        <v>0.1</v>
      </c>
      <c r="AD350" s="81"/>
      <c r="AE350" s="97"/>
      <c r="AF350" s="97"/>
      <c r="AG350" s="97"/>
      <c r="AH350" s="97"/>
    </row>
    <row r="351" spans="1:34" ht="13.5" customHeight="1" x14ac:dyDescent="0.25">
      <c r="A351" s="97"/>
      <c r="B351" s="257">
        <v>9</v>
      </c>
      <c r="C351" s="652"/>
      <c r="D351" s="80"/>
      <c r="E351" s="80"/>
      <c r="F351" s="258">
        <f t="shared" ca="1" si="14"/>
        <v>0</v>
      </c>
      <c r="G351" s="624"/>
      <c r="H351" s="85"/>
      <c r="I351" s="624"/>
      <c r="J351" s="85"/>
      <c r="K351" s="624"/>
      <c r="L351" s="85"/>
      <c r="M351" s="624"/>
      <c r="N351" s="85"/>
      <c r="O351" s="624"/>
      <c r="P351" s="85"/>
      <c r="Q351" s="626">
        <f t="shared" si="13"/>
        <v>0</v>
      </c>
      <c r="R351" s="85"/>
      <c r="S351" s="624"/>
      <c r="T351" s="260"/>
      <c r="U351" s="624"/>
      <c r="V351" s="85"/>
      <c r="W351" s="624"/>
      <c r="X351" s="81"/>
      <c r="Y351" s="80"/>
      <c r="Z351" s="737">
        <f ca="1">MAX(0%,IF(Q351&lt;&gt;0,MIN((S351-Q351)/Q351/'Underwriting Risk'!$E$27,'Premium and Reserve Risk'!$Z$341),'Premium and Reserve Risk'!$Z$341))</f>
        <v>6.4000000000000001E-2</v>
      </c>
      <c r="AA351" s="80"/>
      <c r="AB351" s="80"/>
      <c r="AC351" s="737">
        <f ca="1">MAX(0%,IF(U351&lt;&gt;0,MIN((W351-U351)/U351/'Underwriting Risk'!$E$27,'Premium and Reserve Risk'!$AC$341),'Premium and Reserve Risk'!$AC$341))</f>
        <v>0.1</v>
      </c>
      <c r="AD351" s="81"/>
      <c r="AE351" s="97"/>
      <c r="AF351" s="97"/>
      <c r="AG351" s="97"/>
      <c r="AH351" s="97"/>
    </row>
    <row r="352" spans="1:34" ht="13.5" customHeight="1" x14ac:dyDescent="0.25">
      <c r="A352" s="97"/>
      <c r="B352" s="257">
        <v>10</v>
      </c>
      <c r="C352" s="652"/>
      <c r="D352" s="80"/>
      <c r="E352" s="80"/>
      <c r="F352" s="258">
        <f t="shared" ca="1" si="14"/>
        <v>0</v>
      </c>
      <c r="G352" s="624"/>
      <c r="H352" s="85"/>
      <c r="I352" s="624"/>
      <c r="J352" s="85"/>
      <c r="K352" s="624"/>
      <c r="L352" s="85"/>
      <c r="M352" s="624"/>
      <c r="N352" s="85"/>
      <c r="O352" s="624"/>
      <c r="P352" s="85"/>
      <c r="Q352" s="626">
        <f t="shared" si="13"/>
        <v>0</v>
      </c>
      <c r="R352" s="85"/>
      <c r="S352" s="624"/>
      <c r="T352" s="260"/>
      <c r="U352" s="624"/>
      <c r="V352" s="85"/>
      <c r="W352" s="624"/>
      <c r="X352" s="81"/>
      <c r="Y352" s="80"/>
      <c r="Z352" s="737">
        <f ca="1">MAX(0%,IF(Q352&lt;&gt;0,MIN((S352-Q352)/Q352/'Underwriting Risk'!$E$27,'Premium and Reserve Risk'!$Z$341),'Premium and Reserve Risk'!$Z$341))</f>
        <v>6.4000000000000001E-2</v>
      </c>
      <c r="AA352" s="80"/>
      <c r="AB352" s="80"/>
      <c r="AC352" s="737">
        <f ca="1">MAX(0%,IF(U352&lt;&gt;0,MIN((W352-U352)/U352/'Underwriting Risk'!$E$27,'Premium and Reserve Risk'!$AC$341),'Premium and Reserve Risk'!$AC$341))</f>
        <v>0.1</v>
      </c>
      <c r="AD352" s="81"/>
      <c r="AE352" s="97"/>
      <c r="AF352" s="97"/>
      <c r="AG352" s="97"/>
      <c r="AH352" s="97"/>
    </row>
    <row r="353" spans="1:34" ht="13.5" customHeight="1" x14ac:dyDescent="0.25">
      <c r="A353" s="97"/>
      <c r="B353" s="257">
        <v>11</v>
      </c>
      <c r="C353" s="652"/>
      <c r="D353" s="80"/>
      <c r="E353" s="80"/>
      <c r="F353" s="258">
        <f t="shared" ca="1" si="14"/>
        <v>0</v>
      </c>
      <c r="G353" s="624"/>
      <c r="H353" s="85"/>
      <c r="I353" s="624"/>
      <c r="J353" s="85"/>
      <c r="K353" s="624"/>
      <c r="L353" s="85"/>
      <c r="M353" s="624"/>
      <c r="N353" s="85"/>
      <c r="O353" s="624"/>
      <c r="P353" s="85"/>
      <c r="Q353" s="626">
        <f t="shared" si="13"/>
        <v>0</v>
      </c>
      <c r="R353" s="85"/>
      <c r="S353" s="624"/>
      <c r="T353" s="260"/>
      <c r="U353" s="624"/>
      <c r="V353" s="85"/>
      <c r="W353" s="624"/>
      <c r="X353" s="81"/>
      <c r="Y353" s="80"/>
      <c r="Z353" s="737">
        <f ca="1">MAX(0%,IF(Q353&lt;&gt;0,MIN((S353-Q353)/Q353/'Underwriting Risk'!$E$27,'Premium and Reserve Risk'!$Z$341),'Premium and Reserve Risk'!$Z$341))</f>
        <v>6.4000000000000001E-2</v>
      </c>
      <c r="AA353" s="80"/>
      <c r="AB353" s="80"/>
      <c r="AC353" s="737">
        <f ca="1">MAX(0%,IF(U353&lt;&gt;0,MIN((W353-U353)/U353/'Underwriting Risk'!$E$27,'Premium and Reserve Risk'!$AC$341),'Premium and Reserve Risk'!$AC$341))</f>
        <v>0.1</v>
      </c>
      <c r="AD353" s="81"/>
      <c r="AE353" s="97"/>
      <c r="AF353" s="97"/>
      <c r="AG353" s="97"/>
      <c r="AH353" s="97"/>
    </row>
    <row r="354" spans="1:34" ht="13.5" customHeight="1" x14ac:dyDescent="0.25">
      <c r="A354" s="97"/>
      <c r="B354" s="257">
        <v>12</v>
      </c>
      <c r="C354" s="652"/>
      <c r="D354" s="80"/>
      <c r="E354" s="80"/>
      <c r="F354" s="258">
        <f t="shared" ca="1" si="14"/>
        <v>0</v>
      </c>
      <c r="G354" s="624"/>
      <c r="H354" s="85"/>
      <c r="I354" s="624"/>
      <c r="J354" s="85"/>
      <c r="K354" s="624"/>
      <c r="L354" s="85"/>
      <c r="M354" s="624"/>
      <c r="N354" s="85"/>
      <c r="O354" s="624"/>
      <c r="P354" s="85"/>
      <c r="Q354" s="626">
        <f t="shared" si="13"/>
        <v>0</v>
      </c>
      <c r="R354" s="85"/>
      <c r="S354" s="624"/>
      <c r="T354" s="260"/>
      <c r="U354" s="624"/>
      <c r="V354" s="85"/>
      <c r="W354" s="624"/>
      <c r="X354" s="81"/>
      <c r="Y354" s="80"/>
      <c r="Z354" s="737">
        <f ca="1">MAX(0%,IF(Q354&lt;&gt;0,MIN((S354-Q354)/Q354/'Underwriting Risk'!$E$27,'Premium and Reserve Risk'!$Z$341),'Premium and Reserve Risk'!$Z$341))</f>
        <v>6.4000000000000001E-2</v>
      </c>
      <c r="AA354" s="80"/>
      <c r="AB354" s="80"/>
      <c r="AC354" s="737">
        <f ca="1">MAX(0%,IF(U354&lt;&gt;0,MIN((W354-U354)/U354/'Underwriting Risk'!$E$27,'Premium and Reserve Risk'!$AC$341),'Premium and Reserve Risk'!$AC$341))</f>
        <v>0.1</v>
      </c>
      <c r="AD354" s="81"/>
      <c r="AE354" s="97"/>
      <c r="AF354" s="97"/>
      <c r="AG354" s="97"/>
      <c r="AH354" s="97"/>
    </row>
    <row r="355" spans="1:34" ht="13.5" customHeight="1" x14ac:dyDescent="0.25">
      <c r="A355" s="97"/>
      <c r="B355" s="257">
        <v>13</v>
      </c>
      <c r="C355" s="652"/>
      <c r="D355" s="80"/>
      <c r="E355" s="80"/>
      <c r="F355" s="258">
        <f t="shared" ca="1" si="14"/>
        <v>0</v>
      </c>
      <c r="G355" s="624"/>
      <c r="H355" s="85"/>
      <c r="I355" s="624"/>
      <c r="J355" s="85"/>
      <c r="K355" s="624"/>
      <c r="L355" s="85"/>
      <c r="M355" s="624"/>
      <c r="N355" s="85"/>
      <c r="O355" s="624"/>
      <c r="P355" s="85"/>
      <c r="Q355" s="626">
        <f t="shared" si="13"/>
        <v>0</v>
      </c>
      <c r="R355" s="85"/>
      <c r="S355" s="624"/>
      <c r="T355" s="260"/>
      <c r="U355" s="624"/>
      <c r="V355" s="85"/>
      <c r="W355" s="624"/>
      <c r="X355" s="81"/>
      <c r="Y355" s="80"/>
      <c r="Z355" s="737">
        <f ca="1">MAX(0%,IF(Q355&lt;&gt;0,MIN((S355-Q355)/Q355/'Underwriting Risk'!$E$27,'Premium and Reserve Risk'!$Z$341),'Premium and Reserve Risk'!$Z$341))</f>
        <v>6.4000000000000001E-2</v>
      </c>
      <c r="AA355" s="80"/>
      <c r="AB355" s="80"/>
      <c r="AC355" s="737">
        <f ca="1">MAX(0%,IF(U355&lt;&gt;0,MIN((W355-U355)/U355/'Underwriting Risk'!$E$27,'Premium and Reserve Risk'!$AC$341),'Premium and Reserve Risk'!$AC$341))</f>
        <v>0.1</v>
      </c>
      <c r="AD355" s="81"/>
      <c r="AE355" s="97"/>
      <c r="AF355" s="97"/>
      <c r="AG355" s="97"/>
      <c r="AH355" s="97"/>
    </row>
    <row r="356" spans="1:34" ht="13.5" customHeight="1" x14ac:dyDescent="0.25">
      <c r="A356" s="97"/>
      <c r="B356" s="257">
        <v>14</v>
      </c>
      <c r="C356" s="652"/>
      <c r="D356" s="80"/>
      <c r="E356" s="80"/>
      <c r="F356" s="258">
        <f t="shared" ca="1" si="14"/>
        <v>0</v>
      </c>
      <c r="G356" s="624"/>
      <c r="H356" s="85"/>
      <c r="I356" s="624"/>
      <c r="J356" s="85"/>
      <c r="K356" s="624"/>
      <c r="L356" s="85"/>
      <c r="M356" s="624"/>
      <c r="N356" s="85"/>
      <c r="O356" s="624"/>
      <c r="P356" s="85"/>
      <c r="Q356" s="626">
        <f t="shared" si="13"/>
        <v>0</v>
      </c>
      <c r="R356" s="85"/>
      <c r="S356" s="624"/>
      <c r="T356" s="260"/>
      <c r="U356" s="624"/>
      <c r="V356" s="85"/>
      <c r="W356" s="624"/>
      <c r="X356" s="81"/>
      <c r="Y356" s="80"/>
      <c r="Z356" s="737">
        <f ca="1">MAX(0%,IF(Q356&lt;&gt;0,MIN((S356-Q356)/Q356/'Underwriting Risk'!$E$27,'Premium and Reserve Risk'!$Z$341),'Premium and Reserve Risk'!$Z$341))</f>
        <v>6.4000000000000001E-2</v>
      </c>
      <c r="AA356" s="80"/>
      <c r="AB356" s="80"/>
      <c r="AC356" s="737">
        <f ca="1">MAX(0%,IF(U356&lt;&gt;0,MIN((W356-U356)/U356/'Underwriting Risk'!$E$27,'Premium and Reserve Risk'!$AC$341),'Premium and Reserve Risk'!$AC$341))</f>
        <v>0.1</v>
      </c>
      <c r="AD356" s="81"/>
      <c r="AE356" s="97"/>
      <c r="AF356" s="97"/>
      <c r="AG356" s="97"/>
      <c r="AH356" s="97"/>
    </row>
    <row r="357" spans="1:34" ht="13.5" customHeight="1" x14ac:dyDescent="0.25">
      <c r="A357" s="97"/>
      <c r="B357" s="257">
        <v>15</v>
      </c>
      <c r="C357" s="652"/>
      <c r="D357" s="80"/>
      <c r="E357" s="80"/>
      <c r="F357" s="258">
        <f t="shared" ca="1" si="14"/>
        <v>0</v>
      </c>
      <c r="G357" s="624"/>
      <c r="H357" s="85"/>
      <c r="I357" s="624"/>
      <c r="J357" s="85"/>
      <c r="K357" s="624"/>
      <c r="L357" s="85"/>
      <c r="M357" s="624"/>
      <c r="N357" s="85"/>
      <c r="O357" s="624"/>
      <c r="P357" s="85"/>
      <c r="Q357" s="626">
        <f t="shared" si="13"/>
        <v>0</v>
      </c>
      <c r="R357" s="85"/>
      <c r="S357" s="624"/>
      <c r="T357" s="260"/>
      <c r="U357" s="624"/>
      <c r="V357" s="85"/>
      <c r="W357" s="624"/>
      <c r="X357" s="81"/>
      <c r="Y357" s="80"/>
      <c r="Z357" s="737">
        <f ca="1">MAX(0%,IF(Q357&lt;&gt;0,MIN((S357-Q357)/Q357/'Underwriting Risk'!$E$27,'Premium and Reserve Risk'!$Z$341),'Premium and Reserve Risk'!$Z$341))</f>
        <v>6.4000000000000001E-2</v>
      </c>
      <c r="AA357" s="80"/>
      <c r="AB357" s="80"/>
      <c r="AC357" s="737">
        <f ca="1">MAX(0%,IF(U357&lt;&gt;0,MIN((W357-U357)/U357/'Underwriting Risk'!$E$27,'Premium and Reserve Risk'!$AC$341),'Premium and Reserve Risk'!$AC$341))</f>
        <v>0.1</v>
      </c>
      <c r="AD357" s="81"/>
      <c r="AE357" s="97"/>
      <c r="AF357" s="97"/>
      <c r="AG357" s="97"/>
      <c r="AH357" s="97"/>
    </row>
    <row r="358" spans="1:34" ht="13.5" customHeight="1" x14ac:dyDescent="0.25">
      <c r="A358" s="97"/>
      <c r="B358" s="257">
        <v>16</v>
      </c>
      <c r="C358" s="652"/>
      <c r="D358" s="80"/>
      <c r="E358" s="80"/>
      <c r="F358" s="258">
        <f t="shared" ca="1" si="14"/>
        <v>0</v>
      </c>
      <c r="G358" s="624"/>
      <c r="H358" s="85"/>
      <c r="I358" s="624"/>
      <c r="J358" s="85"/>
      <c r="K358" s="624"/>
      <c r="L358" s="85"/>
      <c r="M358" s="624"/>
      <c r="N358" s="85"/>
      <c r="O358" s="624"/>
      <c r="P358" s="85"/>
      <c r="Q358" s="626">
        <f t="shared" si="13"/>
        <v>0</v>
      </c>
      <c r="R358" s="85"/>
      <c r="S358" s="624"/>
      <c r="T358" s="260"/>
      <c r="U358" s="624"/>
      <c r="V358" s="85"/>
      <c r="W358" s="624"/>
      <c r="X358" s="81"/>
      <c r="Y358" s="80"/>
      <c r="Z358" s="737">
        <f ca="1">MAX(0%,IF(Q358&lt;&gt;0,MIN((S358-Q358)/Q358/'Underwriting Risk'!$E$27,'Premium and Reserve Risk'!$Z$341),'Premium and Reserve Risk'!$Z$341))</f>
        <v>6.4000000000000001E-2</v>
      </c>
      <c r="AA358" s="80"/>
      <c r="AB358" s="80"/>
      <c r="AC358" s="737">
        <f ca="1">MAX(0%,IF(U358&lt;&gt;0,MIN((W358-U358)/U358/'Underwriting Risk'!$E$27,'Premium and Reserve Risk'!$AC$341),'Premium and Reserve Risk'!$AC$341))</f>
        <v>0.1</v>
      </c>
      <c r="AD358" s="81"/>
      <c r="AE358" s="97"/>
      <c r="AF358" s="97"/>
      <c r="AG358" s="97"/>
      <c r="AH358" s="97"/>
    </row>
    <row r="359" spans="1:34" ht="13.5" customHeight="1" x14ac:dyDescent="0.25">
      <c r="A359" s="97"/>
      <c r="B359" s="257">
        <v>17</v>
      </c>
      <c r="C359" s="652"/>
      <c r="D359" s="80"/>
      <c r="E359" s="80"/>
      <c r="F359" s="258">
        <f t="shared" ca="1" si="14"/>
        <v>0</v>
      </c>
      <c r="G359" s="624"/>
      <c r="H359" s="85"/>
      <c r="I359" s="624"/>
      <c r="J359" s="85"/>
      <c r="K359" s="624"/>
      <c r="L359" s="85"/>
      <c r="M359" s="624"/>
      <c r="N359" s="85"/>
      <c r="O359" s="624"/>
      <c r="P359" s="85"/>
      <c r="Q359" s="626">
        <f t="shared" si="13"/>
        <v>0</v>
      </c>
      <c r="R359" s="85"/>
      <c r="S359" s="624"/>
      <c r="T359" s="260"/>
      <c r="U359" s="624"/>
      <c r="V359" s="85"/>
      <c r="W359" s="624"/>
      <c r="X359" s="81"/>
      <c r="Y359" s="80"/>
      <c r="Z359" s="737">
        <f ca="1">MAX(0%,IF(Q359&lt;&gt;0,MIN((S359-Q359)/Q359/'Underwriting Risk'!$E$27,'Premium and Reserve Risk'!$Z$341),'Premium and Reserve Risk'!$Z$341))</f>
        <v>6.4000000000000001E-2</v>
      </c>
      <c r="AA359" s="80"/>
      <c r="AB359" s="80"/>
      <c r="AC359" s="737">
        <f ca="1">MAX(0%,IF(U359&lt;&gt;0,MIN((W359-U359)/U359/'Underwriting Risk'!$E$27,'Premium and Reserve Risk'!$AC$341),'Premium and Reserve Risk'!$AC$341))</f>
        <v>0.1</v>
      </c>
      <c r="AD359" s="81"/>
      <c r="AE359" s="97"/>
      <c r="AF359" s="97"/>
      <c r="AG359" s="97"/>
      <c r="AH359" s="97"/>
    </row>
    <row r="360" spans="1:34" ht="13.5" customHeight="1" x14ac:dyDescent="0.25">
      <c r="A360" s="97"/>
      <c r="B360" s="257">
        <v>18</v>
      </c>
      <c r="C360" s="652"/>
      <c r="D360" s="80"/>
      <c r="E360" s="80"/>
      <c r="F360" s="258">
        <f t="shared" ca="1" si="14"/>
        <v>0</v>
      </c>
      <c r="G360" s="624"/>
      <c r="H360" s="85"/>
      <c r="I360" s="624"/>
      <c r="J360" s="85"/>
      <c r="K360" s="624"/>
      <c r="L360" s="85"/>
      <c r="M360" s="624"/>
      <c r="N360" s="85"/>
      <c r="O360" s="624"/>
      <c r="P360" s="85"/>
      <c r="Q360" s="626">
        <f t="shared" si="13"/>
        <v>0</v>
      </c>
      <c r="R360" s="85"/>
      <c r="S360" s="624"/>
      <c r="T360" s="260"/>
      <c r="U360" s="624"/>
      <c r="V360" s="85"/>
      <c r="W360" s="624"/>
      <c r="X360" s="81"/>
      <c r="Y360" s="80"/>
      <c r="Z360" s="737">
        <f ca="1">MAX(0%,IF(Q360&lt;&gt;0,MIN((S360-Q360)/Q360/'Underwriting Risk'!$E$27,'Premium and Reserve Risk'!$Z$341),'Premium and Reserve Risk'!$Z$341))</f>
        <v>6.4000000000000001E-2</v>
      </c>
      <c r="AA360" s="80"/>
      <c r="AB360" s="80"/>
      <c r="AC360" s="737">
        <f ca="1">MAX(0%,IF(U360&lt;&gt;0,MIN((W360-U360)/U360/'Underwriting Risk'!$E$27,'Premium and Reserve Risk'!$AC$341),'Premium and Reserve Risk'!$AC$341))</f>
        <v>0.1</v>
      </c>
      <c r="AD360" s="81"/>
      <c r="AE360" s="97"/>
      <c r="AF360" s="97"/>
      <c r="AG360" s="97"/>
      <c r="AH360" s="97"/>
    </row>
    <row r="361" spans="1:34" ht="13.5" customHeight="1" x14ac:dyDescent="0.25">
      <c r="A361" s="97"/>
      <c r="B361" s="257">
        <v>19</v>
      </c>
      <c r="C361" s="652"/>
      <c r="D361" s="80"/>
      <c r="E361" s="80"/>
      <c r="F361" s="258">
        <f t="shared" ca="1" si="14"/>
        <v>0</v>
      </c>
      <c r="G361" s="624"/>
      <c r="H361" s="85"/>
      <c r="I361" s="624"/>
      <c r="J361" s="85"/>
      <c r="K361" s="624"/>
      <c r="L361" s="85"/>
      <c r="M361" s="624"/>
      <c r="N361" s="85"/>
      <c r="O361" s="624"/>
      <c r="P361" s="85"/>
      <c r="Q361" s="626">
        <f t="shared" si="13"/>
        <v>0</v>
      </c>
      <c r="R361" s="85"/>
      <c r="S361" s="624"/>
      <c r="T361" s="260"/>
      <c r="U361" s="624"/>
      <c r="V361" s="85"/>
      <c r="W361" s="624"/>
      <c r="X361" s="81"/>
      <c r="Y361" s="80"/>
      <c r="Z361" s="737">
        <f ca="1">MAX(0%,IF(Q361&lt;&gt;0,MIN((S361-Q361)/Q361/'Underwriting Risk'!$E$27,'Premium and Reserve Risk'!$Z$341),'Premium and Reserve Risk'!$Z$341))</f>
        <v>6.4000000000000001E-2</v>
      </c>
      <c r="AA361" s="80"/>
      <c r="AB361" s="80"/>
      <c r="AC361" s="737">
        <f ca="1">MAX(0%,IF(U361&lt;&gt;0,MIN((W361-U361)/U361/'Underwriting Risk'!$E$27,'Premium and Reserve Risk'!$AC$341),'Premium and Reserve Risk'!$AC$341))</f>
        <v>0.1</v>
      </c>
      <c r="AD361" s="81"/>
      <c r="AE361" s="97"/>
      <c r="AF361" s="97"/>
      <c r="AG361" s="97"/>
      <c r="AH361" s="97"/>
    </row>
    <row r="362" spans="1:34" ht="13.5" customHeight="1" x14ac:dyDescent="0.25">
      <c r="A362" s="97"/>
      <c r="B362" s="257">
        <v>20</v>
      </c>
      <c r="C362" s="652"/>
      <c r="D362" s="80"/>
      <c r="E362" s="80"/>
      <c r="F362" s="258">
        <f t="shared" ca="1" si="14"/>
        <v>0</v>
      </c>
      <c r="G362" s="624"/>
      <c r="H362" s="85"/>
      <c r="I362" s="624"/>
      <c r="J362" s="85"/>
      <c r="K362" s="624"/>
      <c r="L362" s="85"/>
      <c r="M362" s="624"/>
      <c r="N362" s="85"/>
      <c r="O362" s="624"/>
      <c r="P362" s="85"/>
      <c r="Q362" s="626">
        <f t="shared" si="13"/>
        <v>0</v>
      </c>
      <c r="R362" s="85"/>
      <c r="S362" s="624"/>
      <c r="T362" s="260"/>
      <c r="U362" s="624"/>
      <c r="V362" s="85"/>
      <c r="W362" s="624"/>
      <c r="X362" s="81"/>
      <c r="Y362" s="80"/>
      <c r="Z362" s="737">
        <f ca="1">MAX(0%,IF(Q362&lt;&gt;0,MIN((S362-Q362)/Q362/'Underwriting Risk'!$E$27,'Premium and Reserve Risk'!$Z$341),'Premium and Reserve Risk'!$Z$341))</f>
        <v>6.4000000000000001E-2</v>
      </c>
      <c r="AA362" s="80"/>
      <c r="AB362" s="80"/>
      <c r="AC362" s="737">
        <f ca="1">MAX(0%,IF(U362&lt;&gt;0,MIN((W362-U362)/U362/'Underwriting Risk'!$E$27,'Premium and Reserve Risk'!$AC$341),'Premium and Reserve Risk'!$AC$341))</f>
        <v>0.1</v>
      </c>
      <c r="AD362" s="81"/>
      <c r="AE362" s="97"/>
      <c r="AF362" s="97"/>
      <c r="AG362" s="97"/>
      <c r="AH362" s="97"/>
    </row>
    <row r="363" spans="1:34" ht="13.5" customHeight="1" x14ac:dyDescent="0.25">
      <c r="A363" s="97"/>
      <c r="B363" s="257">
        <v>21</v>
      </c>
      <c r="C363" s="652"/>
      <c r="D363" s="80"/>
      <c r="E363" s="80"/>
      <c r="F363" s="258">
        <f t="shared" ca="1" si="14"/>
        <v>0</v>
      </c>
      <c r="G363" s="624"/>
      <c r="H363" s="85"/>
      <c r="I363" s="624"/>
      <c r="J363" s="85"/>
      <c r="K363" s="624"/>
      <c r="L363" s="85"/>
      <c r="M363" s="624"/>
      <c r="N363" s="85"/>
      <c r="O363" s="624"/>
      <c r="P363" s="85"/>
      <c r="Q363" s="626">
        <f t="shared" si="13"/>
        <v>0</v>
      </c>
      <c r="R363" s="85"/>
      <c r="S363" s="624"/>
      <c r="T363" s="260"/>
      <c r="U363" s="624"/>
      <c r="V363" s="85"/>
      <c r="W363" s="624"/>
      <c r="X363" s="81"/>
      <c r="Y363" s="80"/>
      <c r="Z363" s="737">
        <f ca="1">MAX(0%,IF(Q363&lt;&gt;0,MIN((S363-Q363)/Q363/'Underwriting Risk'!$E$27,'Premium and Reserve Risk'!$Z$341),'Premium and Reserve Risk'!$Z$341))</f>
        <v>6.4000000000000001E-2</v>
      </c>
      <c r="AA363" s="80"/>
      <c r="AB363" s="80"/>
      <c r="AC363" s="737">
        <f ca="1">MAX(0%,IF(U363&lt;&gt;0,MIN((W363-U363)/U363/'Underwriting Risk'!$E$27,'Premium and Reserve Risk'!$AC$341),'Premium and Reserve Risk'!$AC$341))</f>
        <v>0.1</v>
      </c>
      <c r="AD363" s="81"/>
      <c r="AE363" s="97"/>
      <c r="AF363" s="97"/>
      <c r="AG363" s="97"/>
      <c r="AH363" s="97"/>
    </row>
    <row r="364" spans="1:34" ht="13.5" customHeight="1" x14ac:dyDescent="0.25">
      <c r="A364" s="97"/>
      <c r="B364" s="257">
        <v>22</v>
      </c>
      <c r="C364" s="652"/>
      <c r="D364" s="80"/>
      <c r="E364" s="80"/>
      <c r="F364" s="258">
        <f t="shared" ca="1" si="14"/>
        <v>0</v>
      </c>
      <c r="G364" s="624"/>
      <c r="H364" s="85"/>
      <c r="I364" s="624"/>
      <c r="J364" s="85"/>
      <c r="K364" s="624"/>
      <c r="L364" s="85"/>
      <c r="M364" s="624"/>
      <c r="N364" s="85"/>
      <c r="O364" s="624"/>
      <c r="P364" s="85"/>
      <c r="Q364" s="626">
        <f t="shared" si="13"/>
        <v>0</v>
      </c>
      <c r="R364" s="85"/>
      <c r="S364" s="624"/>
      <c r="T364" s="260"/>
      <c r="U364" s="624"/>
      <c r="V364" s="85"/>
      <c r="W364" s="624"/>
      <c r="X364" s="81"/>
      <c r="Y364" s="80"/>
      <c r="Z364" s="737">
        <f ca="1">MAX(0%,IF(Q364&lt;&gt;0,MIN((S364-Q364)/Q364/'Underwriting Risk'!$E$27,'Premium and Reserve Risk'!$Z$341),'Premium and Reserve Risk'!$Z$341))</f>
        <v>6.4000000000000001E-2</v>
      </c>
      <c r="AA364" s="80"/>
      <c r="AB364" s="80"/>
      <c r="AC364" s="737">
        <f ca="1">MAX(0%,IF(U364&lt;&gt;0,MIN((W364-U364)/U364/'Underwriting Risk'!$E$27,'Premium and Reserve Risk'!$AC$341),'Premium and Reserve Risk'!$AC$341))</f>
        <v>0.1</v>
      </c>
      <c r="AD364" s="81"/>
      <c r="AE364" s="97"/>
      <c r="AF364" s="97"/>
      <c r="AG364" s="97"/>
      <c r="AH364" s="97"/>
    </row>
    <row r="365" spans="1:34" ht="13.5" customHeight="1" x14ac:dyDescent="0.25">
      <c r="A365" s="97"/>
      <c r="B365" s="257">
        <v>23</v>
      </c>
      <c r="C365" s="652"/>
      <c r="D365" s="80"/>
      <c r="E365" s="80"/>
      <c r="F365" s="258">
        <f t="shared" ca="1" si="14"/>
        <v>0</v>
      </c>
      <c r="G365" s="624"/>
      <c r="H365" s="85"/>
      <c r="I365" s="624"/>
      <c r="J365" s="85"/>
      <c r="K365" s="624"/>
      <c r="L365" s="85"/>
      <c r="M365" s="624"/>
      <c r="N365" s="85"/>
      <c r="O365" s="624"/>
      <c r="P365" s="85"/>
      <c r="Q365" s="626">
        <f t="shared" si="13"/>
        <v>0</v>
      </c>
      <c r="R365" s="85"/>
      <c r="S365" s="624"/>
      <c r="T365" s="260"/>
      <c r="U365" s="624"/>
      <c r="V365" s="85"/>
      <c r="W365" s="624"/>
      <c r="X365" s="81"/>
      <c r="Y365" s="80"/>
      <c r="Z365" s="737">
        <f ca="1">MAX(0%,IF(Q365&lt;&gt;0,MIN((S365-Q365)/Q365/'Underwriting Risk'!$E$27,'Premium and Reserve Risk'!$Z$341),'Premium and Reserve Risk'!$Z$341))</f>
        <v>6.4000000000000001E-2</v>
      </c>
      <c r="AA365" s="80"/>
      <c r="AB365" s="80"/>
      <c r="AC365" s="737">
        <f ca="1">MAX(0%,IF(U365&lt;&gt;0,MIN((W365-U365)/U365/'Underwriting Risk'!$E$27,'Premium and Reserve Risk'!$AC$341),'Premium and Reserve Risk'!$AC$341))</f>
        <v>0.1</v>
      </c>
      <c r="AD365" s="81"/>
      <c r="AE365" s="97"/>
      <c r="AF365" s="97"/>
      <c r="AG365" s="97"/>
      <c r="AH365" s="97"/>
    </row>
    <row r="366" spans="1:34" ht="13.5" customHeight="1" x14ac:dyDescent="0.25">
      <c r="A366" s="97"/>
      <c r="B366" s="257">
        <v>24</v>
      </c>
      <c r="C366" s="652"/>
      <c r="D366" s="80"/>
      <c r="E366" s="80"/>
      <c r="F366" s="258">
        <f t="shared" ca="1" si="14"/>
        <v>0</v>
      </c>
      <c r="G366" s="624"/>
      <c r="H366" s="85"/>
      <c r="I366" s="624"/>
      <c r="J366" s="85"/>
      <c r="K366" s="624"/>
      <c r="L366" s="85"/>
      <c r="M366" s="624"/>
      <c r="N366" s="85"/>
      <c r="O366" s="624"/>
      <c r="P366" s="85"/>
      <c r="Q366" s="626">
        <f t="shared" si="13"/>
        <v>0</v>
      </c>
      <c r="R366" s="85"/>
      <c r="S366" s="624"/>
      <c r="T366" s="260"/>
      <c r="U366" s="624"/>
      <c r="V366" s="85"/>
      <c r="W366" s="624"/>
      <c r="X366" s="81"/>
      <c r="Y366" s="80"/>
      <c r="Z366" s="737">
        <f ca="1">MAX(0%,IF(Q366&lt;&gt;0,MIN((S366-Q366)/Q366/'Underwriting Risk'!$E$27,'Premium and Reserve Risk'!$Z$341),'Premium and Reserve Risk'!$Z$341))</f>
        <v>6.4000000000000001E-2</v>
      </c>
      <c r="AA366" s="80"/>
      <c r="AB366" s="80"/>
      <c r="AC366" s="737">
        <f ca="1">MAX(0%,IF(U366&lt;&gt;0,MIN((W366-U366)/U366/'Underwriting Risk'!$E$27,'Premium and Reserve Risk'!$AC$341),'Premium and Reserve Risk'!$AC$341))</f>
        <v>0.1</v>
      </c>
      <c r="AD366" s="81"/>
      <c r="AE366" s="97"/>
      <c r="AF366" s="97"/>
      <c r="AG366" s="97"/>
      <c r="AH366" s="97"/>
    </row>
    <row r="367" spans="1:34" ht="13.5" customHeight="1" x14ac:dyDescent="0.25">
      <c r="A367" s="97"/>
      <c r="B367" s="257">
        <v>25</v>
      </c>
      <c r="C367" s="652"/>
      <c r="D367" s="80"/>
      <c r="E367" s="80"/>
      <c r="F367" s="258">
        <f t="shared" ca="1" si="14"/>
        <v>0</v>
      </c>
      <c r="G367" s="624"/>
      <c r="H367" s="85"/>
      <c r="I367" s="624"/>
      <c r="J367" s="85"/>
      <c r="K367" s="624"/>
      <c r="L367" s="85"/>
      <c r="M367" s="624"/>
      <c r="N367" s="85"/>
      <c r="O367" s="624"/>
      <c r="P367" s="85"/>
      <c r="Q367" s="626">
        <f t="shared" si="13"/>
        <v>0</v>
      </c>
      <c r="R367" s="85"/>
      <c r="S367" s="624"/>
      <c r="T367" s="260"/>
      <c r="U367" s="624"/>
      <c r="V367" s="85"/>
      <c r="W367" s="624"/>
      <c r="X367" s="81"/>
      <c r="Y367" s="80"/>
      <c r="Z367" s="737">
        <f ca="1">MAX(0%,IF(Q367&lt;&gt;0,MIN((S367-Q367)/Q367/'Underwriting Risk'!$E$27,'Premium and Reserve Risk'!$Z$341),'Premium and Reserve Risk'!$Z$341))</f>
        <v>6.4000000000000001E-2</v>
      </c>
      <c r="AA367" s="80"/>
      <c r="AB367" s="80"/>
      <c r="AC367" s="737">
        <f ca="1">MAX(0%,IF(U367&lt;&gt;0,MIN((W367-U367)/U367/'Underwriting Risk'!$E$27,'Premium and Reserve Risk'!$AC$341),'Premium and Reserve Risk'!$AC$341))</f>
        <v>0.1</v>
      </c>
      <c r="AD367" s="81"/>
      <c r="AE367" s="97"/>
      <c r="AF367" s="97"/>
      <c r="AG367" s="97"/>
      <c r="AH367" s="97"/>
    </row>
    <row r="368" spans="1:34" ht="13.5" customHeight="1" x14ac:dyDescent="0.25">
      <c r="A368" s="97"/>
      <c r="B368" s="257">
        <v>26</v>
      </c>
      <c r="C368" s="652"/>
      <c r="D368" s="80"/>
      <c r="E368" s="80"/>
      <c r="F368" s="258">
        <f t="shared" ca="1" si="14"/>
        <v>0</v>
      </c>
      <c r="G368" s="624"/>
      <c r="H368" s="85"/>
      <c r="I368" s="624"/>
      <c r="J368" s="85"/>
      <c r="K368" s="624"/>
      <c r="L368" s="85"/>
      <c r="M368" s="624"/>
      <c r="N368" s="85"/>
      <c r="O368" s="624"/>
      <c r="P368" s="85"/>
      <c r="Q368" s="626">
        <f t="shared" si="13"/>
        <v>0</v>
      </c>
      <c r="R368" s="85"/>
      <c r="S368" s="624"/>
      <c r="T368" s="260"/>
      <c r="U368" s="624"/>
      <c r="V368" s="85"/>
      <c r="W368" s="624"/>
      <c r="X368" s="81"/>
      <c r="Y368" s="80"/>
      <c r="Z368" s="737">
        <f ca="1">MAX(0%,IF(Q368&lt;&gt;0,MIN((S368-Q368)/Q368/'Underwriting Risk'!$E$27,'Premium and Reserve Risk'!$Z$341),'Premium and Reserve Risk'!$Z$341))</f>
        <v>6.4000000000000001E-2</v>
      </c>
      <c r="AA368" s="80"/>
      <c r="AB368" s="80"/>
      <c r="AC368" s="737">
        <f ca="1">MAX(0%,IF(U368&lt;&gt;0,MIN((W368-U368)/U368/'Underwriting Risk'!$E$27,'Premium and Reserve Risk'!$AC$341),'Premium and Reserve Risk'!$AC$341))</f>
        <v>0.1</v>
      </c>
      <c r="AD368" s="81"/>
      <c r="AE368" s="97"/>
      <c r="AF368" s="97"/>
      <c r="AG368" s="97"/>
      <c r="AH368" s="97"/>
    </row>
    <row r="369" spans="1:34" ht="13.5" customHeight="1" x14ac:dyDescent="0.25">
      <c r="A369" s="97"/>
      <c r="B369" s="257">
        <v>27</v>
      </c>
      <c r="C369" s="652"/>
      <c r="D369" s="80"/>
      <c r="E369" s="80"/>
      <c r="F369" s="258">
        <f t="shared" ca="1" si="14"/>
        <v>0</v>
      </c>
      <c r="G369" s="624"/>
      <c r="H369" s="85"/>
      <c r="I369" s="624"/>
      <c r="J369" s="85"/>
      <c r="K369" s="624"/>
      <c r="L369" s="85"/>
      <c r="M369" s="624"/>
      <c r="N369" s="85"/>
      <c r="O369" s="624"/>
      <c r="P369" s="85"/>
      <c r="Q369" s="626">
        <f t="shared" si="13"/>
        <v>0</v>
      </c>
      <c r="R369" s="85"/>
      <c r="S369" s="624"/>
      <c r="T369" s="260"/>
      <c r="U369" s="624"/>
      <c r="V369" s="85"/>
      <c r="W369" s="624"/>
      <c r="X369" s="81"/>
      <c r="Y369" s="80"/>
      <c r="Z369" s="737">
        <f ca="1">MAX(0%,IF(Q369&lt;&gt;0,MIN((S369-Q369)/Q369/'Underwriting Risk'!$E$27,'Premium and Reserve Risk'!$Z$341),'Premium and Reserve Risk'!$Z$341))</f>
        <v>6.4000000000000001E-2</v>
      </c>
      <c r="AA369" s="80"/>
      <c r="AB369" s="80"/>
      <c r="AC369" s="737">
        <f ca="1">MAX(0%,IF(U369&lt;&gt;0,MIN((W369-U369)/U369/'Underwriting Risk'!$E$27,'Premium and Reserve Risk'!$AC$341),'Premium and Reserve Risk'!$AC$341))</f>
        <v>0.1</v>
      </c>
      <c r="AD369" s="81"/>
      <c r="AE369" s="97"/>
      <c r="AF369" s="97"/>
      <c r="AG369" s="97"/>
      <c r="AH369" s="97"/>
    </row>
    <row r="370" spans="1:34" ht="13.5" customHeight="1" x14ac:dyDescent="0.25">
      <c r="A370" s="97"/>
      <c r="B370" s="257">
        <v>28</v>
      </c>
      <c r="C370" s="652"/>
      <c r="D370" s="80"/>
      <c r="E370" s="80"/>
      <c r="F370" s="258">
        <f t="shared" ca="1" si="14"/>
        <v>0</v>
      </c>
      <c r="G370" s="624"/>
      <c r="H370" s="85"/>
      <c r="I370" s="624"/>
      <c r="J370" s="85"/>
      <c r="K370" s="624"/>
      <c r="L370" s="85"/>
      <c r="M370" s="624"/>
      <c r="N370" s="85"/>
      <c r="O370" s="624"/>
      <c r="P370" s="85"/>
      <c r="Q370" s="626">
        <f t="shared" si="13"/>
        <v>0</v>
      </c>
      <c r="R370" s="85"/>
      <c r="S370" s="624"/>
      <c r="T370" s="260"/>
      <c r="U370" s="624"/>
      <c r="V370" s="85"/>
      <c r="W370" s="624"/>
      <c r="X370" s="81"/>
      <c r="Y370" s="80"/>
      <c r="Z370" s="737">
        <f ca="1">MAX(0%,IF(Q370&lt;&gt;0,MIN((S370-Q370)/Q370/'Underwriting Risk'!$E$27,'Premium and Reserve Risk'!$Z$341),'Premium and Reserve Risk'!$Z$341))</f>
        <v>6.4000000000000001E-2</v>
      </c>
      <c r="AA370" s="80"/>
      <c r="AB370" s="80"/>
      <c r="AC370" s="737">
        <f ca="1">MAX(0%,IF(U370&lt;&gt;0,MIN((W370-U370)/U370/'Underwriting Risk'!$E$27,'Premium and Reserve Risk'!$AC$341),'Premium and Reserve Risk'!$AC$341))</f>
        <v>0.1</v>
      </c>
      <c r="AD370" s="81"/>
      <c r="AE370" s="97"/>
      <c r="AF370" s="97"/>
      <c r="AG370" s="97"/>
      <c r="AH370" s="97"/>
    </row>
    <row r="371" spans="1:34" ht="13.5" customHeight="1" x14ac:dyDescent="0.25">
      <c r="A371" s="97"/>
      <c r="B371" s="257">
        <v>29</v>
      </c>
      <c r="C371" s="652"/>
      <c r="D371" s="80"/>
      <c r="E371" s="80"/>
      <c r="F371" s="258">
        <f t="shared" ca="1" si="14"/>
        <v>0</v>
      </c>
      <c r="G371" s="624"/>
      <c r="H371" s="85"/>
      <c r="I371" s="624"/>
      <c r="J371" s="85"/>
      <c r="K371" s="624"/>
      <c r="L371" s="85"/>
      <c r="M371" s="624"/>
      <c r="N371" s="85"/>
      <c r="O371" s="624"/>
      <c r="P371" s="85"/>
      <c r="Q371" s="626">
        <f t="shared" si="13"/>
        <v>0</v>
      </c>
      <c r="R371" s="85"/>
      <c r="S371" s="624"/>
      <c r="T371" s="260"/>
      <c r="U371" s="624"/>
      <c r="V371" s="85"/>
      <c r="W371" s="624"/>
      <c r="X371" s="81"/>
      <c r="Y371" s="80"/>
      <c r="Z371" s="737">
        <f ca="1">MAX(0%,IF(Q371&lt;&gt;0,MIN((S371-Q371)/Q371/'Underwriting Risk'!$E$27,'Premium and Reserve Risk'!$Z$341),'Premium and Reserve Risk'!$Z$341))</f>
        <v>6.4000000000000001E-2</v>
      </c>
      <c r="AA371" s="80"/>
      <c r="AB371" s="80"/>
      <c r="AC371" s="737">
        <f ca="1">MAX(0%,IF(U371&lt;&gt;0,MIN((W371-U371)/U371/'Underwriting Risk'!$E$27,'Premium and Reserve Risk'!$AC$341),'Premium and Reserve Risk'!$AC$341))</f>
        <v>0.1</v>
      </c>
      <c r="AD371" s="81"/>
      <c r="AE371" s="97"/>
      <c r="AF371" s="97"/>
      <c r="AG371" s="97"/>
      <c r="AH371" s="97"/>
    </row>
    <row r="372" spans="1:34" ht="13.5" customHeight="1" x14ac:dyDescent="0.25">
      <c r="A372" s="97"/>
      <c r="B372" s="257">
        <v>30</v>
      </c>
      <c r="C372" s="652"/>
      <c r="D372" s="80"/>
      <c r="E372" s="80"/>
      <c r="F372" s="258">
        <f t="shared" ca="1" si="14"/>
        <v>0</v>
      </c>
      <c r="G372" s="624"/>
      <c r="H372" s="85"/>
      <c r="I372" s="624"/>
      <c r="J372" s="85"/>
      <c r="K372" s="624"/>
      <c r="L372" s="85"/>
      <c r="M372" s="624"/>
      <c r="N372" s="85"/>
      <c r="O372" s="624"/>
      <c r="P372" s="85"/>
      <c r="Q372" s="626">
        <f t="shared" si="13"/>
        <v>0</v>
      </c>
      <c r="R372" s="85"/>
      <c r="S372" s="624"/>
      <c r="T372" s="260"/>
      <c r="U372" s="624"/>
      <c r="V372" s="85"/>
      <c r="W372" s="624"/>
      <c r="X372" s="81"/>
      <c r="Y372" s="80"/>
      <c r="Z372" s="737">
        <f ca="1">MAX(0%,IF(Q372&lt;&gt;0,MIN((S372-Q372)/Q372/'Underwriting Risk'!$E$27,'Premium and Reserve Risk'!$Z$341),'Premium and Reserve Risk'!$Z$341))</f>
        <v>6.4000000000000001E-2</v>
      </c>
      <c r="AA372" s="80"/>
      <c r="AB372" s="80"/>
      <c r="AC372" s="737">
        <f ca="1">MAX(0%,IF(U372&lt;&gt;0,MIN((W372-U372)/U372/'Underwriting Risk'!$E$27,'Premium and Reserve Risk'!$AC$341),'Premium and Reserve Risk'!$AC$341))</f>
        <v>0.1</v>
      </c>
      <c r="AD372" s="81"/>
      <c r="AE372" s="97"/>
      <c r="AF372" s="97"/>
      <c r="AG372" s="97"/>
      <c r="AH372" s="97"/>
    </row>
    <row r="373" spans="1:34" ht="13.5" customHeight="1" x14ac:dyDescent="0.25">
      <c r="A373" s="97"/>
      <c r="B373" s="257">
        <v>31</v>
      </c>
      <c r="C373" s="652"/>
      <c r="D373" s="80"/>
      <c r="E373" s="80"/>
      <c r="F373" s="258">
        <f t="shared" ca="1" si="14"/>
        <v>0</v>
      </c>
      <c r="G373" s="624"/>
      <c r="H373" s="85"/>
      <c r="I373" s="624"/>
      <c r="J373" s="85"/>
      <c r="K373" s="624"/>
      <c r="L373" s="85"/>
      <c r="M373" s="624"/>
      <c r="N373" s="85"/>
      <c r="O373" s="624"/>
      <c r="P373" s="85"/>
      <c r="Q373" s="626">
        <f t="shared" si="13"/>
        <v>0</v>
      </c>
      <c r="R373" s="85"/>
      <c r="S373" s="624"/>
      <c r="T373" s="260"/>
      <c r="U373" s="624"/>
      <c r="V373" s="85"/>
      <c r="W373" s="624"/>
      <c r="X373" s="81"/>
      <c r="Y373" s="80"/>
      <c r="Z373" s="737">
        <f ca="1">MAX(0%,IF(Q373&lt;&gt;0,MIN((S373-Q373)/Q373/'Underwriting Risk'!$E$27,'Premium and Reserve Risk'!$Z$341),'Premium and Reserve Risk'!$Z$341))</f>
        <v>6.4000000000000001E-2</v>
      </c>
      <c r="AA373" s="80"/>
      <c r="AB373" s="80"/>
      <c r="AC373" s="737">
        <f ca="1">MAX(0%,IF(U373&lt;&gt;0,MIN((W373-U373)/U373/'Underwriting Risk'!$E$27,'Premium and Reserve Risk'!$AC$341),'Premium and Reserve Risk'!$AC$341))</f>
        <v>0.1</v>
      </c>
      <c r="AD373" s="81"/>
      <c r="AE373" s="97"/>
      <c r="AF373" s="97"/>
      <c r="AG373" s="97"/>
      <c r="AH373" s="97"/>
    </row>
    <row r="374" spans="1:34" ht="13.5" customHeight="1" x14ac:dyDescent="0.25">
      <c r="A374" s="97"/>
      <c r="B374" s="257">
        <v>32</v>
      </c>
      <c r="C374" s="652"/>
      <c r="D374" s="80"/>
      <c r="E374" s="80"/>
      <c r="F374" s="258">
        <f t="shared" ca="1" si="14"/>
        <v>0</v>
      </c>
      <c r="G374" s="624"/>
      <c r="H374" s="85"/>
      <c r="I374" s="624"/>
      <c r="J374" s="85"/>
      <c r="K374" s="624"/>
      <c r="L374" s="85"/>
      <c r="M374" s="624"/>
      <c r="N374" s="85"/>
      <c r="O374" s="624"/>
      <c r="P374" s="85"/>
      <c r="Q374" s="626">
        <f t="shared" si="13"/>
        <v>0</v>
      </c>
      <c r="R374" s="85"/>
      <c r="S374" s="624"/>
      <c r="T374" s="260"/>
      <c r="U374" s="624"/>
      <c r="V374" s="85"/>
      <c r="W374" s="624"/>
      <c r="X374" s="81"/>
      <c r="Y374" s="80"/>
      <c r="Z374" s="737">
        <f ca="1">MAX(0%,IF(Q374&lt;&gt;0,MIN((S374-Q374)/Q374/'Underwriting Risk'!$E$27,'Premium and Reserve Risk'!$Z$341),'Premium and Reserve Risk'!$Z$341))</f>
        <v>6.4000000000000001E-2</v>
      </c>
      <c r="AA374" s="80"/>
      <c r="AB374" s="80"/>
      <c r="AC374" s="737">
        <f ca="1">MAX(0%,IF(U374&lt;&gt;0,MIN((W374-U374)/U374/'Underwriting Risk'!$E$27,'Premium and Reserve Risk'!$AC$341),'Premium and Reserve Risk'!$AC$341))</f>
        <v>0.1</v>
      </c>
      <c r="AD374" s="81"/>
      <c r="AE374" s="97"/>
      <c r="AF374" s="97"/>
      <c r="AG374" s="97"/>
      <c r="AH374" s="97"/>
    </row>
    <row r="375" spans="1:34" ht="13.5" customHeight="1" x14ac:dyDescent="0.25">
      <c r="A375" s="97"/>
      <c r="B375" s="257">
        <v>33</v>
      </c>
      <c r="C375" s="652"/>
      <c r="D375" s="80"/>
      <c r="E375" s="80"/>
      <c r="F375" s="258">
        <f t="shared" ca="1" si="14"/>
        <v>0</v>
      </c>
      <c r="G375" s="624"/>
      <c r="H375" s="85"/>
      <c r="I375" s="624"/>
      <c r="J375" s="85"/>
      <c r="K375" s="624"/>
      <c r="L375" s="85"/>
      <c r="M375" s="624"/>
      <c r="N375" s="85"/>
      <c r="O375" s="624"/>
      <c r="P375" s="85"/>
      <c r="Q375" s="626">
        <f t="shared" si="13"/>
        <v>0</v>
      </c>
      <c r="R375" s="85"/>
      <c r="S375" s="624"/>
      <c r="T375" s="260"/>
      <c r="U375" s="624"/>
      <c r="V375" s="85"/>
      <c r="W375" s="624"/>
      <c r="X375" s="81"/>
      <c r="Y375" s="80"/>
      <c r="Z375" s="737">
        <f ca="1">MAX(0%,IF(Q375&lt;&gt;0,MIN((S375-Q375)/Q375/'Underwriting Risk'!$E$27,'Premium and Reserve Risk'!$Z$341),'Premium and Reserve Risk'!$Z$341))</f>
        <v>6.4000000000000001E-2</v>
      </c>
      <c r="AA375" s="80"/>
      <c r="AB375" s="80"/>
      <c r="AC375" s="737">
        <f ca="1">MAX(0%,IF(U375&lt;&gt;0,MIN((W375-U375)/U375/'Underwriting Risk'!$E$27,'Premium and Reserve Risk'!$AC$341),'Premium and Reserve Risk'!$AC$341))</f>
        <v>0.1</v>
      </c>
      <c r="AD375" s="81"/>
      <c r="AE375" s="97"/>
      <c r="AF375" s="97"/>
      <c r="AG375" s="97"/>
      <c r="AH375" s="97"/>
    </row>
    <row r="376" spans="1:34" ht="13.5" customHeight="1" x14ac:dyDescent="0.25">
      <c r="A376" s="97"/>
      <c r="B376" s="257">
        <v>34</v>
      </c>
      <c r="C376" s="652"/>
      <c r="D376" s="80"/>
      <c r="E376" s="80"/>
      <c r="F376" s="258">
        <f t="shared" ca="1" si="14"/>
        <v>0</v>
      </c>
      <c r="G376" s="624"/>
      <c r="H376" s="85"/>
      <c r="I376" s="624"/>
      <c r="J376" s="85"/>
      <c r="K376" s="624"/>
      <c r="L376" s="85"/>
      <c r="M376" s="624"/>
      <c r="N376" s="85"/>
      <c r="O376" s="624"/>
      <c r="P376" s="85"/>
      <c r="Q376" s="626">
        <f t="shared" si="13"/>
        <v>0</v>
      </c>
      <c r="R376" s="85"/>
      <c r="S376" s="624"/>
      <c r="T376" s="260"/>
      <c r="U376" s="624"/>
      <c r="V376" s="85"/>
      <c r="W376" s="624"/>
      <c r="X376" s="81"/>
      <c r="Y376" s="80"/>
      <c r="Z376" s="737">
        <f ca="1">MAX(0%,IF(Q376&lt;&gt;0,MIN((S376-Q376)/Q376/'Underwriting Risk'!$E$27,'Premium and Reserve Risk'!$Z$341),'Premium and Reserve Risk'!$Z$341))</f>
        <v>6.4000000000000001E-2</v>
      </c>
      <c r="AA376" s="80"/>
      <c r="AB376" s="80"/>
      <c r="AC376" s="737">
        <f ca="1">MAX(0%,IF(U376&lt;&gt;0,MIN((W376-U376)/U376/'Underwriting Risk'!$E$27,'Premium and Reserve Risk'!$AC$341),'Premium and Reserve Risk'!$AC$341))</f>
        <v>0.1</v>
      </c>
      <c r="AD376" s="81"/>
      <c r="AE376" s="97"/>
      <c r="AF376" s="97"/>
      <c r="AG376" s="97"/>
      <c r="AH376" s="97"/>
    </row>
    <row r="377" spans="1:34" ht="13.5" customHeight="1" x14ac:dyDescent="0.25">
      <c r="A377" s="97"/>
      <c r="B377" s="257">
        <v>35</v>
      </c>
      <c r="C377" s="652"/>
      <c r="D377" s="80"/>
      <c r="E377" s="80"/>
      <c r="F377" s="258">
        <f t="shared" ca="1" si="14"/>
        <v>0</v>
      </c>
      <c r="G377" s="624"/>
      <c r="H377" s="85"/>
      <c r="I377" s="624"/>
      <c r="J377" s="85"/>
      <c r="K377" s="624"/>
      <c r="L377" s="85"/>
      <c r="M377" s="624"/>
      <c r="N377" s="85"/>
      <c r="O377" s="624"/>
      <c r="P377" s="85"/>
      <c r="Q377" s="626">
        <f t="shared" si="13"/>
        <v>0</v>
      </c>
      <c r="R377" s="85"/>
      <c r="S377" s="624"/>
      <c r="T377" s="260"/>
      <c r="U377" s="624"/>
      <c r="V377" s="85"/>
      <c r="W377" s="624"/>
      <c r="X377" s="81"/>
      <c r="Y377" s="80"/>
      <c r="Z377" s="737">
        <f ca="1">MAX(0%,IF(Q377&lt;&gt;0,MIN((S377-Q377)/Q377/'Underwriting Risk'!$E$27,'Premium and Reserve Risk'!$Z$341),'Premium and Reserve Risk'!$Z$341))</f>
        <v>6.4000000000000001E-2</v>
      </c>
      <c r="AA377" s="80"/>
      <c r="AB377" s="80"/>
      <c r="AC377" s="737">
        <f ca="1">MAX(0%,IF(U377&lt;&gt;0,MIN((W377-U377)/U377/'Underwriting Risk'!$E$27,'Premium and Reserve Risk'!$AC$341),'Premium and Reserve Risk'!$AC$341))</f>
        <v>0.1</v>
      </c>
      <c r="AD377" s="81"/>
      <c r="AE377" s="97"/>
      <c r="AF377" s="97"/>
      <c r="AG377" s="97"/>
      <c r="AH377" s="97"/>
    </row>
    <row r="378" spans="1:34" ht="13.5" customHeight="1" x14ac:dyDescent="0.25">
      <c r="A378" s="97"/>
      <c r="B378" s="257">
        <v>36</v>
      </c>
      <c r="C378" s="652"/>
      <c r="D378" s="80"/>
      <c r="E378" s="80"/>
      <c r="F378" s="258">
        <f t="shared" ca="1" si="14"/>
        <v>0</v>
      </c>
      <c r="G378" s="624"/>
      <c r="H378" s="85"/>
      <c r="I378" s="624"/>
      <c r="J378" s="85"/>
      <c r="K378" s="624"/>
      <c r="L378" s="85"/>
      <c r="M378" s="624"/>
      <c r="N378" s="85"/>
      <c r="O378" s="624"/>
      <c r="P378" s="85"/>
      <c r="Q378" s="626">
        <f t="shared" si="13"/>
        <v>0</v>
      </c>
      <c r="R378" s="85"/>
      <c r="S378" s="624"/>
      <c r="T378" s="260"/>
      <c r="U378" s="624"/>
      <c r="V378" s="85"/>
      <c r="W378" s="624"/>
      <c r="X378" s="81"/>
      <c r="Y378" s="80"/>
      <c r="Z378" s="737">
        <f ca="1">MAX(0%,IF(Q378&lt;&gt;0,MIN((S378-Q378)/Q378/'Underwriting Risk'!$E$27,'Premium and Reserve Risk'!$Z$341),'Premium and Reserve Risk'!$Z$341))</f>
        <v>6.4000000000000001E-2</v>
      </c>
      <c r="AA378" s="80"/>
      <c r="AB378" s="80"/>
      <c r="AC378" s="737">
        <f ca="1">MAX(0%,IF(U378&lt;&gt;0,MIN((W378-U378)/U378/'Underwriting Risk'!$E$27,'Premium and Reserve Risk'!$AC$341),'Premium and Reserve Risk'!$AC$341))</f>
        <v>0.1</v>
      </c>
      <c r="AD378" s="81"/>
      <c r="AE378" s="97"/>
      <c r="AF378" s="97"/>
      <c r="AG378" s="97"/>
      <c r="AH378" s="97"/>
    </row>
    <row r="379" spans="1:34" ht="13.5" customHeight="1" x14ac:dyDescent="0.25">
      <c r="A379" s="97"/>
      <c r="B379" s="257">
        <v>37</v>
      </c>
      <c r="C379" s="652"/>
      <c r="D379" s="80"/>
      <c r="E379" s="80"/>
      <c r="F379" s="258">
        <f t="shared" ca="1" si="14"/>
        <v>0</v>
      </c>
      <c r="G379" s="624"/>
      <c r="H379" s="85"/>
      <c r="I379" s="624"/>
      <c r="J379" s="85"/>
      <c r="K379" s="624"/>
      <c r="L379" s="85"/>
      <c r="M379" s="624"/>
      <c r="N379" s="85"/>
      <c r="O379" s="624"/>
      <c r="P379" s="85"/>
      <c r="Q379" s="626">
        <f t="shared" si="13"/>
        <v>0</v>
      </c>
      <c r="R379" s="85"/>
      <c r="S379" s="624"/>
      <c r="T379" s="260"/>
      <c r="U379" s="624"/>
      <c r="V379" s="85"/>
      <c r="W379" s="624"/>
      <c r="X379" s="81"/>
      <c r="Y379" s="80"/>
      <c r="Z379" s="737">
        <f ca="1">MAX(0%,IF(Q379&lt;&gt;0,MIN((S379-Q379)/Q379/'Underwriting Risk'!$E$27,'Premium and Reserve Risk'!$Z$341),'Premium and Reserve Risk'!$Z$341))</f>
        <v>6.4000000000000001E-2</v>
      </c>
      <c r="AA379" s="80"/>
      <c r="AB379" s="80"/>
      <c r="AC379" s="737">
        <f ca="1">MAX(0%,IF(U379&lt;&gt;0,MIN((W379-U379)/U379/'Underwriting Risk'!$E$27,'Premium and Reserve Risk'!$AC$341),'Premium and Reserve Risk'!$AC$341))</f>
        <v>0.1</v>
      </c>
      <c r="AD379" s="81"/>
      <c r="AE379" s="97"/>
      <c r="AF379" s="97"/>
      <c r="AG379" s="97"/>
      <c r="AH379" s="97"/>
    </row>
    <row r="380" spans="1:34" ht="13.5" customHeight="1" x14ac:dyDescent="0.25">
      <c r="A380" s="97"/>
      <c r="B380" s="257">
        <v>38</v>
      </c>
      <c r="C380" s="652"/>
      <c r="D380" s="80"/>
      <c r="E380" s="80"/>
      <c r="F380" s="258">
        <f t="shared" ca="1" si="14"/>
        <v>0</v>
      </c>
      <c r="G380" s="624"/>
      <c r="H380" s="85"/>
      <c r="I380" s="624"/>
      <c r="J380" s="85"/>
      <c r="K380" s="624"/>
      <c r="L380" s="85"/>
      <c r="M380" s="624"/>
      <c r="N380" s="85"/>
      <c r="O380" s="624"/>
      <c r="P380" s="85"/>
      <c r="Q380" s="626">
        <f t="shared" si="13"/>
        <v>0</v>
      </c>
      <c r="R380" s="85"/>
      <c r="S380" s="624"/>
      <c r="T380" s="260"/>
      <c r="U380" s="624"/>
      <c r="V380" s="85"/>
      <c r="W380" s="624"/>
      <c r="X380" s="81"/>
      <c r="Y380" s="80"/>
      <c r="Z380" s="737">
        <f ca="1">MAX(0%,IF(Q380&lt;&gt;0,MIN((S380-Q380)/Q380/'Underwriting Risk'!$E$27,'Premium and Reserve Risk'!$Z$341),'Premium and Reserve Risk'!$Z$341))</f>
        <v>6.4000000000000001E-2</v>
      </c>
      <c r="AA380" s="80"/>
      <c r="AB380" s="80"/>
      <c r="AC380" s="737">
        <f ca="1">MAX(0%,IF(U380&lt;&gt;0,MIN((W380-U380)/U380/'Underwriting Risk'!$E$27,'Premium and Reserve Risk'!$AC$341),'Premium and Reserve Risk'!$AC$341))</f>
        <v>0.1</v>
      </c>
      <c r="AD380" s="81"/>
      <c r="AE380" s="97"/>
      <c r="AF380" s="97"/>
      <c r="AG380" s="97"/>
      <c r="AH380" s="97"/>
    </row>
    <row r="381" spans="1:34" ht="13.5" customHeight="1" x14ac:dyDescent="0.25">
      <c r="A381" s="97"/>
      <c r="B381" s="257">
        <v>39</v>
      </c>
      <c r="C381" s="652"/>
      <c r="D381" s="80"/>
      <c r="E381" s="80"/>
      <c r="F381" s="258">
        <f t="shared" ca="1" si="14"/>
        <v>0</v>
      </c>
      <c r="G381" s="624"/>
      <c r="H381" s="85"/>
      <c r="I381" s="624"/>
      <c r="J381" s="85"/>
      <c r="K381" s="624"/>
      <c r="L381" s="85"/>
      <c r="M381" s="624"/>
      <c r="N381" s="85"/>
      <c r="O381" s="624"/>
      <c r="P381" s="85"/>
      <c r="Q381" s="626">
        <f t="shared" si="13"/>
        <v>0</v>
      </c>
      <c r="R381" s="85"/>
      <c r="S381" s="624"/>
      <c r="T381" s="260"/>
      <c r="U381" s="624"/>
      <c r="V381" s="85"/>
      <c r="W381" s="624"/>
      <c r="X381" s="81"/>
      <c r="Y381" s="80"/>
      <c r="Z381" s="737">
        <f ca="1">MAX(0%,IF(Q381&lt;&gt;0,MIN((S381-Q381)/Q381/'Underwriting Risk'!$E$27,'Premium and Reserve Risk'!$Z$341),'Premium and Reserve Risk'!$Z$341))</f>
        <v>6.4000000000000001E-2</v>
      </c>
      <c r="AA381" s="80"/>
      <c r="AB381" s="80"/>
      <c r="AC381" s="737">
        <f ca="1">MAX(0%,IF(U381&lt;&gt;0,MIN((W381-U381)/U381/'Underwriting Risk'!$E$27,'Premium and Reserve Risk'!$AC$341),'Premium and Reserve Risk'!$AC$341))</f>
        <v>0.1</v>
      </c>
      <c r="AD381" s="81"/>
      <c r="AE381" s="97"/>
      <c r="AF381" s="97"/>
      <c r="AG381" s="97"/>
      <c r="AH381" s="97"/>
    </row>
    <row r="382" spans="1:34" ht="13.5" customHeight="1" x14ac:dyDescent="0.25">
      <c r="A382" s="97"/>
      <c r="B382" s="257">
        <v>40</v>
      </c>
      <c r="C382" s="652"/>
      <c r="D382" s="80"/>
      <c r="E382" s="80"/>
      <c r="F382" s="258">
        <f t="shared" ca="1" si="14"/>
        <v>0</v>
      </c>
      <c r="G382" s="624"/>
      <c r="H382" s="85"/>
      <c r="I382" s="624"/>
      <c r="J382" s="85"/>
      <c r="K382" s="624"/>
      <c r="L382" s="85"/>
      <c r="M382" s="624"/>
      <c r="N382" s="85"/>
      <c r="O382" s="624"/>
      <c r="P382" s="85"/>
      <c r="Q382" s="626">
        <f t="shared" si="13"/>
        <v>0</v>
      </c>
      <c r="R382" s="85"/>
      <c r="S382" s="624"/>
      <c r="T382" s="260"/>
      <c r="U382" s="624"/>
      <c r="V382" s="85"/>
      <c r="W382" s="624"/>
      <c r="X382" s="81"/>
      <c r="Y382" s="80"/>
      <c r="Z382" s="737">
        <f ca="1">MAX(0%,IF(Q382&lt;&gt;0,MIN((S382-Q382)/Q382/'Underwriting Risk'!$E$27,'Premium and Reserve Risk'!$Z$341),'Premium and Reserve Risk'!$Z$341))</f>
        <v>6.4000000000000001E-2</v>
      </c>
      <c r="AA382" s="80"/>
      <c r="AB382" s="80"/>
      <c r="AC382" s="737">
        <f ca="1">MAX(0%,IF(U382&lt;&gt;0,MIN((W382-U382)/U382/'Underwriting Risk'!$E$27,'Premium and Reserve Risk'!$AC$341),'Premium and Reserve Risk'!$AC$341))</f>
        <v>0.1</v>
      </c>
      <c r="AD382" s="81"/>
      <c r="AE382" s="97"/>
      <c r="AF382" s="97"/>
      <c r="AG382" s="97"/>
      <c r="AH382" s="97"/>
    </row>
    <row r="383" spans="1:34" ht="13.5" customHeight="1" x14ac:dyDescent="0.25">
      <c r="A383" s="97"/>
      <c r="B383" s="257">
        <v>41</v>
      </c>
      <c r="C383" s="652"/>
      <c r="D383" s="80"/>
      <c r="E383" s="80"/>
      <c r="F383" s="258">
        <f t="shared" ca="1" si="14"/>
        <v>0</v>
      </c>
      <c r="G383" s="624"/>
      <c r="H383" s="85"/>
      <c r="I383" s="624"/>
      <c r="J383" s="85"/>
      <c r="K383" s="624"/>
      <c r="L383" s="85"/>
      <c r="M383" s="624"/>
      <c r="N383" s="85"/>
      <c r="O383" s="624"/>
      <c r="P383" s="85"/>
      <c r="Q383" s="626">
        <f t="shared" si="13"/>
        <v>0</v>
      </c>
      <c r="R383" s="85"/>
      <c r="S383" s="624"/>
      <c r="T383" s="260"/>
      <c r="U383" s="624"/>
      <c r="V383" s="85"/>
      <c r="W383" s="624"/>
      <c r="X383" s="81"/>
      <c r="Y383" s="80"/>
      <c r="Z383" s="737">
        <f ca="1">MAX(0%,IF(Q383&lt;&gt;0,MIN((S383-Q383)/Q383/'Underwriting Risk'!$E$27,'Premium and Reserve Risk'!$Z$341),'Premium and Reserve Risk'!$Z$341))</f>
        <v>6.4000000000000001E-2</v>
      </c>
      <c r="AA383" s="80"/>
      <c r="AB383" s="80"/>
      <c r="AC383" s="737">
        <f ca="1">MAX(0%,IF(U383&lt;&gt;0,MIN((W383-U383)/U383/'Underwriting Risk'!$E$27,'Premium and Reserve Risk'!$AC$341),'Premium and Reserve Risk'!$AC$341))</f>
        <v>0.1</v>
      </c>
      <c r="AD383" s="81"/>
      <c r="AE383" s="97"/>
      <c r="AF383" s="97"/>
      <c r="AG383" s="97"/>
      <c r="AH383" s="97"/>
    </row>
    <row r="384" spans="1:34" ht="13.5" customHeight="1" x14ac:dyDescent="0.25">
      <c r="A384" s="97"/>
      <c r="B384" s="257">
        <v>42</v>
      </c>
      <c r="C384" s="652"/>
      <c r="D384" s="80"/>
      <c r="E384" s="80"/>
      <c r="F384" s="258">
        <f t="shared" ca="1" si="14"/>
        <v>0</v>
      </c>
      <c r="G384" s="624"/>
      <c r="H384" s="85"/>
      <c r="I384" s="624"/>
      <c r="J384" s="85"/>
      <c r="K384" s="624"/>
      <c r="L384" s="85"/>
      <c r="M384" s="624"/>
      <c r="N384" s="85"/>
      <c r="O384" s="624"/>
      <c r="P384" s="85"/>
      <c r="Q384" s="626">
        <f t="shared" si="13"/>
        <v>0</v>
      </c>
      <c r="R384" s="85"/>
      <c r="S384" s="624"/>
      <c r="T384" s="260"/>
      <c r="U384" s="624"/>
      <c r="V384" s="85"/>
      <c r="W384" s="624"/>
      <c r="X384" s="81"/>
      <c r="Y384" s="80"/>
      <c r="Z384" s="737">
        <f ca="1">MAX(0%,IF(Q384&lt;&gt;0,MIN((S384-Q384)/Q384/'Underwriting Risk'!$E$27,'Premium and Reserve Risk'!$Z$341),'Premium and Reserve Risk'!$Z$341))</f>
        <v>6.4000000000000001E-2</v>
      </c>
      <c r="AA384" s="80"/>
      <c r="AB384" s="80"/>
      <c r="AC384" s="737">
        <f ca="1">MAX(0%,IF(U384&lt;&gt;0,MIN((W384-U384)/U384/'Underwriting Risk'!$E$27,'Premium and Reserve Risk'!$AC$341),'Premium and Reserve Risk'!$AC$341))</f>
        <v>0.1</v>
      </c>
      <c r="AD384" s="81"/>
      <c r="AE384" s="97"/>
      <c r="AF384" s="97"/>
      <c r="AG384" s="97"/>
      <c r="AH384" s="97"/>
    </row>
    <row r="385" spans="1:34" ht="13.5" customHeight="1" x14ac:dyDescent="0.25">
      <c r="A385" s="97"/>
      <c r="B385" s="257">
        <v>43</v>
      </c>
      <c r="C385" s="652"/>
      <c r="D385" s="80"/>
      <c r="E385" s="80"/>
      <c r="F385" s="258">
        <f t="shared" ca="1" si="14"/>
        <v>0</v>
      </c>
      <c r="G385" s="624"/>
      <c r="H385" s="85"/>
      <c r="I385" s="624"/>
      <c r="J385" s="85"/>
      <c r="K385" s="624"/>
      <c r="L385" s="85"/>
      <c r="M385" s="624"/>
      <c r="N385" s="85"/>
      <c r="O385" s="624"/>
      <c r="P385" s="85"/>
      <c r="Q385" s="626">
        <f t="shared" si="13"/>
        <v>0</v>
      </c>
      <c r="R385" s="85"/>
      <c r="S385" s="624"/>
      <c r="T385" s="260"/>
      <c r="U385" s="624"/>
      <c r="V385" s="85"/>
      <c r="W385" s="624"/>
      <c r="X385" s="81"/>
      <c r="Y385" s="80"/>
      <c r="Z385" s="737">
        <f ca="1">MAX(0%,IF(Q385&lt;&gt;0,MIN((S385-Q385)/Q385/'Underwriting Risk'!$E$27,'Premium and Reserve Risk'!$Z$341),'Premium and Reserve Risk'!$Z$341))</f>
        <v>6.4000000000000001E-2</v>
      </c>
      <c r="AA385" s="80"/>
      <c r="AB385" s="80"/>
      <c r="AC385" s="737">
        <f ca="1">MAX(0%,IF(U385&lt;&gt;0,MIN((W385-U385)/U385/'Underwriting Risk'!$E$27,'Premium and Reserve Risk'!$AC$341),'Premium and Reserve Risk'!$AC$341))</f>
        <v>0.1</v>
      </c>
      <c r="AD385" s="81"/>
      <c r="AE385" s="97"/>
      <c r="AF385" s="97"/>
      <c r="AG385" s="97"/>
      <c r="AH385" s="97"/>
    </row>
    <row r="386" spans="1:34" ht="13.5" customHeight="1" x14ac:dyDescent="0.25">
      <c r="A386" s="97"/>
      <c r="B386" s="257">
        <v>44</v>
      </c>
      <c r="C386" s="652"/>
      <c r="D386" s="80"/>
      <c r="E386" s="80"/>
      <c r="F386" s="258">
        <f t="shared" ca="1" si="14"/>
        <v>0</v>
      </c>
      <c r="G386" s="624"/>
      <c r="H386" s="85"/>
      <c r="I386" s="624"/>
      <c r="J386" s="85"/>
      <c r="K386" s="624"/>
      <c r="L386" s="85"/>
      <c r="M386" s="624"/>
      <c r="N386" s="85"/>
      <c r="O386" s="624"/>
      <c r="P386" s="85"/>
      <c r="Q386" s="626">
        <f t="shared" si="13"/>
        <v>0</v>
      </c>
      <c r="R386" s="85"/>
      <c r="S386" s="624"/>
      <c r="T386" s="260"/>
      <c r="U386" s="624"/>
      <c r="V386" s="85"/>
      <c r="W386" s="624"/>
      <c r="X386" s="81"/>
      <c r="Y386" s="80"/>
      <c r="Z386" s="737">
        <f ca="1">MAX(0%,IF(Q386&lt;&gt;0,MIN((S386-Q386)/Q386/'Underwriting Risk'!$E$27,'Premium and Reserve Risk'!$Z$341),'Premium and Reserve Risk'!$Z$341))</f>
        <v>6.4000000000000001E-2</v>
      </c>
      <c r="AA386" s="80"/>
      <c r="AB386" s="80"/>
      <c r="AC386" s="737">
        <f ca="1">MAX(0%,IF(U386&lt;&gt;0,MIN((W386-U386)/U386/'Underwriting Risk'!$E$27,'Premium and Reserve Risk'!$AC$341),'Premium and Reserve Risk'!$AC$341))</f>
        <v>0.1</v>
      </c>
      <c r="AD386" s="81"/>
      <c r="AE386" s="97"/>
      <c r="AF386" s="97"/>
      <c r="AG386" s="97"/>
      <c r="AH386" s="97"/>
    </row>
    <row r="387" spans="1:34" ht="13.5" customHeight="1" x14ac:dyDescent="0.25">
      <c r="A387" s="97"/>
      <c r="B387" s="257">
        <v>45</v>
      </c>
      <c r="C387" s="652"/>
      <c r="D387" s="80"/>
      <c r="E387" s="80"/>
      <c r="F387" s="258">
        <f t="shared" ca="1" si="14"/>
        <v>0</v>
      </c>
      <c r="G387" s="624"/>
      <c r="H387" s="85"/>
      <c r="I387" s="624"/>
      <c r="J387" s="85"/>
      <c r="K387" s="624"/>
      <c r="L387" s="85"/>
      <c r="M387" s="624"/>
      <c r="N387" s="85"/>
      <c r="O387" s="624"/>
      <c r="P387" s="85"/>
      <c r="Q387" s="626">
        <f t="shared" si="13"/>
        <v>0</v>
      </c>
      <c r="R387" s="85"/>
      <c r="S387" s="624"/>
      <c r="T387" s="260"/>
      <c r="U387" s="624"/>
      <c r="V387" s="85"/>
      <c r="W387" s="624"/>
      <c r="X387" s="81"/>
      <c r="Y387" s="80"/>
      <c r="Z387" s="737">
        <f ca="1">MAX(0%,IF(Q387&lt;&gt;0,MIN((S387-Q387)/Q387/'Underwriting Risk'!$E$27,'Premium and Reserve Risk'!$Z$341),'Premium and Reserve Risk'!$Z$341))</f>
        <v>6.4000000000000001E-2</v>
      </c>
      <c r="AA387" s="80"/>
      <c r="AB387" s="80"/>
      <c r="AC387" s="737">
        <f ca="1">MAX(0%,IF(U387&lt;&gt;0,MIN((W387-U387)/U387/'Underwriting Risk'!$E$27,'Premium and Reserve Risk'!$AC$341),'Premium and Reserve Risk'!$AC$341))</f>
        <v>0.1</v>
      </c>
      <c r="AD387" s="81"/>
      <c r="AE387" s="97"/>
      <c r="AF387" s="97"/>
      <c r="AG387" s="97"/>
      <c r="AH387" s="97"/>
    </row>
    <row r="388" spans="1:34" ht="13.5" customHeight="1" x14ac:dyDescent="0.25">
      <c r="A388" s="97"/>
      <c r="B388" s="257">
        <v>46</v>
      </c>
      <c r="C388" s="652"/>
      <c r="D388" s="80"/>
      <c r="E388" s="80"/>
      <c r="F388" s="258">
        <f t="shared" ca="1" si="14"/>
        <v>0</v>
      </c>
      <c r="G388" s="624"/>
      <c r="H388" s="85"/>
      <c r="I388" s="624"/>
      <c r="J388" s="85"/>
      <c r="K388" s="624"/>
      <c r="L388" s="85"/>
      <c r="M388" s="624"/>
      <c r="N388" s="85"/>
      <c r="O388" s="624"/>
      <c r="P388" s="85"/>
      <c r="Q388" s="626">
        <f t="shared" si="13"/>
        <v>0</v>
      </c>
      <c r="R388" s="85"/>
      <c r="S388" s="624"/>
      <c r="T388" s="260"/>
      <c r="U388" s="624"/>
      <c r="V388" s="85"/>
      <c r="W388" s="624"/>
      <c r="X388" s="81"/>
      <c r="Y388" s="80"/>
      <c r="Z388" s="737">
        <f ca="1">MAX(0%,IF(Q388&lt;&gt;0,MIN((S388-Q388)/Q388/'Underwriting Risk'!$E$27,'Premium and Reserve Risk'!$Z$341),'Premium and Reserve Risk'!$Z$341))</f>
        <v>6.4000000000000001E-2</v>
      </c>
      <c r="AA388" s="80"/>
      <c r="AB388" s="80"/>
      <c r="AC388" s="737">
        <f ca="1">MAX(0%,IF(U388&lt;&gt;0,MIN((W388-U388)/U388/'Underwriting Risk'!$E$27,'Premium and Reserve Risk'!$AC$341),'Premium and Reserve Risk'!$AC$341))</f>
        <v>0.1</v>
      </c>
      <c r="AD388" s="81"/>
      <c r="AE388" s="97"/>
      <c r="AF388" s="97"/>
      <c r="AG388" s="97"/>
      <c r="AH388" s="97"/>
    </row>
    <row r="389" spans="1:34" ht="13.5" customHeight="1" x14ac:dyDescent="0.25">
      <c r="A389" s="97"/>
      <c r="B389" s="257">
        <v>47</v>
      </c>
      <c r="C389" s="652"/>
      <c r="D389" s="80"/>
      <c r="E389" s="80"/>
      <c r="F389" s="258">
        <f t="shared" ca="1" si="14"/>
        <v>0</v>
      </c>
      <c r="G389" s="624"/>
      <c r="H389" s="85"/>
      <c r="I389" s="624"/>
      <c r="J389" s="85"/>
      <c r="K389" s="624"/>
      <c r="L389" s="85"/>
      <c r="M389" s="624"/>
      <c r="N389" s="85"/>
      <c r="O389" s="624"/>
      <c r="P389" s="85"/>
      <c r="Q389" s="626">
        <f t="shared" si="13"/>
        <v>0</v>
      </c>
      <c r="R389" s="85"/>
      <c r="S389" s="624"/>
      <c r="T389" s="260"/>
      <c r="U389" s="624"/>
      <c r="V389" s="85"/>
      <c r="W389" s="624"/>
      <c r="X389" s="81"/>
      <c r="Y389" s="80"/>
      <c r="Z389" s="737">
        <f ca="1">MAX(0%,IF(Q389&lt;&gt;0,MIN((S389-Q389)/Q389/'Underwriting Risk'!$E$27,'Premium and Reserve Risk'!$Z$341),'Premium and Reserve Risk'!$Z$341))</f>
        <v>6.4000000000000001E-2</v>
      </c>
      <c r="AA389" s="80"/>
      <c r="AB389" s="80"/>
      <c r="AC389" s="737">
        <f ca="1">MAX(0%,IF(U389&lt;&gt;0,MIN((W389-U389)/U389/'Underwriting Risk'!$E$27,'Premium and Reserve Risk'!$AC$341),'Premium and Reserve Risk'!$AC$341))</f>
        <v>0.1</v>
      </c>
      <c r="AD389" s="81"/>
      <c r="AE389" s="97"/>
      <c r="AF389" s="97"/>
      <c r="AG389" s="97"/>
      <c r="AH389" s="97"/>
    </row>
    <row r="390" spans="1:34" ht="13.5" customHeight="1" x14ac:dyDescent="0.25">
      <c r="A390" s="97"/>
      <c r="B390" s="257">
        <v>48</v>
      </c>
      <c r="C390" s="652"/>
      <c r="D390" s="80"/>
      <c r="E390" s="80"/>
      <c r="F390" s="258">
        <f t="shared" ca="1" si="14"/>
        <v>0</v>
      </c>
      <c r="G390" s="624"/>
      <c r="H390" s="85"/>
      <c r="I390" s="624"/>
      <c r="J390" s="85"/>
      <c r="K390" s="624"/>
      <c r="L390" s="85"/>
      <c r="M390" s="624"/>
      <c r="N390" s="85"/>
      <c r="O390" s="624"/>
      <c r="P390" s="85"/>
      <c r="Q390" s="626">
        <f t="shared" si="13"/>
        <v>0</v>
      </c>
      <c r="R390" s="85"/>
      <c r="S390" s="624"/>
      <c r="T390" s="260"/>
      <c r="U390" s="624"/>
      <c r="V390" s="85"/>
      <c r="W390" s="624"/>
      <c r="X390" s="81"/>
      <c r="Y390" s="80"/>
      <c r="Z390" s="737">
        <f ca="1">MAX(0%,IF(Q390&lt;&gt;0,MIN((S390-Q390)/Q390/'Underwriting Risk'!$E$27,'Premium and Reserve Risk'!$Z$341),'Premium and Reserve Risk'!$Z$341))</f>
        <v>6.4000000000000001E-2</v>
      </c>
      <c r="AA390" s="80"/>
      <c r="AB390" s="80"/>
      <c r="AC390" s="737">
        <f ca="1">MAX(0%,IF(U390&lt;&gt;0,MIN((W390-U390)/U390/'Underwriting Risk'!$E$27,'Premium and Reserve Risk'!$AC$341),'Premium and Reserve Risk'!$AC$341))</f>
        <v>0.1</v>
      </c>
      <c r="AD390" s="81"/>
      <c r="AE390" s="97"/>
      <c r="AF390" s="97"/>
      <c r="AG390" s="97"/>
      <c r="AH390" s="97"/>
    </row>
    <row r="391" spans="1:34" ht="13.5" customHeight="1" x14ac:dyDescent="0.25">
      <c r="A391" s="97"/>
      <c r="B391" s="257">
        <v>49</v>
      </c>
      <c r="C391" s="652"/>
      <c r="D391" s="80"/>
      <c r="E391" s="80"/>
      <c r="F391" s="258">
        <f t="shared" ca="1" si="14"/>
        <v>0</v>
      </c>
      <c r="G391" s="624"/>
      <c r="H391" s="85"/>
      <c r="I391" s="624"/>
      <c r="J391" s="85"/>
      <c r="K391" s="624"/>
      <c r="L391" s="85"/>
      <c r="M391" s="624"/>
      <c r="N391" s="85"/>
      <c r="O391" s="624"/>
      <c r="P391" s="85"/>
      <c r="Q391" s="626">
        <f t="shared" si="13"/>
        <v>0</v>
      </c>
      <c r="R391" s="85"/>
      <c r="S391" s="624"/>
      <c r="T391" s="260"/>
      <c r="U391" s="624"/>
      <c r="V391" s="85"/>
      <c r="W391" s="624"/>
      <c r="X391" s="81"/>
      <c r="Y391" s="80"/>
      <c r="Z391" s="737">
        <f ca="1">MAX(0%,IF(Q391&lt;&gt;0,MIN((S391-Q391)/Q391/'Underwriting Risk'!$E$27,'Premium and Reserve Risk'!$Z$341),'Premium and Reserve Risk'!$Z$341))</f>
        <v>6.4000000000000001E-2</v>
      </c>
      <c r="AA391" s="80"/>
      <c r="AB391" s="80"/>
      <c r="AC391" s="737">
        <f ca="1">MAX(0%,IF(U391&lt;&gt;0,MIN((W391-U391)/U391/'Underwriting Risk'!$E$27,'Premium and Reserve Risk'!$AC$341),'Premium and Reserve Risk'!$AC$341))</f>
        <v>0.1</v>
      </c>
      <c r="AD391" s="81"/>
      <c r="AE391" s="97"/>
      <c r="AF391" s="97"/>
      <c r="AG391" s="97"/>
      <c r="AH391" s="97"/>
    </row>
    <row r="392" spans="1:34" ht="13.5" customHeight="1" x14ac:dyDescent="0.25">
      <c r="A392" s="97"/>
      <c r="B392" s="257">
        <v>50</v>
      </c>
      <c r="C392" s="652"/>
      <c r="D392" s="80"/>
      <c r="E392" s="80"/>
      <c r="F392" s="258">
        <f t="shared" ca="1" si="14"/>
        <v>0</v>
      </c>
      <c r="G392" s="624"/>
      <c r="H392" s="85"/>
      <c r="I392" s="624"/>
      <c r="J392" s="85"/>
      <c r="K392" s="624"/>
      <c r="L392" s="85"/>
      <c r="M392" s="624"/>
      <c r="N392" s="85"/>
      <c r="O392" s="624"/>
      <c r="P392" s="85"/>
      <c r="Q392" s="626">
        <f t="shared" si="13"/>
        <v>0</v>
      </c>
      <c r="R392" s="85"/>
      <c r="S392" s="624"/>
      <c r="T392" s="260"/>
      <c r="U392" s="624"/>
      <c r="V392" s="85"/>
      <c r="W392" s="624"/>
      <c r="X392" s="81"/>
      <c r="Y392" s="80"/>
      <c r="Z392" s="737">
        <f ca="1">MAX(0%,IF(Q392&lt;&gt;0,MIN((S392-Q392)/Q392/'Underwriting Risk'!$E$27,'Premium and Reserve Risk'!$Z$341),'Premium and Reserve Risk'!$Z$341))</f>
        <v>6.4000000000000001E-2</v>
      </c>
      <c r="AA392" s="80"/>
      <c r="AB392" s="80"/>
      <c r="AC392" s="737">
        <f ca="1">MAX(0%,IF(U392&lt;&gt;0,MIN((W392-U392)/U392/'Underwriting Risk'!$E$27,'Premium and Reserve Risk'!$AC$341),'Premium and Reserve Risk'!$AC$341))</f>
        <v>0.1</v>
      </c>
      <c r="AD392" s="81"/>
      <c r="AE392" s="97"/>
      <c r="AF392" s="97"/>
      <c r="AG392" s="97"/>
      <c r="AH392" s="97"/>
    </row>
    <row r="393" spans="1:34" ht="13.5" customHeight="1" x14ac:dyDescent="0.25">
      <c r="A393" s="97"/>
      <c r="B393" s="257">
        <v>51</v>
      </c>
      <c r="C393" s="652"/>
      <c r="D393" s="80"/>
      <c r="E393" s="80"/>
      <c r="F393" s="258">
        <f t="shared" ca="1" si="14"/>
        <v>0</v>
      </c>
      <c r="G393" s="624"/>
      <c r="H393" s="85"/>
      <c r="I393" s="624"/>
      <c r="J393" s="85"/>
      <c r="K393" s="624"/>
      <c r="L393" s="85"/>
      <c r="M393" s="624"/>
      <c r="N393" s="85"/>
      <c r="O393" s="624"/>
      <c r="P393" s="85"/>
      <c r="Q393" s="626">
        <f t="shared" si="13"/>
        <v>0</v>
      </c>
      <c r="R393" s="85"/>
      <c r="S393" s="624"/>
      <c r="T393" s="260"/>
      <c r="U393" s="624"/>
      <c r="V393" s="85"/>
      <c r="W393" s="624"/>
      <c r="X393" s="81"/>
      <c r="Y393" s="80"/>
      <c r="Z393" s="737">
        <f ca="1">MAX(0%,IF(Q393&lt;&gt;0,MIN((S393-Q393)/Q393/'Underwriting Risk'!$E$27,'Premium and Reserve Risk'!$Z$341),'Premium and Reserve Risk'!$Z$341))</f>
        <v>6.4000000000000001E-2</v>
      </c>
      <c r="AA393" s="80"/>
      <c r="AB393" s="80"/>
      <c r="AC393" s="737">
        <f ca="1">MAX(0%,IF(U393&lt;&gt;0,MIN((W393-U393)/U393/'Underwriting Risk'!$E$27,'Premium and Reserve Risk'!$AC$341),'Premium and Reserve Risk'!$AC$341))</f>
        <v>0.1</v>
      </c>
      <c r="AD393" s="81"/>
      <c r="AE393" s="97"/>
      <c r="AF393" s="97"/>
      <c r="AG393" s="97"/>
      <c r="AH393" s="97"/>
    </row>
    <row r="394" spans="1:34" ht="13.5" customHeight="1" x14ac:dyDescent="0.25">
      <c r="A394" s="97"/>
      <c r="B394" s="257">
        <v>52</v>
      </c>
      <c r="C394" s="652"/>
      <c r="D394" s="80"/>
      <c r="E394" s="80"/>
      <c r="F394" s="258">
        <f t="shared" ca="1" si="14"/>
        <v>0</v>
      </c>
      <c r="G394" s="624"/>
      <c r="H394" s="85"/>
      <c r="I394" s="624"/>
      <c r="J394" s="85"/>
      <c r="K394" s="624"/>
      <c r="L394" s="85"/>
      <c r="M394" s="624"/>
      <c r="N394" s="85"/>
      <c r="O394" s="624"/>
      <c r="P394" s="85"/>
      <c r="Q394" s="626">
        <f t="shared" si="13"/>
        <v>0</v>
      </c>
      <c r="R394" s="85"/>
      <c r="S394" s="624"/>
      <c r="T394" s="260"/>
      <c r="U394" s="624"/>
      <c r="V394" s="85"/>
      <c r="W394" s="624"/>
      <c r="X394" s="81"/>
      <c r="Y394" s="80"/>
      <c r="Z394" s="737">
        <f ca="1">MAX(0%,IF(Q394&lt;&gt;0,MIN((S394-Q394)/Q394/'Underwriting Risk'!$E$27,'Premium and Reserve Risk'!$Z$341),'Premium and Reserve Risk'!$Z$341))</f>
        <v>6.4000000000000001E-2</v>
      </c>
      <c r="AA394" s="80"/>
      <c r="AB394" s="80"/>
      <c r="AC394" s="737">
        <f ca="1">MAX(0%,IF(U394&lt;&gt;0,MIN((W394-U394)/U394/'Underwriting Risk'!$E$27,'Premium and Reserve Risk'!$AC$341),'Premium and Reserve Risk'!$AC$341))</f>
        <v>0.1</v>
      </c>
      <c r="AD394" s="81"/>
      <c r="AE394" s="97"/>
      <c r="AF394" s="97"/>
      <c r="AG394" s="97"/>
      <c r="AH394" s="97"/>
    </row>
    <row r="395" spans="1:34" ht="13.5" customHeight="1" x14ac:dyDescent="0.25">
      <c r="A395" s="97"/>
      <c r="B395" s="257">
        <v>53</v>
      </c>
      <c r="C395" s="652"/>
      <c r="D395" s="80"/>
      <c r="E395" s="80"/>
      <c r="F395" s="258">
        <f t="shared" ca="1" si="14"/>
        <v>0</v>
      </c>
      <c r="G395" s="624"/>
      <c r="H395" s="85"/>
      <c r="I395" s="624"/>
      <c r="J395" s="85"/>
      <c r="K395" s="624"/>
      <c r="L395" s="85"/>
      <c r="M395" s="624"/>
      <c r="N395" s="85"/>
      <c r="O395" s="624"/>
      <c r="P395" s="85"/>
      <c r="Q395" s="626">
        <f t="shared" si="13"/>
        <v>0</v>
      </c>
      <c r="R395" s="85"/>
      <c r="S395" s="624"/>
      <c r="T395" s="260"/>
      <c r="U395" s="624"/>
      <c r="V395" s="85"/>
      <c r="W395" s="624"/>
      <c r="X395" s="81"/>
      <c r="Y395" s="80"/>
      <c r="Z395" s="737">
        <f ca="1">MAX(0%,IF(Q395&lt;&gt;0,MIN((S395-Q395)/Q395/'Underwriting Risk'!$E$27,'Premium and Reserve Risk'!$Z$341),'Premium and Reserve Risk'!$Z$341))</f>
        <v>6.4000000000000001E-2</v>
      </c>
      <c r="AA395" s="80"/>
      <c r="AB395" s="80"/>
      <c r="AC395" s="737">
        <f ca="1">MAX(0%,IF(U395&lt;&gt;0,MIN((W395-U395)/U395/'Underwriting Risk'!$E$27,'Premium and Reserve Risk'!$AC$341),'Premium and Reserve Risk'!$AC$341))</f>
        <v>0.1</v>
      </c>
      <c r="AD395" s="81"/>
      <c r="AE395" s="97"/>
      <c r="AF395" s="97"/>
      <c r="AG395" s="97"/>
      <c r="AH395" s="97"/>
    </row>
    <row r="396" spans="1:34" ht="13.5" customHeight="1" x14ac:dyDescent="0.25">
      <c r="A396" s="97"/>
      <c r="B396" s="257">
        <v>54</v>
      </c>
      <c r="C396" s="652"/>
      <c r="D396" s="80"/>
      <c r="E396" s="80"/>
      <c r="F396" s="258">
        <f t="shared" ca="1" si="14"/>
        <v>0</v>
      </c>
      <c r="G396" s="624"/>
      <c r="H396" s="85"/>
      <c r="I396" s="624"/>
      <c r="J396" s="85"/>
      <c r="K396" s="624"/>
      <c r="L396" s="85"/>
      <c r="M396" s="624"/>
      <c r="N396" s="85"/>
      <c r="O396" s="624"/>
      <c r="P396" s="85"/>
      <c r="Q396" s="626">
        <f t="shared" si="13"/>
        <v>0</v>
      </c>
      <c r="R396" s="85"/>
      <c r="S396" s="624"/>
      <c r="T396" s="260"/>
      <c r="U396" s="624"/>
      <c r="V396" s="85"/>
      <c r="W396" s="624"/>
      <c r="X396" s="81"/>
      <c r="Y396" s="80"/>
      <c r="Z396" s="737">
        <f ca="1">MAX(0%,IF(Q396&lt;&gt;0,MIN((S396-Q396)/Q396/'Underwriting Risk'!$E$27,'Premium and Reserve Risk'!$Z$341),'Premium and Reserve Risk'!$Z$341))</f>
        <v>6.4000000000000001E-2</v>
      </c>
      <c r="AA396" s="80"/>
      <c r="AB396" s="80"/>
      <c r="AC396" s="737">
        <f ca="1">MAX(0%,IF(U396&lt;&gt;0,MIN((W396-U396)/U396/'Underwriting Risk'!$E$27,'Premium and Reserve Risk'!$AC$341),'Premium and Reserve Risk'!$AC$341))</f>
        <v>0.1</v>
      </c>
      <c r="AD396" s="81"/>
      <c r="AE396" s="97"/>
      <c r="AF396" s="97"/>
      <c r="AG396" s="97"/>
      <c r="AH396" s="97"/>
    </row>
    <row r="397" spans="1:34" ht="13.5" customHeight="1" x14ac:dyDescent="0.25">
      <c r="A397" s="97"/>
      <c r="B397" s="257">
        <v>55</v>
      </c>
      <c r="C397" s="652"/>
      <c r="D397" s="80"/>
      <c r="E397" s="80"/>
      <c r="F397" s="258">
        <f t="shared" ca="1" si="14"/>
        <v>0</v>
      </c>
      <c r="G397" s="624"/>
      <c r="H397" s="85"/>
      <c r="I397" s="624"/>
      <c r="J397" s="85"/>
      <c r="K397" s="624"/>
      <c r="L397" s="85"/>
      <c r="M397" s="624"/>
      <c r="N397" s="85"/>
      <c r="O397" s="624"/>
      <c r="P397" s="85"/>
      <c r="Q397" s="626">
        <f t="shared" si="13"/>
        <v>0</v>
      </c>
      <c r="R397" s="85"/>
      <c r="S397" s="624"/>
      <c r="T397" s="260"/>
      <c r="U397" s="624"/>
      <c r="V397" s="85"/>
      <c r="W397" s="624"/>
      <c r="X397" s="81"/>
      <c r="Y397" s="80"/>
      <c r="Z397" s="737">
        <f ca="1">MAX(0%,IF(Q397&lt;&gt;0,MIN((S397-Q397)/Q397/'Underwriting Risk'!$E$27,'Premium and Reserve Risk'!$Z$341),'Premium and Reserve Risk'!$Z$341))</f>
        <v>6.4000000000000001E-2</v>
      </c>
      <c r="AA397" s="80"/>
      <c r="AB397" s="80"/>
      <c r="AC397" s="737">
        <f ca="1">MAX(0%,IF(U397&lt;&gt;0,MIN((W397-U397)/U397/'Underwriting Risk'!$E$27,'Premium and Reserve Risk'!$AC$341),'Premium and Reserve Risk'!$AC$341))</f>
        <v>0.1</v>
      </c>
      <c r="AD397" s="81"/>
      <c r="AE397" s="97"/>
      <c r="AF397" s="97"/>
      <c r="AG397" s="97"/>
      <c r="AH397" s="97"/>
    </row>
    <row r="398" spans="1:34" ht="13.5" customHeight="1" x14ac:dyDescent="0.25">
      <c r="A398" s="97"/>
      <c r="B398" s="257">
        <v>56</v>
      </c>
      <c r="C398" s="652"/>
      <c r="D398" s="80"/>
      <c r="E398" s="80"/>
      <c r="F398" s="258">
        <f t="shared" ca="1" si="14"/>
        <v>0</v>
      </c>
      <c r="G398" s="624"/>
      <c r="H398" s="85"/>
      <c r="I398" s="624"/>
      <c r="J398" s="85"/>
      <c r="K398" s="624"/>
      <c r="L398" s="85"/>
      <c r="M398" s="624"/>
      <c r="N398" s="85"/>
      <c r="O398" s="624"/>
      <c r="P398" s="85"/>
      <c r="Q398" s="626">
        <f t="shared" si="13"/>
        <v>0</v>
      </c>
      <c r="R398" s="85"/>
      <c r="S398" s="624"/>
      <c r="T398" s="260"/>
      <c r="U398" s="624"/>
      <c r="V398" s="85"/>
      <c r="W398" s="624"/>
      <c r="X398" s="81"/>
      <c r="Y398" s="80"/>
      <c r="Z398" s="737">
        <f ca="1">MAX(0%,IF(Q398&lt;&gt;0,MIN((S398-Q398)/Q398/'Underwriting Risk'!$E$27,'Premium and Reserve Risk'!$Z$341),'Premium and Reserve Risk'!$Z$341))</f>
        <v>6.4000000000000001E-2</v>
      </c>
      <c r="AA398" s="80"/>
      <c r="AB398" s="80"/>
      <c r="AC398" s="737">
        <f ca="1">MAX(0%,IF(U398&lt;&gt;0,MIN((W398-U398)/U398/'Underwriting Risk'!$E$27,'Premium and Reserve Risk'!$AC$341),'Premium and Reserve Risk'!$AC$341))</f>
        <v>0.1</v>
      </c>
      <c r="AD398" s="81"/>
      <c r="AE398" s="97"/>
      <c r="AF398" s="97"/>
      <c r="AG398" s="97"/>
      <c r="AH398" s="97"/>
    </row>
    <row r="399" spans="1:34" ht="13.5" customHeight="1" x14ac:dyDescent="0.25">
      <c r="A399" s="97"/>
      <c r="B399" s="257">
        <v>57</v>
      </c>
      <c r="C399" s="652"/>
      <c r="D399" s="80"/>
      <c r="E399" s="80"/>
      <c r="F399" s="258">
        <f t="shared" ca="1" si="14"/>
        <v>0</v>
      </c>
      <c r="G399" s="624"/>
      <c r="H399" s="85"/>
      <c r="I399" s="624"/>
      <c r="J399" s="85"/>
      <c r="K399" s="624"/>
      <c r="L399" s="85"/>
      <c r="M399" s="624"/>
      <c r="N399" s="85"/>
      <c r="O399" s="624"/>
      <c r="P399" s="85"/>
      <c r="Q399" s="626">
        <f t="shared" si="13"/>
        <v>0</v>
      </c>
      <c r="R399" s="85"/>
      <c r="S399" s="624"/>
      <c r="T399" s="260"/>
      <c r="U399" s="624"/>
      <c r="V399" s="85"/>
      <c r="W399" s="624"/>
      <c r="X399" s="81"/>
      <c r="Y399" s="80"/>
      <c r="Z399" s="737">
        <f ca="1">MAX(0%,IF(Q399&lt;&gt;0,MIN((S399-Q399)/Q399/'Underwriting Risk'!$E$27,'Premium and Reserve Risk'!$Z$341),'Premium and Reserve Risk'!$Z$341))</f>
        <v>6.4000000000000001E-2</v>
      </c>
      <c r="AA399" s="80"/>
      <c r="AB399" s="80"/>
      <c r="AC399" s="737">
        <f ca="1">MAX(0%,IF(U399&lt;&gt;0,MIN((W399-U399)/U399/'Underwriting Risk'!$E$27,'Premium and Reserve Risk'!$AC$341),'Premium and Reserve Risk'!$AC$341))</f>
        <v>0.1</v>
      </c>
      <c r="AD399" s="81"/>
      <c r="AE399" s="97"/>
      <c r="AF399" s="97"/>
      <c r="AG399" s="97"/>
      <c r="AH399" s="97"/>
    </row>
    <row r="400" spans="1:34" ht="13.5" customHeight="1" x14ac:dyDescent="0.25">
      <c r="A400" s="97"/>
      <c r="B400" s="257">
        <v>58</v>
      </c>
      <c r="C400" s="652"/>
      <c r="D400" s="80"/>
      <c r="E400" s="80"/>
      <c r="F400" s="258">
        <f t="shared" ca="1" si="14"/>
        <v>0</v>
      </c>
      <c r="G400" s="624"/>
      <c r="H400" s="85"/>
      <c r="I400" s="624"/>
      <c r="J400" s="85"/>
      <c r="K400" s="624"/>
      <c r="L400" s="85"/>
      <c r="M400" s="624"/>
      <c r="N400" s="85"/>
      <c r="O400" s="624"/>
      <c r="P400" s="85"/>
      <c r="Q400" s="626">
        <f t="shared" si="13"/>
        <v>0</v>
      </c>
      <c r="R400" s="85"/>
      <c r="S400" s="624"/>
      <c r="T400" s="260"/>
      <c r="U400" s="624"/>
      <c r="V400" s="85"/>
      <c r="W400" s="624"/>
      <c r="X400" s="81"/>
      <c r="Y400" s="80"/>
      <c r="Z400" s="737">
        <f ca="1">MAX(0%,IF(Q400&lt;&gt;0,MIN((S400-Q400)/Q400/'Underwriting Risk'!$E$27,'Premium and Reserve Risk'!$Z$341),'Premium and Reserve Risk'!$Z$341))</f>
        <v>6.4000000000000001E-2</v>
      </c>
      <c r="AA400" s="80"/>
      <c r="AB400" s="80"/>
      <c r="AC400" s="737">
        <f ca="1">MAX(0%,IF(U400&lt;&gt;0,MIN((W400-U400)/U400/'Underwriting Risk'!$E$27,'Premium and Reserve Risk'!$AC$341),'Premium and Reserve Risk'!$AC$341))</f>
        <v>0.1</v>
      </c>
      <c r="AD400" s="81"/>
      <c r="AE400" s="97"/>
      <c r="AF400" s="97"/>
      <c r="AG400" s="97"/>
      <c r="AH400" s="97"/>
    </row>
    <row r="401" spans="1:34" ht="13.5" customHeight="1" x14ac:dyDescent="0.25">
      <c r="A401" s="97"/>
      <c r="B401" s="257">
        <v>59</v>
      </c>
      <c r="C401" s="652"/>
      <c r="D401" s="80"/>
      <c r="E401" s="80"/>
      <c r="F401" s="258">
        <f t="shared" ca="1" si="14"/>
        <v>0</v>
      </c>
      <c r="G401" s="624"/>
      <c r="H401" s="85"/>
      <c r="I401" s="624"/>
      <c r="J401" s="85"/>
      <c r="K401" s="624"/>
      <c r="L401" s="85"/>
      <c r="M401" s="624"/>
      <c r="N401" s="85"/>
      <c r="O401" s="624"/>
      <c r="P401" s="85"/>
      <c r="Q401" s="626">
        <f t="shared" si="13"/>
        <v>0</v>
      </c>
      <c r="R401" s="85"/>
      <c r="S401" s="624"/>
      <c r="T401" s="260"/>
      <c r="U401" s="624"/>
      <c r="V401" s="85"/>
      <c r="W401" s="624"/>
      <c r="X401" s="81"/>
      <c r="Y401" s="80"/>
      <c r="Z401" s="737">
        <f ca="1">MAX(0%,IF(Q401&lt;&gt;0,MIN((S401-Q401)/Q401/'Underwriting Risk'!$E$27,'Premium and Reserve Risk'!$Z$341),'Premium and Reserve Risk'!$Z$341))</f>
        <v>6.4000000000000001E-2</v>
      </c>
      <c r="AA401" s="80"/>
      <c r="AB401" s="80"/>
      <c r="AC401" s="737">
        <f ca="1">MAX(0%,IF(U401&lt;&gt;0,MIN((W401-U401)/U401/'Underwriting Risk'!$E$27,'Premium and Reserve Risk'!$AC$341),'Premium and Reserve Risk'!$AC$341))</f>
        <v>0.1</v>
      </c>
      <c r="AD401" s="81"/>
      <c r="AE401" s="97"/>
      <c r="AF401" s="97"/>
      <c r="AG401" s="97"/>
      <c r="AH401" s="97"/>
    </row>
    <row r="402" spans="1:34" ht="13.5" customHeight="1" x14ac:dyDescent="0.25">
      <c r="A402" s="97"/>
      <c r="B402" s="257">
        <v>60</v>
      </c>
      <c r="C402" s="652"/>
      <c r="D402" s="80"/>
      <c r="E402" s="80"/>
      <c r="F402" s="258">
        <f t="shared" ca="1" si="14"/>
        <v>0</v>
      </c>
      <c r="G402" s="624"/>
      <c r="H402" s="85"/>
      <c r="I402" s="624"/>
      <c r="J402" s="85"/>
      <c r="K402" s="624"/>
      <c r="L402" s="85"/>
      <c r="M402" s="624"/>
      <c r="N402" s="85"/>
      <c r="O402" s="624"/>
      <c r="P402" s="85"/>
      <c r="Q402" s="626">
        <f t="shared" si="13"/>
        <v>0</v>
      </c>
      <c r="R402" s="85"/>
      <c r="S402" s="624"/>
      <c r="T402" s="260"/>
      <c r="U402" s="624"/>
      <c r="V402" s="85"/>
      <c r="W402" s="624"/>
      <c r="X402" s="81"/>
      <c r="Y402" s="80"/>
      <c r="Z402" s="737">
        <f ca="1">MAX(0%,IF(Q402&lt;&gt;0,MIN((S402-Q402)/Q402/'Underwriting Risk'!$E$27,'Premium and Reserve Risk'!$Z$341),'Premium and Reserve Risk'!$Z$341))</f>
        <v>6.4000000000000001E-2</v>
      </c>
      <c r="AA402" s="80"/>
      <c r="AB402" s="80"/>
      <c r="AC402" s="737">
        <f ca="1">MAX(0%,IF(U402&lt;&gt;0,MIN((W402-U402)/U402/'Underwriting Risk'!$E$27,'Premium and Reserve Risk'!$AC$341),'Premium and Reserve Risk'!$AC$341))</f>
        <v>0.1</v>
      </c>
      <c r="AD402" s="81"/>
      <c r="AE402" s="97"/>
      <c r="AF402" s="97"/>
      <c r="AG402" s="97"/>
      <c r="AH402" s="97"/>
    </row>
    <row r="403" spans="1:34" ht="13.5" customHeight="1" x14ac:dyDescent="0.25">
      <c r="A403" s="97"/>
      <c r="B403" s="257">
        <v>61</v>
      </c>
      <c r="C403" s="652"/>
      <c r="D403" s="80"/>
      <c r="E403" s="80"/>
      <c r="F403" s="258">
        <f t="shared" ca="1" si="14"/>
        <v>0</v>
      </c>
      <c r="G403" s="624"/>
      <c r="H403" s="85"/>
      <c r="I403" s="624"/>
      <c r="J403" s="85"/>
      <c r="K403" s="624"/>
      <c r="L403" s="85"/>
      <c r="M403" s="624"/>
      <c r="N403" s="85"/>
      <c r="O403" s="624"/>
      <c r="P403" s="85"/>
      <c r="Q403" s="626">
        <f t="shared" si="13"/>
        <v>0</v>
      </c>
      <c r="R403" s="85"/>
      <c r="S403" s="624"/>
      <c r="T403" s="260"/>
      <c r="U403" s="624"/>
      <c r="V403" s="85"/>
      <c r="W403" s="624"/>
      <c r="X403" s="81"/>
      <c r="Y403" s="80"/>
      <c r="Z403" s="737">
        <f ca="1">MAX(0%,IF(Q403&lt;&gt;0,MIN((S403-Q403)/Q403/'Underwriting Risk'!$E$27,'Premium and Reserve Risk'!$Z$341),'Premium and Reserve Risk'!$Z$341))</f>
        <v>6.4000000000000001E-2</v>
      </c>
      <c r="AA403" s="80"/>
      <c r="AB403" s="80"/>
      <c r="AC403" s="737">
        <f ca="1">MAX(0%,IF(U403&lt;&gt;0,MIN((W403-U403)/U403/'Underwriting Risk'!$E$27,'Premium and Reserve Risk'!$AC$341),'Premium and Reserve Risk'!$AC$341))</f>
        <v>0.1</v>
      </c>
      <c r="AD403" s="81"/>
      <c r="AE403" s="97"/>
      <c r="AF403" s="97"/>
      <c r="AG403" s="97"/>
      <c r="AH403" s="97"/>
    </row>
    <row r="404" spans="1:34" ht="13.5" customHeight="1" x14ac:dyDescent="0.25">
      <c r="A404" s="97"/>
      <c r="B404" s="257">
        <v>62</v>
      </c>
      <c r="C404" s="652"/>
      <c r="D404" s="80"/>
      <c r="E404" s="80"/>
      <c r="F404" s="258">
        <f t="shared" ca="1" si="14"/>
        <v>0</v>
      </c>
      <c r="G404" s="624"/>
      <c r="H404" s="85"/>
      <c r="I404" s="624"/>
      <c r="J404" s="85"/>
      <c r="K404" s="624"/>
      <c r="L404" s="85"/>
      <c r="M404" s="624"/>
      <c r="N404" s="85"/>
      <c r="O404" s="624"/>
      <c r="P404" s="85"/>
      <c r="Q404" s="626">
        <f t="shared" si="13"/>
        <v>0</v>
      </c>
      <c r="R404" s="85"/>
      <c r="S404" s="624"/>
      <c r="T404" s="260"/>
      <c r="U404" s="624"/>
      <c r="V404" s="85"/>
      <c r="W404" s="624"/>
      <c r="X404" s="81"/>
      <c r="Y404" s="80"/>
      <c r="Z404" s="737">
        <f ca="1">MAX(0%,IF(Q404&lt;&gt;0,MIN((S404-Q404)/Q404/'Underwriting Risk'!$E$27,'Premium and Reserve Risk'!$Z$341),'Premium and Reserve Risk'!$Z$341))</f>
        <v>6.4000000000000001E-2</v>
      </c>
      <c r="AA404" s="80"/>
      <c r="AB404" s="80"/>
      <c r="AC404" s="737">
        <f ca="1">MAX(0%,IF(U404&lt;&gt;0,MIN((W404-U404)/U404/'Underwriting Risk'!$E$27,'Premium and Reserve Risk'!$AC$341),'Premium and Reserve Risk'!$AC$341))</f>
        <v>0.1</v>
      </c>
      <c r="AD404" s="81"/>
      <c r="AE404" s="97"/>
      <c r="AF404" s="97"/>
      <c r="AG404" s="97"/>
      <c r="AH404" s="97"/>
    </row>
    <row r="405" spans="1:34" ht="13.5" customHeight="1" x14ac:dyDescent="0.25">
      <c r="A405" s="97"/>
      <c r="B405" s="257">
        <v>63</v>
      </c>
      <c r="C405" s="652"/>
      <c r="D405" s="80"/>
      <c r="E405" s="80"/>
      <c r="F405" s="258">
        <f t="shared" ca="1" si="14"/>
        <v>0</v>
      </c>
      <c r="G405" s="624"/>
      <c r="H405" s="85"/>
      <c r="I405" s="624"/>
      <c r="J405" s="85"/>
      <c r="K405" s="624"/>
      <c r="L405" s="85"/>
      <c r="M405" s="624"/>
      <c r="N405" s="85"/>
      <c r="O405" s="624"/>
      <c r="P405" s="85"/>
      <c r="Q405" s="626">
        <f t="shared" si="13"/>
        <v>0</v>
      </c>
      <c r="R405" s="85"/>
      <c r="S405" s="624"/>
      <c r="T405" s="260"/>
      <c r="U405" s="624"/>
      <c r="V405" s="85"/>
      <c r="W405" s="624"/>
      <c r="X405" s="81"/>
      <c r="Y405" s="80"/>
      <c r="Z405" s="737">
        <f ca="1">MAX(0%,IF(Q405&lt;&gt;0,MIN((S405-Q405)/Q405/'Underwriting Risk'!$E$27,'Premium and Reserve Risk'!$Z$341),'Premium and Reserve Risk'!$Z$341))</f>
        <v>6.4000000000000001E-2</v>
      </c>
      <c r="AA405" s="80"/>
      <c r="AB405" s="80"/>
      <c r="AC405" s="737">
        <f ca="1">MAX(0%,IF(U405&lt;&gt;0,MIN((W405-U405)/U405/'Underwriting Risk'!$E$27,'Premium and Reserve Risk'!$AC$341),'Premium and Reserve Risk'!$AC$341))</f>
        <v>0.1</v>
      </c>
      <c r="AD405" s="81"/>
      <c r="AE405" s="97"/>
      <c r="AF405" s="97"/>
      <c r="AG405" s="97"/>
      <c r="AH405" s="97"/>
    </row>
    <row r="406" spans="1:34" ht="13.5" customHeight="1" x14ac:dyDescent="0.25">
      <c r="A406" s="97"/>
      <c r="B406" s="257">
        <v>64</v>
      </c>
      <c r="C406" s="652"/>
      <c r="D406" s="80"/>
      <c r="E406" s="80"/>
      <c r="F406" s="258">
        <f t="shared" ca="1" si="14"/>
        <v>0</v>
      </c>
      <c r="G406" s="624"/>
      <c r="H406" s="85"/>
      <c r="I406" s="624"/>
      <c r="J406" s="85"/>
      <c r="K406" s="624"/>
      <c r="L406" s="85"/>
      <c r="M406" s="624"/>
      <c r="N406" s="85"/>
      <c r="O406" s="624"/>
      <c r="P406" s="85"/>
      <c r="Q406" s="626">
        <f t="shared" si="13"/>
        <v>0</v>
      </c>
      <c r="R406" s="85"/>
      <c r="S406" s="624"/>
      <c r="T406" s="260"/>
      <c r="U406" s="624"/>
      <c r="V406" s="85"/>
      <c r="W406" s="624"/>
      <c r="X406" s="81"/>
      <c r="Y406" s="80"/>
      <c r="Z406" s="737">
        <f ca="1">MAX(0%,IF(Q406&lt;&gt;0,MIN((S406-Q406)/Q406/'Underwriting Risk'!$E$27,'Premium and Reserve Risk'!$Z$341),'Premium and Reserve Risk'!$Z$341))</f>
        <v>6.4000000000000001E-2</v>
      </c>
      <c r="AA406" s="80"/>
      <c r="AB406" s="80"/>
      <c r="AC406" s="737">
        <f ca="1">MAX(0%,IF(U406&lt;&gt;0,MIN((W406-U406)/U406/'Underwriting Risk'!$E$27,'Premium and Reserve Risk'!$AC$341),'Premium and Reserve Risk'!$AC$341))</f>
        <v>0.1</v>
      </c>
      <c r="AD406" s="81"/>
      <c r="AE406" s="97"/>
      <c r="AF406" s="97"/>
      <c r="AG406" s="97"/>
      <c r="AH406" s="97"/>
    </row>
    <row r="407" spans="1:34" ht="13.5" customHeight="1" x14ac:dyDescent="0.25">
      <c r="A407" s="97"/>
      <c r="B407" s="257">
        <v>65</v>
      </c>
      <c r="C407" s="652"/>
      <c r="D407" s="80"/>
      <c r="E407" s="80"/>
      <c r="F407" s="258">
        <f t="shared" ca="1" si="14"/>
        <v>0</v>
      </c>
      <c r="G407" s="624"/>
      <c r="H407" s="85"/>
      <c r="I407" s="624"/>
      <c r="J407" s="85"/>
      <c r="K407" s="624"/>
      <c r="L407" s="85"/>
      <c r="M407" s="624"/>
      <c r="N407" s="85"/>
      <c r="O407" s="624"/>
      <c r="P407" s="85"/>
      <c r="Q407" s="626">
        <f t="shared" si="13"/>
        <v>0</v>
      </c>
      <c r="R407" s="85"/>
      <c r="S407" s="624"/>
      <c r="T407" s="260"/>
      <c r="U407" s="624"/>
      <c r="V407" s="85"/>
      <c r="W407" s="624"/>
      <c r="X407" s="81"/>
      <c r="Y407" s="80"/>
      <c r="Z407" s="737">
        <f ca="1">MAX(0%,IF(Q407&lt;&gt;0,MIN((S407-Q407)/Q407/'Underwriting Risk'!$E$27,'Premium and Reserve Risk'!$Z$341),'Premium and Reserve Risk'!$Z$341))</f>
        <v>6.4000000000000001E-2</v>
      </c>
      <c r="AA407" s="80"/>
      <c r="AB407" s="80"/>
      <c r="AC407" s="737">
        <f ca="1">MAX(0%,IF(U407&lt;&gt;0,MIN((W407-U407)/U407/'Underwriting Risk'!$E$27,'Premium and Reserve Risk'!$AC$341),'Premium and Reserve Risk'!$AC$341))</f>
        <v>0.1</v>
      </c>
      <c r="AD407" s="81"/>
      <c r="AE407" s="97"/>
      <c r="AF407" s="97"/>
      <c r="AG407" s="97"/>
      <c r="AH407" s="97"/>
    </row>
    <row r="408" spans="1:34" ht="13.5" customHeight="1" x14ac:dyDescent="0.25">
      <c r="A408" s="97"/>
      <c r="B408" s="257">
        <v>66</v>
      </c>
      <c r="C408" s="652"/>
      <c r="D408" s="80"/>
      <c r="E408" s="80"/>
      <c r="F408" s="258">
        <f t="shared" ref="F408:F442" ca="1" si="15">IF(B408&lt;=OFFSET($Z$8,B$340-1,0),0,1)</f>
        <v>0</v>
      </c>
      <c r="G408" s="624"/>
      <c r="H408" s="85"/>
      <c r="I408" s="624"/>
      <c r="J408" s="85"/>
      <c r="K408" s="624"/>
      <c r="L408" s="85"/>
      <c r="M408" s="624"/>
      <c r="N408" s="85"/>
      <c r="O408" s="624"/>
      <c r="P408" s="85"/>
      <c r="Q408" s="626">
        <f t="shared" si="13"/>
        <v>0</v>
      </c>
      <c r="R408" s="85"/>
      <c r="S408" s="624"/>
      <c r="T408" s="260"/>
      <c r="U408" s="624"/>
      <c r="V408" s="85"/>
      <c r="W408" s="624"/>
      <c r="X408" s="81"/>
      <c r="Y408" s="80"/>
      <c r="Z408" s="737">
        <f ca="1">MAX(0%,IF(Q408&lt;&gt;0,MIN((S408-Q408)/Q408/'Underwriting Risk'!$E$27,'Premium and Reserve Risk'!$Z$341),'Premium and Reserve Risk'!$Z$341))</f>
        <v>6.4000000000000001E-2</v>
      </c>
      <c r="AA408" s="80"/>
      <c r="AB408" s="80"/>
      <c r="AC408" s="737">
        <f ca="1">MAX(0%,IF(U408&lt;&gt;0,MIN((W408-U408)/U408/'Underwriting Risk'!$E$27,'Premium and Reserve Risk'!$AC$341),'Premium and Reserve Risk'!$AC$341))</f>
        <v>0.1</v>
      </c>
      <c r="AD408" s="81"/>
      <c r="AE408" s="97"/>
      <c r="AF408" s="97"/>
      <c r="AG408" s="97"/>
      <c r="AH408" s="97"/>
    </row>
    <row r="409" spans="1:34" ht="13.5" customHeight="1" x14ac:dyDescent="0.25">
      <c r="A409" s="97"/>
      <c r="B409" s="257">
        <v>67</v>
      </c>
      <c r="C409" s="652"/>
      <c r="D409" s="80"/>
      <c r="E409" s="80"/>
      <c r="F409" s="258">
        <f t="shared" ca="1" si="15"/>
        <v>0</v>
      </c>
      <c r="G409" s="624"/>
      <c r="H409" s="85"/>
      <c r="I409" s="624"/>
      <c r="J409" s="85"/>
      <c r="K409" s="624"/>
      <c r="L409" s="85"/>
      <c r="M409" s="624"/>
      <c r="N409" s="85"/>
      <c r="O409" s="624"/>
      <c r="P409" s="85"/>
      <c r="Q409" s="626">
        <f t="shared" si="13"/>
        <v>0</v>
      </c>
      <c r="R409" s="85"/>
      <c r="S409" s="624"/>
      <c r="T409" s="260"/>
      <c r="U409" s="624"/>
      <c r="V409" s="85"/>
      <c r="W409" s="624"/>
      <c r="X409" s="81"/>
      <c r="Y409" s="80"/>
      <c r="Z409" s="737">
        <f ca="1">MAX(0%,IF(Q409&lt;&gt;0,MIN((S409-Q409)/Q409/'Underwriting Risk'!$E$27,'Premium and Reserve Risk'!$Z$341),'Premium and Reserve Risk'!$Z$341))</f>
        <v>6.4000000000000001E-2</v>
      </c>
      <c r="AA409" s="80"/>
      <c r="AB409" s="80"/>
      <c r="AC409" s="737">
        <f ca="1">MAX(0%,IF(U409&lt;&gt;0,MIN((W409-U409)/U409/'Underwriting Risk'!$E$27,'Premium and Reserve Risk'!$AC$341),'Premium and Reserve Risk'!$AC$341))</f>
        <v>0.1</v>
      </c>
      <c r="AD409" s="81"/>
      <c r="AE409" s="97"/>
      <c r="AF409" s="97"/>
      <c r="AG409" s="97"/>
      <c r="AH409" s="97"/>
    </row>
    <row r="410" spans="1:34" ht="13.5" customHeight="1" x14ac:dyDescent="0.25">
      <c r="A410" s="97"/>
      <c r="B410" s="257">
        <v>68</v>
      </c>
      <c r="C410" s="652"/>
      <c r="D410" s="80"/>
      <c r="E410" s="80"/>
      <c r="F410" s="258">
        <f t="shared" ca="1" si="15"/>
        <v>0</v>
      </c>
      <c r="G410" s="624"/>
      <c r="H410" s="85"/>
      <c r="I410" s="624"/>
      <c r="J410" s="85"/>
      <c r="K410" s="624"/>
      <c r="L410" s="85"/>
      <c r="M410" s="624"/>
      <c r="N410" s="85"/>
      <c r="O410" s="624"/>
      <c r="P410" s="85"/>
      <c r="Q410" s="626">
        <f t="shared" si="13"/>
        <v>0</v>
      </c>
      <c r="R410" s="85"/>
      <c r="S410" s="624"/>
      <c r="T410" s="260"/>
      <c r="U410" s="624"/>
      <c r="V410" s="85"/>
      <c r="W410" s="624"/>
      <c r="X410" s="81"/>
      <c r="Y410" s="80"/>
      <c r="Z410" s="737">
        <f ca="1">MAX(0%,IF(Q410&lt;&gt;0,MIN((S410-Q410)/Q410/'Underwriting Risk'!$E$27,'Premium and Reserve Risk'!$Z$341),'Premium and Reserve Risk'!$Z$341))</f>
        <v>6.4000000000000001E-2</v>
      </c>
      <c r="AA410" s="80"/>
      <c r="AB410" s="80"/>
      <c r="AC410" s="737">
        <f ca="1">MAX(0%,IF(U410&lt;&gt;0,MIN((W410-U410)/U410/'Underwriting Risk'!$E$27,'Premium and Reserve Risk'!$AC$341),'Premium and Reserve Risk'!$AC$341))</f>
        <v>0.1</v>
      </c>
      <c r="AD410" s="81"/>
      <c r="AE410" s="97"/>
      <c r="AF410" s="97"/>
      <c r="AG410" s="97"/>
      <c r="AH410" s="97"/>
    </row>
    <row r="411" spans="1:34" ht="13.5" customHeight="1" x14ac:dyDescent="0.25">
      <c r="A411" s="97"/>
      <c r="B411" s="257">
        <v>69</v>
      </c>
      <c r="C411" s="652"/>
      <c r="D411" s="80"/>
      <c r="E411" s="80"/>
      <c r="F411" s="258">
        <f t="shared" ca="1" si="15"/>
        <v>0</v>
      </c>
      <c r="G411" s="624"/>
      <c r="H411" s="85"/>
      <c r="I411" s="624"/>
      <c r="J411" s="85"/>
      <c r="K411" s="624"/>
      <c r="L411" s="85"/>
      <c r="M411" s="624"/>
      <c r="N411" s="85"/>
      <c r="O411" s="624"/>
      <c r="P411" s="85"/>
      <c r="Q411" s="626">
        <f t="shared" si="13"/>
        <v>0</v>
      </c>
      <c r="R411" s="85"/>
      <c r="S411" s="624"/>
      <c r="T411" s="260"/>
      <c r="U411" s="624"/>
      <c r="V411" s="85"/>
      <c r="W411" s="624"/>
      <c r="X411" s="81"/>
      <c r="Y411" s="80"/>
      <c r="Z411" s="737">
        <f ca="1">MAX(0%,IF(Q411&lt;&gt;0,MIN((S411-Q411)/Q411/'Underwriting Risk'!$E$27,'Premium and Reserve Risk'!$Z$341),'Premium and Reserve Risk'!$Z$341))</f>
        <v>6.4000000000000001E-2</v>
      </c>
      <c r="AA411" s="80"/>
      <c r="AB411" s="80"/>
      <c r="AC411" s="737">
        <f ca="1">MAX(0%,IF(U411&lt;&gt;0,MIN((W411-U411)/U411/'Underwriting Risk'!$E$27,'Premium and Reserve Risk'!$AC$341),'Premium and Reserve Risk'!$AC$341))</f>
        <v>0.1</v>
      </c>
      <c r="AD411" s="81"/>
      <c r="AE411" s="97"/>
      <c r="AF411" s="97"/>
      <c r="AG411" s="97"/>
      <c r="AH411" s="97"/>
    </row>
    <row r="412" spans="1:34" ht="13.5" customHeight="1" x14ac:dyDescent="0.25">
      <c r="A412" s="97"/>
      <c r="B412" s="257">
        <v>70</v>
      </c>
      <c r="C412" s="652"/>
      <c r="D412" s="80"/>
      <c r="E412" s="80"/>
      <c r="F412" s="258">
        <f t="shared" ca="1" si="15"/>
        <v>0</v>
      </c>
      <c r="G412" s="624"/>
      <c r="H412" s="85"/>
      <c r="I412" s="624"/>
      <c r="J412" s="85"/>
      <c r="K412" s="624"/>
      <c r="L412" s="85"/>
      <c r="M412" s="624"/>
      <c r="N412" s="85"/>
      <c r="O412" s="624"/>
      <c r="P412" s="85"/>
      <c r="Q412" s="626">
        <f t="shared" si="13"/>
        <v>0</v>
      </c>
      <c r="R412" s="85"/>
      <c r="S412" s="624"/>
      <c r="T412" s="260"/>
      <c r="U412" s="624"/>
      <c r="V412" s="85"/>
      <c r="W412" s="624"/>
      <c r="X412" s="81"/>
      <c r="Y412" s="80"/>
      <c r="Z412" s="737">
        <f ca="1">MAX(0%,IF(Q412&lt;&gt;0,MIN((S412-Q412)/Q412/'Underwriting Risk'!$E$27,'Premium and Reserve Risk'!$Z$341),'Premium and Reserve Risk'!$Z$341))</f>
        <v>6.4000000000000001E-2</v>
      </c>
      <c r="AA412" s="80"/>
      <c r="AB412" s="80"/>
      <c r="AC412" s="737">
        <f ca="1">MAX(0%,IF(U412&lt;&gt;0,MIN((W412-U412)/U412/'Underwriting Risk'!$E$27,'Premium and Reserve Risk'!$AC$341),'Premium and Reserve Risk'!$AC$341))</f>
        <v>0.1</v>
      </c>
      <c r="AD412" s="81"/>
      <c r="AE412" s="97"/>
      <c r="AF412" s="97"/>
      <c r="AG412" s="97"/>
      <c r="AH412" s="97"/>
    </row>
    <row r="413" spans="1:34" ht="13.5" customHeight="1" x14ac:dyDescent="0.25">
      <c r="A413" s="97"/>
      <c r="B413" s="257">
        <v>71</v>
      </c>
      <c r="C413" s="652"/>
      <c r="D413" s="80"/>
      <c r="E413" s="80"/>
      <c r="F413" s="258">
        <f t="shared" ca="1" si="15"/>
        <v>0</v>
      </c>
      <c r="G413" s="624"/>
      <c r="H413" s="85"/>
      <c r="I413" s="624"/>
      <c r="J413" s="85"/>
      <c r="K413" s="624"/>
      <c r="L413" s="85"/>
      <c r="M413" s="624"/>
      <c r="N413" s="85"/>
      <c r="O413" s="624"/>
      <c r="P413" s="85"/>
      <c r="Q413" s="626">
        <f t="shared" si="13"/>
        <v>0</v>
      </c>
      <c r="R413" s="85"/>
      <c r="S413" s="624"/>
      <c r="T413" s="260"/>
      <c r="U413" s="624"/>
      <c r="V413" s="85"/>
      <c r="W413" s="624"/>
      <c r="X413" s="81"/>
      <c r="Y413" s="80"/>
      <c r="Z413" s="737">
        <f ca="1">MAX(0%,IF(Q413&lt;&gt;0,MIN((S413-Q413)/Q413/'Underwriting Risk'!$E$27,'Premium and Reserve Risk'!$Z$341),'Premium and Reserve Risk'!$Z$341))</f>
        <v>6.4000000000000001E-2</v>
      </c>
      <c r="AA413" s="80"/>
      <c r="AB413" s="80"/>
      <c r="AC413" s="737">
        <f ca="1">MAX(0%,IF(U413&lt;&gt;0,MIN((W413-U413)/U413/'Underwriting Risk'!$E$27,'Premium and Reserve Risk'!$AC$341),'Premium and Reserve Risk'!$AC$341))</f>
        <v>0.1</v>
      </c>
      <c r="AD413" s="81"/>
      <c r="AE413" s="97"/>
      <c r="AF413" s="97"/>
      <c r="AG413" s="97"/>
      <c r="AH413" s="97"/>
    </row>
    <row r="414" spans="1:34" ht="13.5" customHeight="1" x14ac:dyDescent="0.25">
      <c r="A414" s="97"/>
      <c r="B414" s="257">
        <v>72</v>
      </c>
      <c r="C414" s="652"/>
      <c r="D414" s="80"/>
      <c r="E414" s="80"/>
      <c r="F414" s="258">
        <f t="shared" ca="1" si="15"/>
        <v>0</v>
      </c>
      <c r="G414" s="624"/>
      <c r="H414" s="85"/>
      <c r="I414" s="624"/>
      <c r="J414" s="85"/>
      <c r="K414" s="624"/>
      <c r="L414" s="85"/>
      <c r="M414" s="624"/>
      <c r="N414" s="85"/>
      <c r="O414" s="624"/>
      <c r="P414" s="85"/>
      <c r="Q414" s="626">
        <f t="shared" si="13"/>
        <v>0</v>
      </c>
      <c r="R414" s="85"/>
      <c r="S414" s="624"/>
      <c r="T414" s="260"/>
      <c r="U414" s="624"/>
      <c r="V414" s="85"/>
      <c r="W414" s="624"/>
      <c r="X414" s="81"/>
      <c r="Y414" s="80"/>
      <c r="Z414" s="737">
        <f ca="1">MAX(0%,IF(Q414&lt;&gt;0,MIN((S414-Q414)/Q414/'Underwriting Risk'!$E$27,'Premium and Reserve Risk'!$Z$341),'Premium and Reserve Risk'!$Z$341))</f>
        <v>6.4000000000000001E-2</v>
      </c>
      <c r="AA414" s="80"/>
      <c r="AB414" s="80"/>
      <c r="AC414" s="737">
        <f ca="1">MAX(0%,IF(U414&lt;&gt;0,MIN((W414-U414)/U414/'Underwriting Risk'!$E$27,'Premium and Reserve Risk'!$AC$341),'Premium and Reserve Risk'!$AC$341))</f>
        <v>0.1</v>
      </c>
      <c r="AD414" s="81"/>
      <c r="AE414" s="97"/>
      <c r="AF414" s="97"/>
      <c r="AG414" s="97"/>
      <c r="AH414" s="97"/>
    </row>
    <row r="415" spans="1:34" ht="13.5" customHeight="1" x14ac:dyDescent="0.25">
      <c r="A415" s="97"/>
      <c r="B415" s="257">
        <v>73</v>
      </c>
      <c r="C415" s="652"/>
      <c r="D415" s="80"/>
      <c r="E415" s="80"/>
      <c r="F415" s="258">
        <f t="shared" ca="1" si="15"/>
        <v>0</v>
      </c>
      <c r="G415" s="624"/>
      <c r="H415" s="85"/>
      <c r="I415" s="624"/>
      <c r="J415" s="85"/>
      <c r="K415" s="624"/>
      <c r="L415" s="85"/>
      <c r="M415" s="624"/>
      <c r="N415" s="85"/>
      <c r="O415" s="624"/>
      <c r="P415" s="85"/>
      <c r="Q415" s="626">
        <f t="shared" si="13"/>
        <v>0</v>
      </c>
      <c r="R415" s="85"/>
      <c r="S415" s="624"/>
      <c r="T415" s="260"/>
      <c r="U415" s="624"/>
      <c r="V415" s="85"/>
      <c r="W415" s="624"/>
      <c r="X415" s="81"/>
      <c r="Y415" s="80"/>
      <c r="Z415" s="737">
        <f ca="1">MAX(0%,IF(Q415&lt;&gt;0,MIN((S415-Q415)/Q415/'Underwriting Risk'!$E$27,'Premium and Reserve Risk'!$Z$341),'Premium and Reserve Risk'!$Z$341))</f>
        <v>6.4000000000000001E-2</v>
      </c>
      <c r="AA415" s="80"/>
      <c r="AB415" s="80"/>
      <c r="AC415" s="737">
        <f ca="1">MAX(0%,IF(U415&lt;&gt;0,MIN((W415-U415)/U415/'Underwriting Risk'!$E$27,'Premium and Reserve Risk'!$AC$341),'Premium and Reserve Risk'!$AC$341))</f>
        <v>0.1</v>
      </c>
      <c r="AD415" s="81"/>
      <c r="AE415" s="97"/>
      <c r="AF415" s="97"/>
      <c r="AG415" s="97"/>
      <c r="AH415" s="97"/>
    </row>
    <row r="416" spans="1:34" ht="13.5" customHeight="1" x14ac:dyDescent="0.25">
      <c r="A416" s="97"/>
      <c r="B416" s="257">
        <v>74</v>
      </c>
      <c r="C416" s="652"/>
      <c r="D416" s="80"/>
      <c r="E416" s="80"/>
      <c r="F416" s="258">
        <f t="shared" ca="1" si="15"/>
        <v>0</v>
      </c>
      <c r="G416" s="624"/>
      <c r="H416" s="85"/>
      <c r="I416" s="624"/>
      <c r="J416" s="85"/>
      <c r="K416" s="624"/>
      <c r="L416" s="85"/>
      <c r="M416" s="624"/>
      <c r="N416" s="85"/>
      <c r="O416" s="624"/>
      <c r="P416" s="85"/>
      <c r="Q416" s="626">
        <f t="shared" si="13"/>
        <v>0</v>
      </c>
      <c r="R416" s="85"/>
      <c r="S416" s="624"/>
      <c r="T416" s="260"/>
      <c r="U416" s="624"/>
      <c r="V416" s="85"/>
      <c r="W416" s="624"/>
      <c r="X416" s="81"/>
      <c r="Y416" s="80"/>
      <c r="Z416" s="737">
        <f ca="1">MAX(0%,IF(Q416&lt;&gt;0,MIN((S416-Q416)/Q416/'Underwriting Risk'!$E$27,'Premium and Reserve Risk'!$Z$341),'Premium and Reserve Risk'!$Z$341))</f>
        <v>6.4000000000000001E-2</v>
      </c>
      <c r="AA416" s="80"/>
      <c r="AB416" s="80"/>
      <c r="AC416" s="737">
        <f ca="1">MAX(0%,IF(U416&lt;&gt;0,MIN((W416-U416)/U416/'Underwriting Risk'!$E$27,'Premium and Reserve Risk'!$AC$341),'Premium and Reserve Risk'!$AC$341))</f>
        <v>0.1</v>
      </c>
      <c r="AD416" s="81"/>
      <c r="AE416" s="97"/>
      <c r="AF416" s="97"/>
      <c r="AG416" s="97"/>
      <c r="AH416" s="97"/>
    </row>
    <row r="417" spans="1:34" ht="13.5" customHeight="1" x14ac:dyDescent="0.25">
      <c r="A417" s="97"/>
      <c r="B417" s="257">
        <v>75</v>
      </c>
      <c r="C417" s="652"/>
      <c r="D417" s="80"/>
      <c r="E417" s="80"/>
      <c r="F417" s="258">
        <f t="shared" ca="1" si="15"/>
        <v>0</v>
      </c>
      <c r="G417" s="624"/>
      <c r="H417" s="85"/>
      <c r="I417" s="624"/>
      <c r="J417" s="85"/>
      <c r="K417" s="624"/>
      <c r="L417" s="85"/>
      <c r="M417" s="624"/>
      <c r="N417" s="85"/>
      <c r="O417" s="624"/>
      <c r="P417" s="85"/>
      <c r="Q417" s="626">
        <f t="shared" si="13"/>
        <v>0</v>
      </c>
      <c r="R417" s="85"/>
      <c r="S417" s="624"/>
      <c r="T417" s="260"/>
      <c r="U417" s="624"/>
      <c r="V417" s="85"/>
      <c r="W417" s="624"/>
      <c r="X417" s="81"/>
      <c r="Y417" s="80"/>
      <c r="Z417" s="737">
        <f ca="1">MAX(0%,IF(Q417&lt;&gt;0,MIN((S417-Q417)/Q417/'Underwriting Risk'!$E$27,'Premium and Reserve Risk'!$Z$341),'Premium and Reserve Risk'!$Z$341))</f>
        <v>6.4000000000000001E-2</v>
      </c>
      <c r="AA417" s="80"/>
      <c r="AB417" s="80"/>
      <c r="AC417" s="737">
        <f ca="1">MAX(0%,IF(U417&lt;&gt;0,MIN((W417-U417)/U417/'Underwriting Risk'!$E$27,'Premium and Reserve Risk'!$AC$341),'Premium and Reserve Risk'!$AC$341))</f>
        <v>0.1</v>
      </c>
      <c r="AD417" s="81"/>
      <c r="AE417" s="97"/>
      <c r="AF417" s="97"/>
      <c r="AG417" s="97"/>
      <c r="AH417" s="97"/>
    </row>
    <row r="418" spans="1:34" ht="13.5" customHeight="1" x14ac:dyDescent="0.25">
      <c r="A418" s="97"/>
      <c r="B418" s="257">
        <v>76</v>
      </c>
      <c r="C418" s="652"/>
      <c r="D418" s="80"/>
      <c r="E418" s="80"/>
      <c r="F418" s="258">
        <f t="shared" ca="1" si="15"/>
        <v>0</v>
      </c>
      <c r="G418" s="624"/>
      <c r="H418" s="85"/>
      <c r="I418" s="624"/>
      <c r="J418" s="85"/>
      <c r="K418" s="624"/>
      <c r="L418" s="85"/>
      <c r="M418" s="624"/>
      <c r="N418" s="85"/>
      <c r="O418" s="624"/>
      <c r="P418" s="85"/>
      <c r="Q418" s="626">
        <f t="shared" si="13"/>
        <v>0</v>
      </c>
      <c r="R418" s="85"/>
      <c r="S418" s="624"/>
      <c r="T418" s="260"/>
      <c r="U418" s="624"/>
      <c r="V418" s="85"/>
      <c r="W418" s="624"/>
      <c r="X418" s="81"/>
      <c r="Y418" s="80"/>
      <c r="Z418" s="737">
        <f ca="1">MAX(0%,IF(Q418&lt;&gt;0,MIN((S418-Q418)/Q418/'Underwriting Risk'!$E$27,'Premium and Reserve Risk'!$Z$341),'Premium and Reserve Risk'!$Z$341))</f>
        <v>6.4000000000000001E-2</v>
      </c>
      <c r="AA418" s="80"/>
      <c r="AB418" s="80"/>
      <c r="AC418" s="737">
        <f ca="1">MAX(0%,IF(U418&lt;&gt;0,MIN((W418-U418)/U418/'Underwriting Risk'!$E$27,'Premium and Reserve Risk'!$AC$341),'Premium and Reserve Risk'!$AC$341))</f>
        <v>0.1</v>
      </c>
      <c r="AD418" s="81"/>
      <c r="AE418" s="97"/>
      <c r="AF418" s="97"/>
      <c r="AG418" s="97"/>
      <c r="AH418" s="97"/>
    </row>
    <row r="419" spans="1:34" ht="13.5" customHeight="1" x14ac:dyDescent="0.25">
      <c r="A419" s="97"/>
      <c r="B419" s="257">
        <v>77</v>
      </c>
      <c r="C419" s="652"/>
      <c r="D419" s="80"/>
      <c r="E419" s="80"/>
      <c r="F419" s="258">
        <f t="shared" ca="1" si="15"/>
        <v>0</v>
      </c>
      <c r="G419" s="624"/>
      <c r="H419" s="85"/>
      <c r="I419" s="624"/>
      <c r="J419" s="85"/>
      <c r="K419" s="624"/>
      <c r="L419" s="85"/>
      <c r="M419" s="624"/>
      <c r="N419" s="85"/>
      <c r="O419" s="624"/>
      <c r="P419" s="85"/>
      <c r="Q419" s="626">
        <f t="shared" si="13"/>
        <v>0</v>
      </c>
      <c r="R419" s="85"/>
      <c r="S419" s="624"/>
      <c r="T419" s="260"/>
      <c r="U419" s="624"/>
      <c r="V419" s="85"/>
      <c r="W419" s="624"/>
      <c r="X419" s="81"/>
      <c r="Y419" s="80"/>
      <c r="Z419" s="737">
        <f ca="1">MAX(0%,IF(Q419&lt;&gt;0,MIN((S419-Q419)/Q419/'Underwriting Risk'!$E$27,'Premium and Reserve Risk'!$Z$341),'Premium and Reserve Risk'!$Z$341))</f>
        <v>6.4000000000000001E-2</v>
      </c>
      <c r="AA419" s="80"/>
      <c r="AB419" s="80"/>
      <c r="AC419" s="737">
        <f ca="1">MAX(0%,IF(U419&lt;&gt;0,MIN((W419-U419)/U419/'Underwriting Risk'!$E$27,'Premium and Reserve Risk'!$AC$341),'Premium and Reserve Risk'!$AC$341))</f>
        <v>0.1</v>
      </c>
      <c r="AD419" s="81"/>
      <c r="AE419" s="97"/>
      <c r="AF419" s="97"/>
      <c r="AG419" s="97"/>
      <c r="AH419" s="97"/>
    </row>
    <row r="420" spans="1:34" ht="13.5" customHeight="1" x14ac:dyDescent="0.25">
      <c r="A420" s="97"/>
      <c r="B420" s="257">
        <v>78</v>
      </c>
      <c r="C420" s="652"/>
      <c r="D420" s="80"/>
      <c r="E420" s="80"/>
      <c r="F420" s="258">
        <f t="shared" ca="1" si="15"/>
        <v>0</v>
      </c>
      <c r="G420" s="624"/>
      <c r="H420" s="85"/>
      <c r="I420" s="624"/>
      <c r="J420" s="85"/>
      <c r="K420" s="624"/>
      <c r="L420" s="85"/>
      <c r="M420" s="624"/>
      <c r="N420" s="85"/>
      <c r="O420" s="624"/>
      <c r="P420" s="85"/>
      <c r="Q420" s="626">
        <f t="shared" si="13"/>
        <v>0</v>
      </c>
      <c r="R420" s="85"/>
      <c r="S420" s="624"/>
      <c r="T420" s="260"/>
      <c r="U420" s="624"/>
      <c r="V420" s="85"/>
      <c r="W420" s="624"/>
      <c r="X420" s="81"/>
      <c r="Y420" s="80"/>
      <c r="Z420" s="737">
        <f ca="1">MAX(0%,IF(Q420&lt;&gt;0,MIN((S420-Q420)/Q420/'Underwriting Risk'!$E$27,'Premium and Reserve Risk'!$Z$341),'Premium and Reserve Risk'!$Z$341))</f>
        <v>6.4000000000000001E-2</v>
      </c>
      <c r="AA420" s="80"/>
      <c r="AB420" s="80"/>
      <c r="AC420" s="737">
        <f ca="1">MAX(0%,IF(U420&lt;&gt;0,MIN((W420-U420)/U420/'Underwriting Risk'!$E$27,'Premium and Reserve Risk'!$AC$341),'Premium and Reserve Risk'!$AC$341))</f>
        <v>0.1</v>
      </c>
      <c r="AD420" s="81"/>
      <c r="AE420" s="97"/>
      <c r="AF420" s="97"/>
      <c r="AG420" s="97"/>
      <c r="AH420" s="97"/>
    </row>
    <row r="421" spans="1:34" ht="13.5" customHeight="1" x14ac:dyDescent="0.25">
      <c r="A421" s="97"/>
      <c r="B421" s="257">
        <v>79</v>
      </c>
      <c r="C421" s="652"/>
      <c r="D421" s="80"/>
      <c r="E421" s="80"/>
      <c r="F421" s="258">
        <f t="shared" ca="1" si="15"/>
        <v>0</v>
      </c>
      <c r="G421" s="624"/>
      <c r="H421" s="85"/>
      <c r="I421" s="624"/>
      <c r="J421" s="85"/>
      <c r="K421" s="624"/>
      <c r="L421" s="85"/>
      <c r="M421" s="624"/>
      <c r="N421" s="85"/>
      <c r="O421" s="624"/>
      <c r="P421" s="85"/>
      <c r="Q421" s="626">
        <f t="shared" si="13"/>
        <v>0</v>
      </c>
      <c r="R421" s="85"/>
      <c r="S421" s="624"/>
      <c r="T421" s="260"/>
      <c r="U421" s="624"/>
      <c r="V421" s="85"/>
      <c r="W421" s="624"/>
      <c r="X421" s="81"/>
      <c r="Y421" s="80"/>
      <c r="Z421" s="737">
        <f ca="1">MAX(0%,IF(Q421&lt;&gt;0,MIN((S421-Q421)/Q421/'Underwriting Risk'!$E$27,'Premium and Reserve Risk'!$Z$341),'Premium and Reserve Risk'!$Z$341))</f>
        <v>6.4000000000000001E-2</v>
      </c>
      <c r="AA421" s="80"/>
      <c r="AB421" s="80"/>
      <c r="AC421" s="737">
        <f ca="1">MAX(0%,IF(U421&lt;&gt;0,MIN((W421-U421)/U421/'Underwriting Risk'!$E$27,'Premium and Reserve Risk'!$AC$341),'Premium and Reserve Risk'!$AC$341))</f>
        <v>0.1</v>
      </c>
      <c r="AD421" s="81"/>
      <c r="AE421" s="97"/>
      <c r="AF421" s="97"/>
      <c r="AG421" s="97"/>
      <c r="AH421" s="97"/>
    </row>
    <row r="422" spans="1:34" ht="13.5" customHeight="1" x14ac:dyDescent="0.25">
      <c r="A422" s="97"/>
      <c r="B422" s="257">
        <v>80</v>
      </c>
      <c r="C422" s="652"/>
      <c r="D422" s="80"/>
      <c r="E422" s="80"/>
      <c r="F422" s="258">
        <f t="shared" ca="1" si="15"/>
        <v>0</v>
      </c>
      <c r="G422" s="624"/>
      <c r="H422" s="85"/>
      <c r="I422" s="624"/>
      <c r="J422" s="85"/>
      <c r="K422" s="624"/>
      <c r="L422" s="85"/>
      <c r="M422" s="624"/>
      <c r="N422" s="85"/>
      <c r="O422" s="624"/>
      <c r="P422" s="85"/>
      <c r="Q422" s="626">
        <f t="shared" si="13"/>
        <v>0</v>
      </c>
      <c r="R422" s="85"/>
      <c r="S422" s="624"/>
      <c r="T422" s="260"/>
      <c r="U422" s="624"/>
      <c r="V422" s="85"/>
      <c r="W422" s="624"/>
      <c r="X422" s="81"/>
      <c r="Y422" s="80"/>
      <c r="Z422" s="737">
        <f ca="1">MAX(0%,IF(Q422&lt;&gt;0,MIN((S422-Q422)/Q422/'Underwriting Risk'!$E$27,'Premium and Reserve Risk'!$Z$341),'Premium and Reserve Risk'!$Z$341))</f>
        <v>6.4000000000000001E-2</v>
      </c>
      <c r="AA422" s="80"/>
      <c r="AB422" s="80"/>
      <c r="AC422" s="737">
        <f ca="1">MAX(0%,IF(U422&lt;&gt;0,MIN((W422-U422)/U422/'Underwriting Risk'!$E$27,'Premium and Reserve Risk'!$AC$341),'Premium and Reserve Risk'!$AC$341))</f>
        <v>0.1</v>
      </c>
      <c r="AD422" s="81"/>
      <c r="AE422" s="97"/>
      <c r="AF422" s="97"/>
      <c r="AG422" s="97"/>
      <c r="AH422" s="97"/>
    </row>
    <row r="423" spans="1:34" ht="13.5" customHeight="1" x14ac:dyDescent="0.25">
      <c r="A423" s="97"/>
      <c r="B423" s="257">
        <v>81</v>
      </c>
      <c r="C423" s="652"/>
      <c r="D423" s="80"/>
      <c r="E423" s="80"/>
      <c r="F423" s="258">
        <f t="shared" ca="1" si="15"/>
        <v>0</v>
      </c>
      <c r="G423" s="624"/>
      <c r="H423" s="85"/>
      <c r="I423" s="624"/>
      <c r="J423" s="85"/>
      <c r="K423" s="624"/>
      <c r="L423" s="85"/>
      <c r="M423" s="624"/>
      <c r="N423" s="85"/>
      <c r="O423" s="624"/>
      <c r="P423" s="85"/>
      <c r="Q423" s="626">
        <f t="shared" si="13"/>
        <v>0</v>
      </c>
      <c r="R423" s="85"/>
      <c r="S423" s="624"/>
      <c r="T423" s="260"/>
      <c r="U423" s="624"/>
      <c r="V423" s="85"/>
      <c r="W423" s="624"/>
      <c r="X423" s="81"/>
      <c r="Y423" s="80"/>
      <c r="Z423" s="737">
        <f ca="1">MAX(0%,IF(Q423&lt;&gt;0,MIN((S423-Q423)/Q423/'Underwriting Risk'!$E$27,'Premium and Reserve Risk'!$Z$341),'Premium and Reserve Risk'!$Z$341))</f>
        <v>6.4000000000000001E-2</v>
      </c>
      <c r="AA423" s="80"/>
      <c r="AB423" s="80"/>
      <c r="AC423" s="737">
        <f ca="1">MAX(0%,IF(U423&lt;&gt;0,MIN((W423-U423)/U423/'Underwriting Risk'!$E$27,'Premium and Reserve Risk'!$AC$341),'Premium and Reserve Risk'!$AC$341))</f>
        <v>0.1</v>
      </c>
      <c r="AD423" s="81"/>
      <c r="AE423" s="97"/>
      <c r="AF423" s="97"/>
      <c r="AG423" s="97"/>
      <c r="AH423" s="97"/>
    </row>
    <row r="424" spans="1:34" ht="13.5" customHeight="1" x14ac:dyDescent="0.25">
      <c r="A424" s="97"/>
      <c r="B424" s="257">
        <v>82</v>
      </c>
      <c r="C424" s="652"/>
      <c r="D424" s="80"/>
      <c r="E424" s="80"/>
      <c r="F424" s="258">
        <f t="shared" ca="1" si="15"/>
        <v>0</v>
      </c>
      <c r="G424" s="624"/>
      <c r="H424" s="85"/>
      <c r="I424" s="624"/>
      <c r="J424" s="85"/>
      <c r="K424" s="624"/>
      <c r="L424" s="85"/>
      <c r="M424" s="624"/>
      <c r="N424" s="85"/>
      <c r="O424" s="624"/>
      <c r="P424" s="85"/>
      <c r="Q424" s="626">
        <f t="shared" si="13"/>
        <v>0</v>
      </c>
      <c r="R424" s="85"/>
      <c r="S424" s="624"/>
      <c r="T424" s="260"/>
      <c r="U424" s="624"/>
      <c r="V424" s="85"/>
      <c r="W424" s="624"/>
      <c r="X424" s="81"/>
      <c r="Y424" s="80"/>
      <c r="Z424" s="737">
        <f ca="1">MAX(0%,IF(Q424&lt;&gt;0,MIN((S424-Q424)/Q424/'Underwriting Risk'!$E$27,'Premium and Reserve Risk'!$Z$341),'Premium and Reserve Risk'!$Z$341))</f>
        <v>6.4000000000000001E-2</v>
      </c>
      <c r="AA424" s="80"/>
      <c r="AB424" s="80"/>
      <c r="AC424" s="737">
        <f ca="1">MAX(0%,IF(U424&lt;&gt;0,MIN((W424-U424)/U424/'Underwriting Risk'!$E$27,'Premium and Reserve Risk'!$AC$341),'Premium and Reserve Risk'!$AC$341))</f>
        <v>0.1</v>
      </c>
      <c r="AD424" s="81"/>
      <c r="AE424" s="97"/>
      <c r="AF424" s="97"/>
      <c r="AG424" s="97"/>
      <c r="AH424" s="97"/>
    </row>
    <row r="425" spans="1:34" ht="13.5" customHeight="1" x14ac:dyDescent="0.25">
      <c r="A425" s="97"/>
      <c r="B425" s="257">
        <v>83</v>
      </c>
      <c r="C425" s="652"/>
      <c r="D425" s="80"/>
      <c r="E425" s="80"/>
      <c r="F425" s="258">
        <f t="shared" ca="1" si="15"/>
        <v>0</v>
      </c>
      <c r="G425" s="624"/>
      <c r="H425" s="85"/>
      <c r="I425" s="624"/>
      <c r="J425" s="85"/>
      <c r="K425" s="624"/>
      <c r="L425" s="85"/>
      <c r="M425" s="624"/>
      <c r="N425" s="85"/>
      <c r="O425" s="624"/>
      <c r="P425" s="85"/>
      <c r="Q425" s="626">
        <f t="shared" si="13"/>
        <v>0</v>
      </c>
      <c r="R425" s="85"/>
      <c r="S425" s="624"/>
      <c r="T425" s="260"/>
      <c r="U425" s="624"/>
      <c r="V425" s="85"/>
      <c r="W425" s="624"/>
      <c r="X425" s="81"/>
      <c r="Y425" s="80"/>
      <c r="Z425" s="737">
        <f ca="1">MAX(0%,IF(Q425&lt;&gt;0,MIN((S425-Q425)/Q425/'Underwriting Risk'!$E$27,'Premium and Reserve Risk'!$Z$341),'Premium and Reserve Risk'!$Z$341))</f>
        <v>6.4000000000000001E-2</v>
      </c>
      <c r="AA425" s="80"/>
      <c r="AB425" s="80"/>
      <c r="AC425" s="737">
        <f ca="1">MAX(0%,IF(U425&lt;&gt;0,MIN((W425-U425)/U425/'Underwriting Risk'!$E$27,'Premium and Reserve Risk'!$AC$341),'Premium and Reserve Risk'!$AC$341))</f>
        <v>0.1</v>
      </c>
      <c r="AD425" s="81"/>
      <c r="AE425" s="97"/>
      <c r="AF425" s="97"/>
      <c r="AG425" s="97"/>
      <c r="AH425" s="97"/>
    </row>
    <row r="426" spans="1:34" ht="13.5" customHeight="1" x14ac:dyDescent="0.25">
      <c r="A426" s="97"/>
      <c r="B426" s="257">
        <v>84</v>
      </c>
      <c r="C426" s="652"/>
      <c r="D426" s="80"/>
      <c r="E426" s="80"/>
      <c r="F426" s="258">
        <f t="shared" ca="1" si="15"/>
        <v>0</v>
      </c>
      <c r="G426" s="624"/>
      <c r="H426" s="85"/>
      <c r="I426" s="624"/>
      <c r="J426" s="85"/>
      <c r="K426" s="624"/>
      <c r="L426" s="85"/>
      <c r="M426" s="624"/>
      <c r="N426" s="85"/>
      <c r="O426" s="624"/>
      <c r="P426" s="85"/>
      <c r="Q426" s="626">
        <f t="shared" si="13"/>
        <v>0</v>
      </c>
      <c r="R426" s="85"/>
      <c r="S426" s="624"/>
      <c r="T426" s="260"/>
      <c r="U426" s="624"/>
      <c r="V426" s="85"/>
      <c r="W426" s="624"/>
      <c r="X426" s="81"/>
      <c r="Y426" s="80"/>
      <c r="Z426" s="737">
        <f ca="1">MAX(0%,IF(Q426&lt;&gt;0,MIN((S426-Q426)/Q426/'Underwriting Risk'!$E$27,'Premium and Reserve Risk'!$Z$341),'Premium and Reserve Risk'!$Z$341))</f>
        <v>6.4000000000000001E-2</v>
      </c>
      <c r="AA426" s="80"/>
      <c r="AB426" s="80"/>
      <c r="AC426" s="737">
        <f ca="1">MAX(0%,IF(U426&lt;&gt;0,MIN((W426-U426)/U426/'Underwriting Risk'!$E$27,'Premium and Reserve Risk'!$AC$341),'Premium and Reserve Risk'!$AC$341))</f>
        <v>0.1</v>
      </c>
      <c r="AD426" s="81"/>
      <c r="AE426" s="97"/>
      <c r="AF426" s="97"/>
      <c r="AG426" s="97"/>
      <c r="AH426" s="97"/>
    </row>
    <row r="427" spans="1:34" ht="13.5" customHeight="1" x14ac:dyDescent="0.25">
      <c r="A427" s="97"/>
      <c r="B427" s="257">
        <v>85</v>
      </c>
      <c r="C427" s="652"/>
      <c r="D427" s="80"/>
      <c r="E427" s="80"/>
      <c r="F427" s="258">
        <f t="shared" ca="1" si="15"/>
        <v>0</v>
      </c>
      <c r="G427" s="624"/>
      <c r="H427" s="85"/>
      <c r="I427" s="624"/>
      <c r="J427" s="85"/>
      <c r="K427" s="624"/>
      <c r="L427" s="85"/>
      <c r="M427" s="624"/>
      <c r="N427" s="85"/>
      <c r="O427" s="624"/>
      <c r="P427" s="85"/>
      <c r="Q427" s="626">
        <f t="shared" si="13"/>
        <v>0</v>
      </c>
      <c r="R427" s="85"/>
      <c r="S427" s="624"/>
      <c r="T427" s="260"/>
      <c r="U427" s="624"/>
      <c r="V427" s="85"/>
      <c r="W427" s="624"/>
      <c r="X427" s="81"/>
      <c r="Y427" s="80"/>
      <c r="Z427" s="737">
        <f ca="1">MAX(0%,IF(Q427&lt;&gt;0,MIN((S427-Q427)/Q427/'Underwriting Risk'!$E$27,'Premium and Reserve Risk'!$Z$341),'Premium and Reserve Risk'!$Z$341))</f>
        <v>6.4000000000000001E-2</v>
      </c>
      <c r="AA427" s="80"/>
      <c r="AB427" s="80"/>
      <c r="AC427" s="737">
        <f ca="1">MAX(0%,IF(U427&lt;&gt;0,MIN((W427-U427)/U427/'Underwriting Risk'!$E$27,'Premium and Reserve Risk'!$AC$341),'Premium and Reserve Risk'!$AC$341))</f>
        <v>0.1</v>
      </c>
      <c r="AD427" s="81"/>
      <c r="AE427" s="97"/>
      <c r="AF427" s="97"/>
      <c r="AG427" s="97"/>
      <c r="AH427" s="97"/>
    </row>
    <row r="428" spans="1:34" ht="13.5" customHeight="1" x14ac:dyDescent="0.25">
      <c r="A428" s="97"/>
      <c r="B428" s="257">
        <v>86</v>
      </c>
      <c r="C428" s="652"/>
      <c r="D428" s="80"/>
      <c r="E428" s="80"/>
      <c r="F428" s="258">
        <f t="shared" ca="1" si="15"/>
        <v>0</v>
      </c>
      <c r="G428" s="624"/>
      <c r="H428" s="85"/>
      <c r="I428" s="624"/>
      <c r="J428" s="85"/>
      <c r="K428" s="624"/>
      <c r="L428" s="85"/>
      <c r="M428" s="624"/>
      <c r="N428" s="85"/>
      <c r="O428" s="624"/>
      <c r="P428" s="85"/>
      <c r="Q428" s="626">
        <f t="shared" si="13"/>
        <v>0</v>
      </c>
      <c r="R428" s="85"/>
      <c r="S428" s="624"/>
      <c r="T428" s="260"/>
      <c r="U428" s="624"/>
      <c r="V428" s="85"/>
      <c r="W428" s="624"/>
      <c r="X428" s="81"/>
      <c r="Y428" s="80"/>
      <c r="Z428" s="737">
        <f ca="1">MAX(0%,IF(Q428&lt;&gt;0,MIN((S428-Q428)/Q428/'Underwriting Risk'!$E$27,'Premium and Reserve Risk'!$Z$341),'Premium and Reserve Risk'!$Z$341))</f>
        <v>6.4000000000000001E-2</v>
      </c>
      <c r="AA428" s="80"/>
      <c r="AB428" s="80"/>
      <c r="AC428" s="737">
        <f ca="1">MAX(0%,IF(U428&lt;&gt;0,MIN((W428-U428)/U428/'Underwriting Risk'!$E$27,'Premium and Reserve Risk'!$AC$341),'Premium and Reserve Risk'!$AC$341))</f>
        <v>0.1</v>
      </c>
      <c r="AD428" s="81"/>
      <c r="AE428" s="97"/>
      <c r="AF428" s="97"/>
      <c r="AG428" s="97"/>
      <c r="AH428" s="97"/>
    </row>
    <row r="429" spans="1:34" ht="13.5" customHeight="1" x14ac:dyDescent="0.25">
      <c r="A429" s="97"/>
      <c r="B429" s="257">
        <v>87</v>
      </c>
      <c r="C429" s="652"/>
      <c r="D429" s="80"/>
      <c r="E429" s="80"/>
      <c r="F429" s="258">
        <f t="shared" ca="1" si="15"/>
        <v>0</v>
      </c>
      <c r="G429" s="624"/>
      <c r="H429" s="85"/>
      <c r="I429" s="624"/>
      <c r="J429" s="85"/>
      <c r="K429" s="624"/>
      <c r="L429" s="85"/>
      <c r="M429" s="624"/>
      <c r="N429" s="85"/>
      <c r="O429" s="624"/>
      <c r="P429" s="85"/>
      <c r="Q429" s="626">
        <f t="shared" si="13"/>
        <v>0</v>
      </c>
      <c r="R429" s="85"/>
      <c r="S429" s="624"/>
      <c r="T429" s="260"/>
      <c r="U429" s="624"/>
      <c r="V429" s="85"/>
      <c r="W429" s="624"/>
      <c r="X429" s="81"/>
      <c r="Y429" s="80"/>
      <c r="Z429" s="737">
        <f ca="1">MAX(0%,IF(Q429&lt;&gt;0,MIN((S429-Q429)/Q429/'Underwriting Risk'!$E$27,'Premium and Reserve Risk'!$Z$341),'Premium and Reserve Risk'!$Z$341))</f>
        <v>6.4000000000000001E-2</v>
      </c>
      <c r="AA429" s="80"/>
      <c r="AB429" s="80"/>
      <c r="AC429" s="737">
        <f ca="1">MAX(0%,IF(U429&lt;&gt;0,MIN((W429-U429)/U429/'Underwriting Risk'!$E$27,'Premium and Reserve Risk'!$AC$341),'Premium and Reserve Risk'!$AC$341))</f>
        <v>0.1</v>
      </c>
      <c r="AD429" s="81"/>
      <c r="AE429" s="97"/>
      <c r="AF429" s="97"/>
      <c r="AG429" s="97"/>
      <c r="AH429" s="97"/>
    </row>
    <row r="430" spans="1:34" ht="13.5" customHeight="1" x14ac:dyDescent="0.25">
      <c r="A430" s="97"/>
      <c r="B430" s="257">
        <v>88</v>
      </c>
      <c r="C430" s="652"/>
      <c r="D430" s="80"/>
      <c r="E430" s="80"/>
      <c r="F430" s="258">
        <f t="shared" ca="1" si="15"/>
        <v>0</v>
      </c>
      <c r="G430" s="624"/>
      <c r="H430" s="85"/>
      <c r="I430" s="624"/>
      <c r="J430" s="85"/>
      <c r="K430" s="624"/>
      <c r="L430" s="85"/>
      <c r="M430" s="624"/>
      <c r="N430" s="85"/>
      <c r="O430" s="624"/>
      <c r="P430" s="85"/>
      <c r="Q430" s="626">
        <f t="shared" si="13"/>
        <v>0</v>
      </c>
      <c r="R430" s="85"/>
      <c r="S430" s="624"/>
      <c r="T430" s="260"/>
      <c r="U430" s="624"/>
      <c r="V430" s="85"/>
      <c r="W430" s="624"/>
      <c r="X430" s="81"/>
      <c r="Y430" s="80"/>
      <c r="Z430" s="737">
        <f ca="1">MAX(0%,IF(Q430&lt;&gt;0,MIN((S430-Q430)/Q430/'Underwriting Risk'!$E$27,'Premium and Reserve Risk'!$Z$341),'Premium and Reserve Risk'!$Z$341))</f>
        <v>6.4000000000000001E-2</v>
      </c>
      <c r="AA430" s="80"/>
      <c r="AB430" s="80"/>
      <c r="AC430" s="737">
        <f ca="1">MAX(0%,IF(U430&lt;&gt;0,MIN((W430-U430)/U430/'Underwriting Risk'!$E$27,'Premium and Reserve Risk'!$AC$341),'Premium and Reserve Risk'!$AC$341))</f>
        <v>0.1</v>
      </c>
      <c r="AD430" s="81"/>
      <c r="AE430" s="97"/>
      <c r="AF430" s="97"/>
      <c r="AG430" s="97"/>
      <c r="AH430" s="97"/>
    </row>
    <row r="431" spans="1:34" ht="13.5" customHeight="1" x14ac:dyDescent="0.25">
      <c r="A431" s="97"/>
      <c r="B431" s="257">
        <v>89</v>
      </c>
      <c r="C431" s="652"/>
      <c r="D431" s="80"/>
      <c r="E431" s="80"/>
      <c r="F431" s="258">
        <f t="shared" ca="1" si="15"/>
        <v>0</v>
      </c>
      <c r="G431" s="624"/>
      <c r="H431" s="85"/>
      <c r="I431" s="624"/>
      <c r="J431" s="85"/>
      <c r="K431" s="624"/>
      <c r="L431" s="85"/>
      <c r="M431" s="624"/>
      <c r="N431" s="85"/>
      <c r="O431" s="624"/>
      <c r="P431" s="85"/>
      <c r="Q431" s="626">
        <f t="shared" si="13"/>
        <v>0</v>
      </c>
      <c r="R431" s="85"/>
      <c r="S431" s="624"/>
      <c r="T431" s="260"/>
      <c r="U431" s="624"/>
      <c r="V431" s="85"/>
      <c r="W431" s="624"/>
      <c r="X431" s="81"/>
      <c r="Y431" s="80"/>
      <c r="Z431" s="737">
        <f ca="1">MAX(0%,IF(Q431&lt;&gt;0,MIN((S431-Q431)/Q431/'Underwriting Risk'!$E$27,'Premium and Reserve Risk'!$Z$341),'Premium and Reserve Risk'!$Z$341))</f>
        <v>6.4000000000000001E-2</v>
      </c>
      <c r="AA431" s="80"/>
      <c r="AB431" s="80"/>
      <c r="AC431" s="737">
        <f ca="1">MAX(0%,IF(U431&lt;&gt;0,MIN((W431-U431)/U431/'Underwriting Risk'!$E$27,'Premium and Reserve Risk'!$AC$341),'Premium and Reserve Risk'!$AC$341))</f>
        <v>0.1</v>
      </c>
      <c r="AD431" s="81"/>
      <c r="AE431" s="97"/>
      <c r="AF431" s="97"/>
      <c r="AG431" s="97"/>
      <c r="AH431" s="97"/>
    </row>
    <row r="432" spans="1:34" ht="13.5" customHeight="1" x14ac:dyDescent="0.25">
      <c r="A432" s="97"/>
      <c r="B432" s="257">
        <v>90</v>
      </c>
      <c r="C432" s="652"/>
      <c r="D432" s="80"/>
      <c r="E432" s="80"/>
      <c r="F432" s="258">
        <f t="shared" ca="1" si="15"/>
        <v>0</v>
      </c>
      <c r="G432" s="624"/>
      <c r="H432" s="85"/>
      <c r="I432" s="624"/>
      <c r="J432" s="85"/>
      <c r="K432" s="624"/>
      <c r="L432" s="85"/>
      <c r="M432" s="624"/>
      <c r="N432" s="85"/>
      <c r="O432" s="624"/>
      <c r="P432" s="85"/>
      <c r="Q432" s="626">
        <f t="shared" si="13"/>
        <v>0</v>
      </c>
      <c r="R432" s="85"/>
      <c r="S432" s="624"/>
      <c r="T432" s="260"/>
      <c r="U432" s="624"/>
      <c r="V432" s="85"/>
      <c r="W432" s="624"/>
      <c r="X432" s="81"/>
      <c r="Y432" s="80"/>
      <c r="Z432" s="737">
        <f ca="1">MAX(0%,IF(Q432&lt;&gt;0,MIN((S432-Q432)/Q432/'Underwriting Risk'!$E$27,'Premium and Reserve Risk'!$Z$341),'Premium and Reserve Risk'!$Z$341))</f>
        <v>6.4000000000000001E-2</v>
      </c>
      <c r="AA432" s="80"/>
      <c r="AB432" s="80"/>
      <c r="AC432" s="737">
        <f ca="1">MAX(0%,IF(U432&lt;&gt;0,MIN((W432-U432)/U432/'Underwriting Risk'!$E$27,'Premium and Reserve Risk'!$AC$341),'Premium and Reserve Risk'!$AC$341))</f>
        <v>0.1</v>
      </c>
      <c r="AD432" s="81"/>
      <c r="AE432" s="97"/>
      <c r="AF432" s="97"/>
      <c r="AG432" s="97"/>
      <c r="AH432" s="97"/>
    </row>
    <row r="433" spans="1:34" ht="13.5" customHeight="1" x14ac:dyDescent="0.25">
      <c r="A433" s="97"/>
      <c r="B433" s="257">
        <v>91</v>
      </c>
      <c r="C433" s="652"/>
      <c r="D433" s="80"/>
      <c r="E433" s="80"/>
      <c r="F433" s="258">
        <f t="shared" ca="1" si="15"/>
        <v>0</v>
      </c>
      <c r="G433" s="624"/>
      <c r="H433" s="85"/>
      <c r="I433" s="624"/>
      <c r="J433" s="85"/>
      <c r="K433" s="624"/>
      <c r="L433" s="85"/>
      <c r="M433" s="624"/>
      <c r="N433" s="85"/>
      <c r="O433" s="624"/>
      <c r="P433" s="85"/>
      <c r="Q433" s="626">
        <f t="shared" si="13"/>
        <v>0</v>
      </c>
      <c r="R433" s="85"/>
      <c r="S433" s="624"/>
      <c r="T433" s="260"/>
      <c r="U433" s="624"/>
      <c r="V433" s="85"/>
      <c r="W433" s="624"/>
      <c r="X433" s="81"/>
      <c r="Y433" s="80"/>
      <c r="Z433" s="737">
        <f ca="1">MAX(0%,IF(Q433&lt;&gt;0,MIN((S433-Q433)/Q433/'Underwriting Risk'!$E$27,'Premium and Reserve Risk'!$Z$341),'Premium and Reserve Risk'!$Z$341))</f>
        <v>6.4000000000000001E-2</v>
      </c>
      <c r="AA433" s="80"/>
      <c r="AB433" s="80"/>
      <c r="AC433" s="737">
        <f ca="1">MAX(0%,IF(U433&lt;&gt;0,MIN((W433-U433)/U433/'Underwriting Risk'!$E$27,'Premium and Reserve Risk'!$AC$341),'Premium and Reserve Risk'!$AC$341))</f>
        <v>0.1</v>
      </c>
      <c r="AD433" s="81"/>
      <c r="AE433" s="97"/>
      <c r="AF433" s="97"/>
      <c r="AG433" s="97"/>
      <c r="AH433" s="97"/>
    </row>
    <row r="434" spans="1:34" ht="13.5" customHeight="1" x14ac:dyDescent="0.25">
      <c r="A434" s="97"/>
      <c r="B434" s="257">
        <v>92</v>
      </c>
      <c r="C434" s="652"/>
      <c r="D434" s="80"/>
      <c r="E434" s="80"/>
      <c r="F434" s="258">
        <f t="shared" ca="1" si="15"/>
        <v>0</v>
      </c>
      <c r="G434" s="624"/>
      <c r="H434" s="85"/>
      <c r="I434" s="624"/>
      <c r="J434" s="85"/>
      <c r="K434" s="624"/>
      <c r="L434" s="85"/>
      <c r="M434" s="624"/>
      <c r="N434" s="85"/>
      <c r="O434" s="624"/>
      <c r="P434" s="85"/>
      <c r="Q434" s="626">
        <f t="shared" si="13"/>
        <v>0</v>
      </c>
      <c r="R434" s="85"/>
      <c r="S434" s="624"/>
      <c r="T434" s="260"/>
      <c r="U434" s="624"/>
      <c r="V434" s="85"/>
      <c r="W434" s="624"/>
      <c r="X434" s="81"/>
      <c r="Y434" s="80"/>
      <c r="Z434" s="737">
        <f ca="1">MAX(0%,IF(Q434&lt;&gt;0,MIN((S434-Q434)/Q434/'Underwriting Risk'!$E$27,'Premium and Reserve Risk'!$Z$341),'Premium and Reserve Risk'!$Z$341))</f>
        <v>6.4000000000000001E-2</v>
      </c>
      <c r="AA434" s="80"/>
      <c r="AB434" s="80"/>
      <c r="AC434" s="737">
        <f ca="1">MAX(0%,IF(U434&lt;&gt;0,MIN((W434-U434)/U434/'Underwriting Risk'!$E$27,'Premium and Reserve Risk'!$AC$341),'Premium and Reserve Risk'!$AC$341))</f>
        <v>0.1</v>
      </c>
      <c r="AD434" s="81"/>
      <c r="AE434" s="97"/>
      <c r="AF434" s="97"/>
      <c r="AG434" s="97"/>
      <c r="AH434" s="97"/>
    </row>
    <row r="435" spans="1:34" ht="13.5" customHeight="1" x14ac:dyDescent="0.25">
      <c r="A435" s="97"/>
      <c r="B435" s="257">
        <v>93</v>
      </c>
      <c r="C435" s="652"/>
      <c r="D435" s="80"/>
      <c r="E435" s="80"/>
      <c r="F435" s="258">
        <f t="shared" ca="1" si="15"/>
        <v>0</v>
      </c>
      <c r="G435" s="624"/>
      <c r="H435" s="85"/>
      <c r="I435" s="624"/>
      <c r="J435" s="85"/>
      <c r="K435" s="624"/>
      <c r="L435" s="85"/>
      <c r="M435" s="624"/>
      <c r="N435" s="85"/>
      <c r="O435" s="624"/>
      <c r="P435" s="85"/>
      <c r="Q435" s="626">
        <f t="shared" si="13"/>
        <v>0</v>
      </c>
      <c r="R435" s="85"/>
      <c r="S435" s="624"/>
      <c r="T435" s="260"/>
      <c r="U435" s="624"/>
      <c r="V435" s="85"/>
      <c r="W435" s="624"/>
      <c r="X435" s="81"/>
      <c r="Y435" s="80"/>
      <c r="Z435" s="737">
        <f ca="1">MAX(0%,IF(Q435&lt;&gt;0,MIN((S435-Q435)/Q435/'Underwriting Risk'!$E$27,'Premium and Reserve Risk'!$Z$341),'Premium and Reserve Risk'!$Z$341))</f>
        <v>6.4000000000000001E-2</v>
      </c>
      <c r="AA435" s="80"/>
      <c r="AB435" s="80"/>
      <c r="AC435" s="737">
        <f ca="1">MAX(0%,IF(U435&lt;&gt;0,MIN((W435-U435)/U435/'Underwriting Risk'!$E$27,'Premium and Reserve Risk'!$AC$341),'Premium and Reserve Risk'!$AC$341))</f>
        <v>0.1</v>
      </c>
      <c r="AD435" s="81"/>
      <c r="AE435" s="97"/>
      <c r="AF435" s="97"/>
      <c r="AG435" s="97"/>
      <c r="AH435" s="97"/>
    </row>
    <row r="436" spans="1:34" ht="13.5" customHeight="1" x14ac:dyDescent="0.25">
      <c r="A436" s="97"/>
      <c r="B436" s="257">
        <v>94</v>
      </c>
      <c r="C436" s="652"/>
      <c r="D436" s="80"/>
      <c r="E436" s="80"/>
      <c r="F436" s="258">
        <f t="shared" ca="1" si="15"/>
        <v>0</v>
      </c>
      <c r="G436" s="624"/>
      <c r="H436" s="85"/>
      <c r="I436" s="624"/>
      <c r="J436" s="85"/>
      <c r="K436" s="624"/>
      <c r="L436" s="85"/>
      <c r="M436" s="624"/>
      <c r="N436" s="85"/>
      <c r="O436" s="624"/>
      <c r="P436" s="85"/>
      <c r="Q436" s="626">
        <f t="shared" si="13"/>
        <v>0</v>
      </c>
      <c r="R436" s="85"/>
      <c r="S436" s="624"/>
      <c r="T436" s="260"/>
      <c r="U436" s="624"/>
      <c r="V436" s="85"/>
      <c r="W436" s="624"/>
      <c r="X436" s="81"/>
      <c r="Y436" s="80"/>
      <c r="Z436" s="737">
        <f ca="1">MAX(0%,IF(Q436&lt;&gt;0,MIN((S436-Q436)/Q436/'Underwriting Risk'!$E$27,'Premium and Reserve Risk'!$Z$341),'Premium and Reserve Risk'!$Z$341))</f>
        <v>6.4000000000000001E-2</v>
      </c>
      <c r="AA436" s="80"/>
      <c r="AB436" s="80"/>
      <c r="AC436" s="737">
        <f ca="1">MAX(0%,IF(U436&lt;&gt;0,MIN((W436-U436)/U436/'Underwriting Risk'!$E$27,'Premium and Reserve Risk'!$AC$341),'Premium and Reserve Risk'!$AC$341))</f>
        <v>0.1</v>
      </c>
      <c r="AD436" s="81"/>
      <c r="AE436" s="97"/>
      <c r="AF436" s="97"/>
      <c r="AG436" s="97"/>
      <c r="AH436" s="97"/>
    </row>
    <row r="437" spans="1:34" ht="13.5" customHeight="1" x14ac:dyDescent="0.25">
      <c r="A437" s="97"/>
      <c r="B437" s="257">
        <v>95</v>
      </c>
      <c r="C437" s="652"/>
      <c r="D437" s="80"/>
      <c r="E437" s="80"/>
      <c r="F437" s="258">
        <f t="shared" ca="1" si="15"/>
        <v>0</v>
      </c>
      <c r="G437" s="624"/>
      <c r="H437" s="85"/>
      <c r="I437" s="624"/>
      <c r="J437" s="85"/>
      <c r="K437" s="624"/>
      <c r="L437" s="85"/>
      <c r="M437" s="624"/>
      <c r="N437" s="85"/>
      <c r="O437" s="624"/>
      <c r="P437" s="85"/>
      <c r="Q437" s="626">
        <f t="shared" si="13"/>
        <v>0</v>
      </c>
      <c r="R437" s="85"/>
      <c r="S437" s="624"/>
      <c r="T437" s="260"/>
      <c r="U437" s="624"/>
      <c r="V437" s="85"/>
      <c r="W437" s="624"/>
      <c r="X437" s="81"/>
      <c r="Y437" s="80"/>
      <c r="Z437" s="737">
        <f ca="1">MAX(0%,IF(Q437&lt;&gt;0,MIN((S437-Q437)/Q437/'Underwriting Risk'!$E$27,'Premium and Reserve Risk'!$Z$341),'Premium and Reserve Risk'!$Z$341))</f>
        <v>6.4000000000000001E-2</v>
      </c>
      <c r="AA437" s="80"/>
      <c r="AB437" s="80"/>
      <c r="AC437" s="737">
        <f ca="1">MAX(0%,IF(U437&lt;&gt;0,MIN((W437-U437)/U437/'Underwriting Risk'!$E$27,'Premium and Reserve Risk'!$AC$341),'Premium and Reserve Risk'!$AC$341))</f>
        <v>0.1</v>
      </c>
      <c r="AD437" s="81"/>
      <c r="AE437" s="97"/>
      <c r="AF437" s="97"/>
      <c r="AG437" s="97"/>
      <c r="AH437" s="97"/>
    </row>
    <row r="438" spans="1:34" ht="13.5" customHeight="1" x14ac:dyDescent="0.25">
      <c r="A438" s="97"/>
      <c r="B438" s="257">
        <v>96</v>
      </c>
      <c r="C438" s="652"/>
      <c r="D438" s="80"/>
      <c r="E438" s="80"/>
      <c r="F438" s="258">
        <f t="shared" ca="1" si="15"/>
        <v>0</v>
      </c>
      <c r="G438" s="624"/>
      <c r="H438" s="85"/>
      <c r="I438" s="624"/>
      <c r="J438" s="85"/>
      <c r="K438" s="624"/>
      <c r="L438" s="85"/>
      <c r="M438" s="624"/>
      <c r="N438" s="85"/>
      <c r="O438" s="624"/>
      <c r="P438" s="85"/>
      <c r="Q438" s="626">
        <f t="shared" si="13"/>
        <v>0</v>
      </c>
      <c r="R438" s="85"/>
      <c r="S438" s="624"/>
      <c r="T438" s="260"/>
      <c r="U438" s="624"/>
      <c r="V438" s="85"/>
      <c r="W438" s="624"/>
      <c r="X438" s="81"/>
      <c r="Y438" s="80"/>
      <c r="Z438" s="737">
        <f ca="1">MAX(0%,IF(Q438&lt;&gt;0,MIN((S438-Q438)/Q438/'Underwriting Risk'!$E$27,'Premium and Reserve Risk'!$Z$341),'Premium and Reserve Risk'!$Z$341))</f>
        <v>6.4000000000000001E-2</v>
      </c>
      <c r="AA438" s="80"/>
      <c r="AB438" s="80"/>
      <c r="AC438" s="737">
        <f ca="1">MAX(0%,IF(U438&lt;&gt;0,MIN((W438-U438)/U438/'Underwriting Risk'!$E$27,'Premium and Reserve Risk'!$AC$341),'Premium and Reserve Risk'!$AC$341))</f>
        <v>0.1</v>
      </c>
      <c r="AD438" s="81"/>
      <c r="AE438" s="97"/>
      <c r="AF438" s="97"/>
      <c r="AG438" s="97"/>
      <c r="AH438" s="97"/>
    </row>
    <row r="439" spans="1:34" ht="13.5" customHeight="1" x14ac:dyDescent="0.25">
      <c r="A439" s="97"/>
      <c r="B439" s="257">
        <v>97</v>
      </c>
      <c r="C439" s="652"/>
      <c r="D439" s="80"/>
      <c r="E439" s="80"/>
      <c r="F439" s="258">
        <f t="shared" ca="1" si="15"/>
        <v>0</v>
      </c>
      <c r="G439" s="624"/>
      <c r="H439" s="85"/>
      <c r="I439" s="624"/>
      <c r="J439" s="85"/>
      <c r="K439" s="624"/>
      <c r="L439" s="85"/>
      <c r="M439" s="624"/>
      <c r="N439" s="85"/>
      <c r="O439" s="624"/>
      <c r="P439" s="85"/>
      <c r="Q439" s="626">
        <f t="shared" si="13"/>
        <v>0</v>
      </c>
      <c r="R439" s="85"/>
      <c r="S439" s="624"/>
      <c r="T439" s="260"/>
      <c r="U439" s="624"/>
      <c r="V439" s="85"/>
      <c r="W439" s="624"/>
      <c r="X439" s="81"/>
      <c r="Y439" s="80"/>
      <c r="Z439" s="737">
        <f ca="1">MAX(0%,IF(Q439&lt;&gt;0,MIN((S439-Q439)/Q439/'Underwriting Risk'!$E$27,'Premium and Reserve Risk'!$Z$341),'Premium and Reserve Risk'!$Z$341))</f>
        <v>6.4000000000000001E-2</v>
      </c>
      <c r="AA439" s="80"/>
      <c r="AB439" s="80"/>
      <c r="AC439" s="737">
        <f ca="1">MAX(0%,IF(U439&lt;&gt;0,MIN((W439-U439)/U439/'Underwriting Risk'!$E$27,'Premium and Reserve Risk'!$AC$341),'Premium and Reserve Risk'!$AC$341))</f>
        <v>0.1</v>
      </c>
      <c r="AD439" s="81"/>
      <c r="AE439" s="97"/>
      <c r="AF439" s="97"/>
      <c r="AG439" s="97"/>
      <c r="AH439" s="97"/>
    </row>
    <row r="440" spans="1:34" ht="13.5" customHeight="1" x14ac:dyDescent="0.25">
      <c r="A440" s="97"/>
      <c r="B440" s="257">
        <v>98</v>
      </c>
      <c r="C440" s="652"/>
      <c r="D440" s="80"/>
      <c r="E440" s="80"/>
      <c r="F440" s="258">
        <f t="shared" ca="1" si="15"/>
        <v>0</v>
      </c>
      <c r="G440" s="624"/>
      <c r="H440" s="85"/>
      <c r="I440" s="624"/>
      <c r="J440" s="85"/>
      <c r="K440" s="624"/>
      <c r="L440" s="85"/>
      <c r="M440" s="624"/>
      <c r="N440" s="85"/>
      <c r="O440" s="624"/>
      <c r="P440" s="85"/>
      <c r="Q440" s="626">
        <f t="shared" si="13"/>
        <v>0</v>
      </c>
      <c r="R440" s="85"/>
      <c r="S440" s="624"/>
      <c r="T440" s="260"/>
      <c r="U440" s="624"/>
      <c r="V440" s="85"/>
      <c r="W440" s="624"/>
      <c r="X440" s="81"/>
      <c r="Y440" s="80"/>
      <c r="Z440" s="737">
        <f ca="1">MAX(0%,IF(Q440&lt;&gt;0,MIN((S440-Q440)/Q440/'Underwriting Risk'!$E$27,'Premium and Reserve Risk'!$Z$341),'Premium and Reserve Risk'!$Z$341))</f>
        <v>6.4000000000000001E-2</v>
      </c>
      <c r="AA440" s="80"/>
      <c r="AB440" s="80"/>
      <c r="AC440" s="737">
        <f ca="1">MAX(0%,IF(U440&lt;&gt;0,MIN((W440-U440)/U440/'Underwriting Risk'!$E$27,'Premium and Reserve Risk'!$AC$341),'Premium and Reserve Risk'!$AC$341))</f>
        <v>0.1</v>
      </c>
      <c r="AD440" s="81"/>
      <c r="AE440" s="97"/>
      <c r="AF440" s="97"/>
      <c r="AG440" s="97"/>
      <c r="AH440" s="97"/>
    </row>
    <row r="441" spans="1:34" ht="13.5" customHeight="1" x14ac:dyDescent="0.25">
      <c r="A441" s="97"/>
      <c r="B441" s="257">
        <v>99</v>
      </c>
      <c r="C441" s="652"/>
      <c r="D441" s="80"/>
      <c r="E441" s="80"/>
      <c r="F441" s="258">
        <f t="shared" ca="1" si="15"/>
        <v>0</v>
      </c>
      <c r="G441" s="624"/>
      <c r="H441" s="85"/>
      <c r="I441" s="624"/>
      <c r="J441" s="85"/>
      <c r="K441" s="624"/>
      <c r="L441" s="85"/>
      <c r="M441" s="624"/>
      <c r="N441" s="85"/>
      <c r="O441" s="624"/>
      <c r="P441" s="85"/>
      <c r="Q441" s="626">
        <f t="shared" si="13"/>
        <v>0</v>
      </c>
      <c r="R441" s="85"/>
      <c r="S441" s="624"/>
      <c r="T441" s="260"/>
      <c r="U441" s="624"/>
      <c r="V441" s="85"/>
      <c r="W441" s="624"/>
      <c r="X441" s="81"/>
      <c r="Y441" s="80"/>
      <c r="Z441" s="737">
        <f ca="1">MAX(0%,IF(Q441&lt;&gt;0,MIN((S441-Q441)/Q441/'Underwriting Risk'!$E$27,'Premium and Reserve Risk'!$Z$341),'Premium and Reserve Risk'!$Z$341))</f>
        <v>6.4000000000000001E-2</v>
      </c>
      <c r="AA441" s="80"/>
      <c r="AB441" s="80"/>
      <c r="AC441" s="737">
        <f ca="1">MAX(0%,IF(U441&lt;&gt;0,MIN((W441-U441)/U441/'Underwriting Risk'!$E$27,'Premium and Reserve Risk'!$AC$341),'Premium and Reserve Risk'!$AC$341))</f>
        <v>0.1</v>
      </c>
      <c r="AD441" s="81"/>
      <c r="AE441" s="97"/>
      <c r="AF441" s="97"/>
      <c r="AG441" s="97"/>
      <c r="AH441" s="97"/>
    </row>
    <row r="442" spans="1:34" ht="13.5" customHeight="1" x14ac:dyDescent="0.25">
      <c r="A442" s="97"/>
      <c r="B442" s="257">
        <v>100</v>
      </c>
      <c r="C442" s="652"/>
      <c r="D442" s="80"/>
      <c r="E442" s="80"/>
      <c r="F442" s="258">
        <f t="shared" ca="1" si="15"/>
        <v>0</v>
      </c>
      <c r="G442" s="624"/>
      <c r="H442" s="85"/>
      <c r="I442" s="624"/>
      <c r="J442" s="85"/>
      <c r="K442" s="624"/>
      <c r="L442" s="85"/>
      <c r="M442" s="624"/>
      <c r="N442" s="85"/>
      <c r="O442" s="624"/>
      <c r="P442" s="85"/>
      <c r="Q442" s="626">
        <f t="shared" si="13"/>
        <v>0</v>
      </c>
      <c r="R442" s="85"/>
      <c r="S442" s="624"/>
      <c r="T442" s="260"/>
      <c r="U442" s="624"/>
      <c r="V442" s="85"/>
      <c r="W442" s="624"/>
      <c r="X442" s="81"/>
      <c r="Y442" s="80"/>
      <c r="Z442" s="737">
        <f ca="1">MAX(0%,IF(Q442&lt;&gt;0,MIN((S442-Q442)/Q442/'Underwriting Risk'!$E$27,'Premium and Reserve Risk'!$Z$341),'Premium and Reserve Risk'!$Z$341))</f>
        <v>6.4000000000000001E-2</v>
      </c>
      <c r="AA442" s="80"/>
      <c r="AB442" s="80"/>
      <c r="AC442" s="737">
        <f ca="1">MAX(0%,IF(U442&lt;&gt;0,MIN((W442-U442)/U442/'Underwriting Risk'!$E$27,'Premium and Reserve Risk'!$AC$341),'Premium and Reserve Risk'!$AC$341))</f>
        <v>0.1</v>
      </c>
      <c r="AD442" s="81"/>
      <c r="AE442" s="97"/>
      <c r="AF442" s="97"/>
      <c r="AG442" s="97"/>
      <c r="AH442" s="97"/>
    </row>
    <row r="443" spans="1:34" ht="6" customHeight="1" thickBot="1" x14ac:dyDescent="0.3">
      <c r="A443" s="97"/>
      <c r="B443" s="110"/>
      <c r="C443" s="93"/>
      <c r="D443" s="93"/>
      <c r="E443" s="93"/>
      <c r="F443" s="261">
        <f ca="1">IF(OFFSET($Z$8,B340-1,0)=0,1,0)</f>
        <v>0</v>
      </c>
      <c r="G443" s="134"/>
      <c r="H443" s="134"/>
      <c r="I443" s="134"/>
      <c r="J443" s="134"/>
      <c r="K443" s="134"/>
      <c r="L443" s="134"/>
      <c r="M443" s="134"/>
      <c r="N443" s="134"/>
      <c r="O443" s="134"/>
      <c r="P443" s="134"/>
      <c r="Q443" s="134"/>
      <c r="R443" s="134"/>
      <c r="S443" s="134"/>
      <c r="T443" s="134"/>
      <c r="U443" s="134"/>
      <c r="V443" s="134"/>
      <c r="W443" s="134"/>
      <c r="X443" s="94"/>
      <c r="Y443" s="93"/>
      <c r="Z443" s="93"/>
      <c r="AA443" s="93"/>
      <c r="AB443" s="93"/>
      <c r="AC443" s="93"/>
      <c r="AD443" s="94"/>
      <c r="AE443" s="97"/>
      <c r="AF443" s="97"/>
      <c r="AG443" s="97"/>
      <c r="AH443" s="97"/>
    </row>
    <row r="444" spans="1:34" ht="16.5" thickBot="1" x14ac:dyDescent="0.3">
      <c r="A444" s="97"/>
      <c r="B444" s="53"/>
      <c r="C444" s="53"/>
      <c r="D444" s="53"/>
      <c r="E444" s="53"/>
      <c r="F444" s="109"/>
      <c r="G444" s="109"/>
      <c r="H444" s="109"/>
      <c r="I444" s="109"/>
      <c r="J444" s="109"/>
      <c r="K444" s="109"/>
      <c r="L444" s="109"/>
      <c r="M444" s="109"/>
      <c r="N444" s="109"/>
      <c r="O444" s="109"/>
      <c r="P444" s="109"/>
      <c r="Q444" s="109"/>
      <c r="R444" s="109"/>
      <c r="S444" s="109"/>
      <c r="T444" s="109"/>
      <c r="U444" s="109"/>
      <c r="V444" s="109"/>
      <c r="W444" s="109"/>
      <c r="X444" s="53"/>
      <c r="Y444" s="53"/>
      <c r="Z444" s="53"/>
      <c r="AA444" s="53"/>
      <c r="AB444" s="53"/>
      <c r="AC444" s="53"/>
      <c r="AD444" s="53"/>
      <c r="AE444" s="97"/>
      <c r="AF444" s="97"/>
      <c r="AG444" s="97"/>
      <c r="AH444" s="97"/>
    </row>
    <row r="445" spans="1:34" ht="31.5" x14ac:dyDescent="0.25">
      <c r="A445" s="97"/>
      <c r="B445" s="187">
        <v>5</v>
      </c>
      <c r="C445" s="187" t="str">
        <f ca="1">RIGHT(OFFSET($B$8,B445-1,0),LEN(OFFSET($B$8,B445-1,0))-5)</f>
        <v xml:space="preserve"> General Liability &amp; 17 Prop. Reins.</v>
      </c>
      <c r="D445" s="68"/>
      <c r="E445" s="68"/>
      <c r="F445" s="68"/>
      <c r="G445" s="68"/>
      <c r="H445" s="68"/>
      <c r="I445" s="68"/>
      <c r="J445" s="68"/>
      <c r="K445" s="68"/>
      <c r="L445" s="68"/>
      <c r="M445" s="68"/>
      <c r="N445" s="68"/>
      <c r="O445" s="68"/>
      <c r="P445" s="68"/>
      <c r="Q445" s="68"/>
      <c r="R445" s="68"/>
      <c r="S445" s="68"/>
      <c r="T445" s="68"/>
      <c r="U445" s="68"/>
      <c r="V445" s="68"/>
      <c r="W445" s="68"/>
      <c r="X445" s="251"/>
      <c r="Y445" s="68"/>
      <c r="Z445" s="250" t="s">
        <v>458</v>
      </c>
      <c r="AA445" s="736"/>
      <c r="AB445" s="736"/>
      <c r="AC445" s="250" t="s">
        <v>459</v>
      </c>
      <c r="AD445" s="251"/>
      <c r="AE445" s="97"/>
      <c r="AF445" s="97"/>
      <c r="AG445" s="97"/>
      <c r="AH445" s="97"/>
    </row>
    <row r="446" spans="1:34" ht="129.75" thickBot="1" x14ac:dyDescent="0.3">
      <c r="A446" s="97"/>
      <c r="B446" s="252"/>
      <c r="C446" s="253" t="s">
        <v>460</v>
      </c>
      <c r="D446" s="237"/>
      <c r="E446" s="237"/>
      <c r="F446" s="254">
        <f ca="1">IF(OFFSET($Z$8,B445-1,0)=0,1,0)</f>
        <v>0</v>
      </c>
      <c r="G446" s="792" t="s">
        <v>1130</v>
      </c>
      <c r="H446" s="793"/>
      <c r="I446" s="791" t="s">
        <v>438</v>
      </c>
      <c r="J446" s="791"/>
      <c r="K446" s="791" t="s">
        <v>439</v>
      </c>
      <c r="L446" s="791"/>
      <c r="M446" s="791" t="s">
        <v>1131</v>
      </c>
      <c r="N446" s="791"/>
      <c r="O446" s="791" t="s">
        <v>1132</v>
      </c>
      <c r="P446" s="363"/>
      <c r="Q446" s="237" t="s">
        <v>440</v>
      </c>
      <c r="R446" s="237"/>
      <c r="S446" s="237" t="s">
        <v>461</v>
      </c>
      <c r="T446" s="237"/>
      <c r="U446" s="237" t="s">
        <v>463</v>
      </c>
      <c r="V446" s="237"/>
      <c r="W446" s="237" t="s">
        <v>464</v>
      </c>
      <c r="X446" s="238"/>
      <c r="Y446" s="237"/>
      <c r="Z446" s="255">
        <f ca="1">OFFSET('Underwriting Risk'!$K$55,'Premium and Reserve Risk'!B445-1,0)</f>
        <v>0.11200000000000002</v>
      </c>
      <c r="AA446" s="237"/>
      <c r="AB446" s="237"/>
      <c r="AC446" s="255">
        <f ca="1">OFFSET('Underwriting Risk'!$M$55,'Premium and Reserve Risk'!B445-1,0)</f>
        <v>0.11</v>
      </c>
      <c r="AD446" s="238"/>
      <c r="AE446" s="97"/>
      <c r="AF446" s="97"/>
      <c r="AG446" s="97"/>
      <c r="AH446" s="97"/>
    </row>
    <row r="447" spans="1:34" ht="6" customHeight="1" x14ac:dyDescent="0.25">
      <c r="A447" s="97"/>
      <c r="B447" s="106"/>
      <c r="C447" s="80"/>
      <c r="D447" s="80"/>
      <c r="E447" s="80"/>
      <c r="F447" s="256">
        <f ca="1">IF(OFFSET($Z$8,B445-1,0)=0,1,0)</f>
        <v>0</v>
      </c>
      <c r="G447" s="85"/>
      <c r="H447" s="85"/>
      <c r="I447" s="85"/>
      <c r="J447" s="85"/>
      <c r="K447" s="85"/>
      <c r="L447" s="85"/>
      <c r="M447" s="85"/>
      <c r="N447" s="85"/>
      <c r="O447" s="85"/>
      <c r="P447" s="85"/>
      <c r="Q447" s="85"/>
      <c r="R447" s="85"/>
      <c r="S447" s="85"/>
      <c r="T447" s="85"/>
      <c r="U447" s="85"/>
      <c r="V447" s="85"/>
      <c r="W447" s="85"/>
      <c r="X447" s="81"/>
      <c r="Y447" s="80"/>
      <c r="Z447" s="80"/>
      <c r="AA447" s="80"/>
      <c r="AB447" s="80"/>
      <c r="AC447" s="80"/>
      <c r="AD447" s="81"/>
      <c r="AE447" s="97"/>
      <c r="AF447" s="97"/>
      <c r="AG447" s="97"/>
      <c r="AH447" s="97"/>
    </row>
    <row r="448" spans="1:34" ht="13.5" customHeight="1" x14ac:dyDescent="0.25">
      <c r="A448" s="97"/>
      <c r="B448" s="257">
        <v>1</v>
      </c>
      <c r="C448" s="652"/>
      <c r="D448" s="80"/>
      <c r="E448" s="80"/>
      <c r="F448" s="258">
        <f ca="1">IF(B448&lt;=OFFSET($Z$8,B$445-1,0),0,1)</f>
        <v>0</v>
      </c>
      <c r="G448" s="624"/>
      <c r="H448" s="85"/>
      <c r="I448" s="624"/>
      <c r="J448" s="85"/>
      <c r="K448" s="624"/>
      <c r="L448" s="85"/>
      <c r="M448" s="624"/>
      <c r="N448" s="85"/>
      <c r="O448" s="624"/>
      <c r="P448" s="85"/>
      <c r="Q448" s="626">
        <f t="shared" ref="Q448:Q547" si="16">MAX(G448,I448)+K448+M448+0.3*O448</f>
        <v>0</v>
      </c>
      <c r="R448" s="85"/>
      <c r="S448" s="624"/>
      <c r="T448" s="260"/>
      <c r="U448" s="624"/>
      <c r="V448" s="85"/>
      <c r="W448" s="624"/>
      <c r="X448" s="81"/>
      <c r="Y448" s="80"/>
      <c r="Z448" s="737">
        <f ca="1">MAX(0%,IF(Q448&lt;&gt;0,MIN((S448-Q448)/Q448/'Underwriting Risk'!$E$27,'Premium and Reserve Risk'!$Z$446),'Premium and Reserve Risk'!$Z$446))</f>
        <v>0.11200000000000002</v>
      </c>
      <c r="AA448" s="80"/>
      <c r="AB448" s="80"/>
      <c r="AC448" s="737">
        <f ca="1">MAX(0%,IF(U448&lt;&gt;0,MIN((W448-U448)/U448/'Underwriting Risk'!$E$27,'Premium and Reserve Risk'!$AC$446),'Premium and Reserve Risk'!$AC$446))</f>
        <v>0.11</v>
      </c>
      <c r="AD448" s="81"/>
      <c r="AE448" s="97"/>
      <c r="AF448" s="97"/>
      <c r="AG448" s="97"/>
      <c r="AH448" s="97"/>
    </row>
    <row r="449" spans="1:34" ht="13.5" customHeight="1" x14ac:dyDescent="0.25">
      <c r="A449" s="97"/>
      <c r="B449" s="257">
        <v>2</v>
      </c>
      <c r="C449" s="652"/>
      <c r="D449" s="80"/>
      <c r="E449" s="80"/>
      <c r="F449" s="258">
        <f t="shared" ref="F449:F512" ca="1" si="17">IF(B449&lt;=OFFSET($Z$8,B$445-1,0),0,1)</f>
        <v>0</v>
      </c>
      <c r="G449" s="624"/>
      <c r="H449" s="85"/>
      <c r="I449" s="624"/>
      <c r="J449" s="85"/>
      <c r="K449" s="624"/>
      <c r="L449" s="85"/>
      <c r="M449" s="624"/>
      <c r="N449" s="85"/>
      <c r="O449" s="624"/>
      <c r="P449" s="85"/>
      <c r="Q449" s="626">
        <f t="shared" si="16"/>
        <v>0</v>
      </c>
      <c r="R449" s="85"/>
      <c r="S449" s="624"/>
      <c r="T449" s="260"/>
      <c r="U449" s="624"/>
      <c r="V449" s="85"/>
      <c r="W449" s="624"/>
      <c r="X449" s="81"/>
      <c r="Y449" s="80"/>
      <c r="Z449" s="737">
        <f ca="1">MAX(0%,IF(Q449&lt;&gt;0,MIN((S449-Q449)/Q449/'Underwriting Risk'!$E$27,'Premium and Reserve Risk'!$Z$446),'Premium and Reserve Risk'!$Z$446))</f>
        <v>0.11200000000000002</v>
      </c>
      <c r="AA449" s="80"/>
      <c r="AB449" s="80"/>
      <c r="AC449" s="737">
        <f ca="1">MAX(0%,IF(U449&lt;&gt;0,MIN((W449-U449)/U449/'Underwriting Risk'!$E$27,'Premium and Reserve Risk'!$AC$446),'Premium and Reserve Risk'!$AC$446))</f>
        <v>0.11</v>
      </c>
      <c r="AD449" s="81"/>
      <c r="AE449" s="97"/>
      <c r="AF449" s="97"/>
      <c r="AG449" s="97"/>
      <c r="AH449" s="97"/>
    </row>
    <row r="450" spans="1:34" ht="13.5" customHeight="1" x14ac:dyDescent="0.25">
      <c r="A450" s="97"/>
      <c r="B450" s="257">
        <v>3</v>
      </c>
      <c r="C450" s="652"/>
      <c r="D450" s="80"/>
      <c r="E450" s="80"/>
      <c r="F450" s="258">
        <f t="shared" ca="1" si="17"/>
        <v>0</v>
      </c>
      <c r="G450" s="624"/>
      <c r="H450" s="85"/>
      <c r="I450" s="624"/>
      <c r="J450" s="85"/>
      <c r="K450" s="624"/>
      <c r="L450" s="85"/>
      <c r="M450" s="624"/>
      <c r="N450" s="85"/>
      <c r="O450" s="624"/>
      <c r="P450" s="85"/>
      <c r="Q450" s="626">
        <f t="shared" si="16"/>
        <v>0</v>
      </c>
      <c r="R450" s="85"/>
      <c r="S450" s="624"/>
      <c r="T450" s="260"/>
      <c r="U450" s="624"/>
      <c r="V450" s="85"/>
      <c r="W450" s="624"/>
      <c r="X450" s="81"/>
      <c r="Y450" s="80"/>
      <c r="Z450" s="737">
        <f ca="1">MAX(0%,IF(Q450&lt;&gt;0,MIN((S450-Q450)/Q450/'Underwriting Risk'!$E$27,'Premium and Reserve Risk'!$Z$446),'Premium and Reserve Risk'!$Z$446))</f>
        <v>0.11200000000000002</v>
      </c>
      <c r="AA450" s="80"/>
      <c r="AB450" s="80"/>
      <c r="AC450" s="737">
        <f ca="1">MAX(0%,IF(U450&lt;&gt;0,MIN((W450-U450)/U450/'Underwriting Risk'!$E$27,'Premium and Reserve Risk'!$AC$446),'Premium and Reserve Risk'!$AC$446))</f>
        <v>0.11</v>
      </c>
      <c r="AD450" s="81"/>
      <c r="AE450" s="97"/>
      <c r="AF450" s="97"/>
      <c r="AG450" s="97"/>
      <c r="AH450" s="97"/>
    </row>
    <row r="451" spans="1:34" ht="13.5" customHeight="1" x14ac:dyDescent="0.25">
      <c r="A451" s="97"/>
      <c r="B451" s="257">
        <v>4</v>
      </c>
      <c r="C451" s="652"/>
      <c r="D451" s="80"/>
      <c r="E451" s="80"/>
      <c r="F451" s="258">
        <f t="shared" ca="1" si="17"/>
        <v>0</v>
      </c>
      <c r="G451" s="624"/>
      <c r="H451" s="85"/>
      <c r="I451" s="624"/>
      <c r="J451" s="85"/>
      <c r="K451" s="624"/>
      <c r="L451" s="85"/>
      <c r="M451" s="624"/>
      <c r="N451" s="85"/>
      <c r="O451" s="624"/>
      <c r="P451" s="85"/>
      <c r="Q451" s="626">
        <f t="shared" si="16"/>
        <v>0</v>
      </c>
      <c r="R451" s="85"/>
      <c r="S451" s="624"/>
      <c r="T451" s="260"/>
      <c r="U451" s="624"/>
      <c r="V451" s="85"/>
      <c r="W451" s="624"/>
      <c r="X451" s="81"/>
      <c r="Y451" s="80"/>
      <c r="Z451" s="737">
        <f ca="1">MAX(0%,IF(Q451&lt;&gt;0,MIN((S451-Q451)/Q451/'Underwriting Risk'!$E$27,'Premium and Reserve Risk'!$Z$446),'Premium and Reserve Risk'!$Z$446))</f>
        <v>0.11200000000000002</v>
      </c>
      <c r="AA451" s="80"/>
      <c r="AB451" s="80"/>
      <c r="AC451" s="737">
        <f ca="1">MAX(0%,IF(U451&lt;&gt;0,MIN((W451-U451)/U451/'Underwriting Risk'!$E$27,'Premium and Reserve Risk'!$AC$446),'Premium and Reserve Risk'!$AC$446))</f>
        <v>0.11</v>
      </c>
      <c r="AD451" s="81"/>
      <c r="AE451" s="97"/>
      <c r="AF451" s="97"/>
      <c r="AG451" s="97"/>
      <c r="AH451" s="97"/>
    </row>
    <row r="452" spans="1:34" ht="13.5" customHeight="1" x14ac:dyDescent="0.25">
      <c r="A452" s="97"/>
      <c r="B452" s="257">
        <v>5</v>
      </c>
      <c r="C452" s="652"/>
      <c r="D452" s="80"/>
      <c r="E452" s="80"/>
      <c r="F452" s="258">
        <f t="shared" ca="1" si="17"/>
        <v>0</v>
      </c>
      <c r="G452" s="624"/>
      <c r="H452" s="85"/>
      <c r="I452" s="624"/>
      <c r="J452" s="85"/>
      <c r="K452" s="624"/>
      <c r="L452" s="85"/>
      <c r="M452" s="624"/>
      <c r="N452" s="85"/>
      <c r="O452" s="624"/>
      <c r="P452" s="85"/>
      <c r="Q452" s="626">
        <f t="shared" si="16"/>
        <v>0</v>
      </c>
      <c r="R452" s="85"/>
      <c r="S452" s="624"/>
      <c r="T452" s="260"/>
      <c r="U452" s="624"/>
      <c r="V452" s="85"/>
      <c r="W452" s="624"/>
      <c r="X452" s="81"/>
      <c r="Y452" s="80"/>
      <c r="Z452" s="737">
        <f ca="1">MAX(0%,IF(Q452&lt;&gt;0,MIN((S452-Q452)/Q452/'Underwriting Risk'!$E$27,'Premium and Reserve Risk'!$Z$446),'Premium and Reserve Risk'!$Z$446))</f>
        <v>0.11200000000000002</v>
      </c>
      <c r="AA452" s="80"/>
      <c r="AB452" s="80"/>
      <c r="AC452" s="737">
        <f ca="1">MAX(0%,IF(U452&lt;&gt;0,MIN((W452-U452)/U452/'Underwriting Risk'!$E$27,'Premium and Reserve Risk'!$AC$446),'Premium and Reserve Risk'!$AC$446))</f>
        <v>0.11</v>
      </c>
      <c r="AD452" s="81"/>
      <c r="AE452" s="97"/>
      <c r="AF452" s="97"/>
      <c r="AG452" s="97"/>
      <c r="AH452" s="97"/>
    </row>
    <row r="453" spans="1:34" ht="13.5" customHeight="1" x14ac:dyDescent="0.25">
      <c r="A453" s="97"/>
      <c r="B453" s="257">
        <v>6</v>
      </c>
      <c r="C453" s="652"/>
      <c r="D453" s="80"/>
      <c r="E453" s="80"/>
      <c r="F453" s="258">
        <f t="shared" ca="1" si="17"/>
        <v>0</v>
      </c>
      <c r="G453" s="624"/>
      <c r="H453" s="85"/>
      <c r="I453" s="624"/>
      <c r="J453" s="85"/>
      <c r="K453" s="624"/>
      <c r="L453" s="85"/>
      <c r="M453" s="624"/>
      <c r="N453" s="85"/>
      <c r="O453" s="624"/>
      <c r="P453" s="85"/>
      <c r="Q453" s="626">
        <f t="shared" si="16"/>
        <v>0</v>
      </c>
      <c r="R453" s="85"/>
      <c r="S453" s="624"/>
      <c r="T453" s="260"/>
      <c r="U453" s="624"/>
      <c r="V453" s="85"/>
      <c r="W453" s="624"/>
      <c r="X453" s="81"/>
      <c r="Y453" s="80"/>
      <c r="Z453" s="737">
        <f ca="1">MAX(0%,IF(Q453&lt;&gt;0,MIN((S453-Q453)/Q453/'Underwriting Risk'!$E$27,'Premium and Reserve Risk'!$Z$446),'Premium and Reserve Risk'!$Z$446))</f>
        <v>0.11200000000000002</v>
      </c>
      <c r="AA453" s="80"/>
      <c r="AB453" s="80"/>
      <c r="AC453" s="737">
        <f ca="1">MAX(0%,IF(U453&lt;&gt;0,MIN((W453-U453)/U453/'Underwriting Risk'!$E$27,'Premium and Reserve Risk'!$AC$446),'Premium and Reserve Risk'!$AC$446))</f>
        <v>0.11</v>
      </c>
      <c r="AD453" s="81"/>
      <c r="AE453" s="97"/>
      <c r="AF453" s="97"/>
      <c r="AG453" s="97"/>
      <c r="AH453" s="97"/>
    </row>
    <row r="454" spans="1:34" ht="13.5" customHeight="1" x14ac:dyDescent="0.25">
      <c r="A454" s="97"/>
      <c r="B454" s="257">
        <v>7</v>
      </c>
      <c r="C454" s="652"/>
      <c r="D454" s="80"/>
      <c r="E454" s="80"/>
      <c r="F454" s="258">
        <f t="shared" ca="1" si="17"/>
        <v>0</v>
      </c>
      <c r="G454" s="624"/>
      <c r="H454" s="85"/>
      <c r="I454" s="624"/>
      <c r="J454" s="85"/>
      <c r="K454" s="624"/>
      <c r="L454" s="85"/>
      <c r="M454" s="624"/>
      <c r="N454" s="85"/>
      <c r="O454" s="624"/>
      <c r="P454" s="85"/>
      <c r="Q454" s="626">
        <f t="shared" si="16"/>
        <v>0</v>
      </c>
      <c r="R454" s="85"/>
      <c r="S454" s="624"/>
      <c r="T454" s="260"/>
      <c r="U454" s="624"/>
      <c r="V454" s="85"/>
      <c r="W454" s="624"/>
      <c r="X454" s="81"/>
      <c r="Y454" s="80"/>
      <c r="Z454" s="737">
        <f ca="1">MAX(0%,IF(Q454&lt;&gt;0,MIN((S454-Q454)/Q454/'Underwriting Risk'!$E$27,'Premium and Reserve Risk'!$Z$446),'Premium and Reserve Risk'!$Z$446))</f>
        <v>0.11200000000000002</v>
      </c>
      <c r="AA454" s="80"/>
      <c r="AB454" s="80"/>
      <c r="AC454" s="737">
        <f ca="1">MAX(0%,IF(U454&lt;&gt;0,MIN((W454-U454)/U454/'Underwriting Risk'!$E$27,'Premium and Reserve Risk'!$AC$446),'Premium and Reserve Risk'!$AC$446))</f>
        <v>0.11</v>
      </c>
      <c r="AD454" s="81"/>
      <c r="AE454" s="97"/>
      <c r="AF454" s="97"/>
      <c r="AG454" s="97"/>
      <c r="AH454" s="97"/>
    </row>
    <row r="455" spans="1:34" ht="13.5" customHeight="1" x14ac:dyDescent="0.25">
      <c r="A455" s="97"/>
      <c r="B455" s="257">
        <v>8</v>
      </c>
      <c r="C455" s="652"/>
      <c r="D455" s="80"/>
      <c r="E455" s="80"/>
      <c r="F455" s="258">
        <f t="shared" ca="1" si="17"/>
        <v>0</v>
      </c>
      <c r="G455" s="624"/>
      <c r="H455" s="85"/>
      <c r="I455" s="624"/>
      <c r="J455" s="85"/>
      <c r="K455" s="624"/>
      <c r="L455" s="85"/>
      <c r="M455" s="624"/>
      <c r="N455" s="85"/>
      <c r="O455" s="624"/>
      <c r="P455" s="85"/>
      <c r="Q455" s="626">
        <f t="shared" si="16"/>
        <v>0</v>
      </c>
      <c r="R455" s="85"/>
      <c r="S455" s="624"/>
      <c r="T455" s="260"/>
      <c r="U455" s="624"/>
      <c r="V455" s="85"/>
      <c r="W455" s="624"/>
      <c r="X455" s="81"/>
      <c r="Y455" s="80"/>
      <c r="Z455" s="737">
        <f ca="1">MAX(0%,IF(Q455&lt;&gt;0,MIN((S455-Q455)/Q455/'Underwriting Risk'!$E$27,'Premium and Reserve Risk'!$Z$446),'Premium and Reserve Risk'!$Z$446))</f>
        <v>0.11200000000000002</v>
      </c>
      <c r="AA455" s="80"/>
      <c r="AB455" s="80"/>
      <c r="AC455" s="737">
        <f ca="1">MAX(0%,IF(U455&lt;&gt;0,MIN((W455-U455)/U455/'Underwriting Risk'!$E$27,'Premium and Reserve Risk'!$AC$446),'Premium and Reserve Risk'!$AC$446))</f>
        <v>0.11</v>
      </c>
      <c r="AD455" s="81"/>
      <c r="AE455" s="97"/>
      <c r="AF455" s="97"/>
      <c r="AG455" s="97"/>
      <c r="AH455" s="97"/>
    </row>
    <row r="456" spans="1:34" ht="13.5" customHeight="1" x14ac:dyDescent="0.25">
      <c r="A456" s="97"/>
      <c r="B456" s="257">
        <v>9</v>
      </c>
      <c r="C456" s="652"/>
      <c r="D456" s="80"/>
      <c r="E456" s="80"/>
      <c r="F456" s="258">
        <f t="shared" ca="1" si="17"/>
        <v>0</v>
      </c>
      <c r="G456" s="624"/>
      <c r="H456" s="85"/>
      <c r="I456" s="624"/>
      <c r="J456" s="85"/>
      <c r="K456" s="624"/>
      <c r="L456" s="85"/>
      <c r="M456" s="624"/>
      <c r="N456" s="85"/>
      <c r="O456" s="624"/>
      <c r="P456" s="85"/>
      <c r="Q456" s="626">
        <f t="shared" si="16"/>
        <v>0</v>
      </c>
      <c r="R456" s="85"/>
      <c r="S456" s="624"/>
      <c r="T456" s="260"/>
      <c r="U456" s="624"/>
      <c r="V456" s="85"/>
      <c r="W456" s="624"/>
      <c r="X456" s="81"/>
      <c r="Y456" s="80"/>
      <c r="Z456" s="737">
        <f ca="1">MAX(0%,IF(Q456&lt;&gt;0,MIN((S456-Q456)/Q456/'Underwriting Risk'!$E$27,'Premium and Reserve Risk'!$Z$446),'Premium and Reserve Risk'!$Z$446))</f>
        <v>0.11200000000000002</v>
      </c>
      <c r="AA456" s="80"/>
      <c r="AB456" s="80"/>
      <c r="AC456" s="737">
        <f ca="1">MAX(0%,IF(U456&lt;&gt;0,MIN((W456-U456)/U456/'Underwriting Risk'!$E$27,'Premium and Reserve Risk'!$AC$446),'Premium and Reserve Risk'!$AC$446))</f>
        <v>0.11</v>
      </c>
      <c r="AD456" s="81"/>
      <c r="AE456" s="97"/>
      <c r="AF456" s="97"/>
      <c r="AG456" s="97"/>
      <c r="AH456" s="97"/>
    </row>
    <row r="457" spans="1:34" ht="13.5" customHeight="1" x14ac:dyDescent="0.25">
      <c r="A457" s="97"/>
      <c r="B457" s="257">
        <v>10</v>
      </c>
      <c r="C457" s="652"/>
      <c r="D457" s="80"/>
      <c r="E457" s="80"/>
      <c r="F457" s="258">
        <f t="shared" ca="1" si="17"/>
        <v>0</v>
      </c>
      <c r="G457" s="624"/>
      <c r="H457" s="85"/>
      <c r="I457" s="624"/>
      <c r="J457" s="85"/>
      <c r="K457" s="624"/>
      <c r="L457" s="85"/>
      <c r="M457" s="624"/>
      <c r="N457" s="85"/>
      <c r="O457" s="624"/>
      <c r="P457" s="85"/>
      <c r="Q457" s="626">
        <f t="shared" si="16"/>
        <v>0</v>
      </c>
      <c r="R457" s="85"/>
      <c r="S457" s="624"/>
      <c r="T457" s="260"/>
      <c r="U457" s="624"/>
      <c r="V457" s="85"/>
      <c r="W457" s="624"/>
      <c r="X457" s="81"/>
      <c r="Y457" s="80"/>
      <c r="Z457" s="737">
        <f ca="1">MAX(0%,IF(Q457&lt;&gt;0,MIN((S457-Q457)/Q457/'Underwriting Risk'!$E$27,'Premium and Reserve Risk'!$Z$446),'Premium and Reserve Risk'!$Z$446))</f>
        <v>0.11200000000000002</v>
      </c>
      <c r="AA457" s="80"/>
      <c r="AB457" s="80"/>
      <c r="AC457" s="737">
        <f ca="1">MAX(0%,IF(U457&lt;&gt;0,MIN((W457-U457)/U457/'Underwriting Risk'!$E$27,'Premium and Reserve Risk'!$AC$446),'Premium and Reserve Risk'!$AC$446))</f>
        <v>0.11</v>
      </c>
      <c r="AD457" s="81"/>
      <c r="AE457" s="97"/>
      <c r="AF457" s="97"/>
      <c r="AG457" s="97"/>
      <c r="AH457" s="97"/>
    </row>
    <row r="458" spans="1:34" ht="13.5" customHeight="1" x14ac:dyDescent="0.25">
      <c r="A458" s="97"/>
      <c r="B458" s="257">
        <v>11</v>
      </c>
      <c r="C458" s="652"/>
      <c r="D458" s="80"/>
      <c r="E458" s="80"/>
      <c r="F458" s="258">
        <f t="shared" ca="1" si="17"/>
        <v>0</v>
      </c>
      <c r="G458" s="624"/>
      <c r="H458" s="85"/>
      <c r="I458" s="624"/>
      <c r="J458" s="85"/>
      <c r="K458" s="624"/>
      <c r="L458" s="85"/>
      <c r="M458" s="624"/>
      <c r="N458" s="85"/>
      <c r="O458" s="624"/>
      <c r="P458" s="85"/>
      <c r="Q458" s="626">
        <f t="shared" si="16"/>
        <v>0</v>
      </c>
      <c r="R458" s="85"/>
      <c r="S458" s="624"/>
      <c r="T458" s="260"/>
      <c r="U458" s="624"/>
      <c r="V458" s="85"/>
      <c r="W458" s="624"/>
      <c r="X458" s="81"/>
      <c r="Y458" s="80"/>
      <c r="Z458" s="737">
        <f ca="1">MAX(0%,IF(Q458&lt;&gt;0,MIN((S458-Q458)/Q458/'Underwriting Risk'!$E$27,'Premium and Reserve Risk'!$Z$446),'Premium and Reserve Risk'!$Z$446))</f>
        <v>0.11200000000000002</v>
      </c>
      <c r="AA458" s="80"/>
      <c r="AB458" s="80"/>
      <c r="AC458" s="737">
        <f ca="1">MAX(0%,IF(U458&lt;&gt;0,MIN((W458-U458)/U458/'Underwriting Risk'!$E$27,'Premium and Reserve Risk'!$AC$446),'Premium and Reserve Risk'!$AC$446))</f>
        <v>0.11</v>
      </c>
      <c r="AD458" s="81"/>
      <c r="AE458" s="97"/>
      <c r="AF458" s="97"/>
      <c r="AG458" s="97"/>
      <c r="AH458" s="97"/>
    </row>
    <row r="459" spans="1:34" ht="13.5" customHeight="1" x14ac:dyDescent="0.25">
      <c r="A459" s="97"/>
      <c r="B459" s="257">
        <v>12</v>
      </c>
      <c r="C459" s="652"/>
      <c r="D459" s="80"/>
      <c r="E459" s="80"/>
      <c r="F459" s="258">
        <f t="shared" ca="1" si="17"/>
        <v>0</v>
      </c>
      <c r="G459" s="624"/>
      <c r="H459" s="85"/>
      <c r="I459" s="624"/>
      <c r="J459" s="85"/>
      <c r="K459" s="624"/>
      <c r="L459" s="85"/>
      <c r="M459" s="624"/>
      <c r="N459" s="85"/>
      <c r="O459" s="624"/>
      <c r="P459" s="85"/>
      <c r="Q459" s="626">
        <f t="shared" si="16"/>
        <v>0</v>
      </c>
      <c r="R459" s="85"/>
      <c r="S459" s="624"/>
      <c r="T459" s="260"/>
      <c r="U459" s="624"/>
      <c r="V459" s="85"/>
      <c r="W459" s="624"/>
      <c r="X459" s="81"/>
      <c r="Y459" s="80"/>
      <c r="Z459" s="737">
        <f ca="1">MAX(0%,IF(Q459&lt;&gt;0,MIN((S459-Q459)/Q459/'Underwriting Risk'!$E$27,'Premium and Reserve Risk'!$Z$446),'Premium and Reserve Risk'!$Z$446))</f>
        <v>0.11200000000000002</v>
      </c>
      <c r="AA459" s="80"/>
      <c r="AB459" s="80"/>
      <c r="AC459" s="737">
        <f ca="1">MAX(0%,IF(U459&lt;&gt;0,MIN((W459-U459)/U459/'Underwriting Risk'!$E$27,'Premium and Reserve Risk'!$AC$446),'Premium and Reserve Risk'!$AC$446))</f>
        <v>0.11</v>
      </c>
      <c r="AD459" s="81"/>
      <c r="AE459" s="97"/>
      <c r="AF459" s="97"/>
      <c r="AG459" s="97"/>
      <c r="AH459" s="97"/>
    </row>
    <row r="460" spans="1:34" ht="13.5" customHeight="1" x14ac:dyDescent="0.25">
      <c r="A460" s="97"/>
      <c r="B460" s="257">
        <v>13</v>
      </c>
      <c r="C460" s="652"/>
      <c r="D460" s="80"/>
      <c r="E460" s="80"/>
      <c r="F460" s="258">
        <f t="shared" ca="1" si="17"/>
        <v>0</v>
      </c>
      <c r="G460" s="624"/>
      <c r="H460" s="85"/>
      <c r="I460" s="624"/>
      <c r="J460" s="85"/>
      <c r="K460" s="624"/>
      <c r="L460" s="85"/>
      <c r="M460" s="624"/>
      <c r="N460" s="85"/>
      <c r="O460" s="624"/>
      <c r="P460" s="85"/>
      <c r="Q460" s="626">
        <f t="shared" si="16"/>
        <v>0</v>
      </c>
      <c r="R460" s="85"/>
      <c r="S460" s="624"/>
      <c r="T460" s="260"/>
      <c r="U460" s="624"/>
      <c r="V460" s="85"/>
      <c r="W460" s="624"/>
      <c r="X460" s="81"/>
      <c r="Y460" s="80"/>
      <c r="Z460" s="737">
        <f ca="1">MAX(0%,IF(Q460&lt;&gt;0,MIN((S460-Q460)/Q460/'Underwriting Risk'!$E$27,'Premium and Reserve Risk'!$Z$446),'Premium and Reserve Risk'!$Z$446))</f>
        <v>0.11200000000000002</v>
      </c>
      <c r="AA460" s="80"/>
      <c r="AB460" s="80"/>
      <c r="AC460" s="737">
        <f ca="1">MAX(0%,IF(U460&lt;&gt;0,MIN((W460-U460)/U460/'Underwriting Risk'!$E$27,'Premium and Reserve Risk'!$AC$446),'Premium and Reserve Risk'!$AC$446))</f>
        <v>0.11</v>
      </c>
      <c r="AD460" s="81"/>
      <c r="AE460" s="97"/>
      <c r="AF460" s="97"/>
      <c r="AG460" s="97"/>
      <c r="AH460" s="97"/>
    </row>
    <row r="461" spans="1:34" ht="13.5" customHeight="1" x14ac:dyDescent="0.25">
      <c r="A461" s="97"/>
      <c r="B461" s="257">
        <v>14</v>
      </c>
      <c r="C461" s="652"/>
      <c r="D461" s="80"/>
      <c r="E461" s="80"/>
      <c r="F461" s="258">
        <f t="shared" ca="1" si="17"/>
        <v>0</v>
      </c>
      <c r="G461" s="624"/>
      <c r="H461" s="85"/>
      <c r="I461" s="624"/>
      <c r="J461" s="85"/>
      <c r="K461" s="624"/>
      <c r="L461" s="85"/>
      <c r="M461" s="624"/>
      <c r="N461" s="85"/>
      <c r="O461" s="624"/>
      <c r="P461" s="85"/>
      <c r="Q461" s="626">
        <f t="shared" si="16"/>
        <v>0</v>
      </c>
      <c r="R461" s="85"/>
      <c r="S461" s="624"/>
      <c r="T461" s="260"/>
      <c r="U461" s="624"/>
      <c r="V461" s="85"/>
      <c r="W461" s="624"/>
      <c r="X461" s="81"/>
      <c r="Y461" s="80"/>
      <c r="Z461" s="737">
        <f ca="1">MAX(0%,IF(Q461&lt;&gt;0,MIN((S461-Q461)/Q461/'Underwriting Risk'!$E$27,'Premium and Reserve Risk'!$Z$446),'Premium and Reserve Risk'!$Z$446))</f>
        <v>0.11200000000000002</v>
      </c>
      <c r="AA461" s="80"/>
      <c r="AB461" s="80"/>
      <c r="AC461" s="737">
        <f ca="1">MAX(0%,IF(U461&lt;&gt;0,MIN((W461-U461)/U461/'Underwriting Risk'!$E$27,'Premium and Reserve Risk'!$AC$446),'Premium and Reserve Risk'!$AC$446))</f>
        <v>0.11</v>
      </c>
      <c r="AD461" s="81"/>
      <c r="AE461" s="97"/>
      <c r="AF461" s="97"/>
      <c r="AG461" s="97"/>
      <c r="AH461" s="97"/>
    </row>
    <row r="462" spans="1:34" ht="13.5" customHeight="1" x14ac:dyDescent="0.25">
      <c r="A462" s="97"/>
      <c r="B462" s="257">
        <v>15</v>
      </c>
      <c r="C462" s="652"/>
      <c r="D462" s="80"/>
      <c r="E462" s="80"/>
      <c r="F462" s="258">
        <f t="shared" ca="1" si="17"/>
        <v>0</v>
      </c>
      <c r="G462" s="624"/>
      <c r="H462" s="85"/>
      <c r="I462" s="624"/>
      <c r="J462" s="85"/>
      <c r="K462" s="624"/>
      <c r="L462" s="85"/>
      <c r="M462" s="624"/>
      <c r="N462" s="85"/>
      <c r="O462" s="624"/>
      <c r="P462" s="85"/>
      <c r="Q462" s="626">
        <f t="shared" si="16"/>
        <v>0</v>
      </c>
      <c r="R462" s="85"/>
      <c r="S462" s="624"/>
      <c r="T462" s="260"/>
      <c r="U462" s="624"/>
      <c r="V462" s="85"/>
      <c r="W462" s="624"/>
      <c r="X462" s="81"/>
      <c r="Y462" s="80"/>
      <c r="Z462" s="737">
        <f ca="1">MAX(0%,IF(Q462&lt;&gt;0,MIN((S462-Q462)/Q462/'Underwriting Risk'!$E$27,'Premium and Reserve Risk'!$Z$446),'Premium and Reserve Risk'!$Z$446))</f>
        <v>0.11200000000000002</v>
      </c>
      <c r="AA462" s="80"/>
      <c r="AB462" s="80"/>
      <c r="AC462" s="737">
        <f ca="1">MAX(0%,IF(U462&lt;&gt;0,MIN((W462-U462)/U462/'Underwriting Risk'!$E$27,'Premium and Reserve Risk'!$AC$446),'Premium and Reserve Risk'!$AC$446))</f>
        <v>0.11</v>
      </c>
      <c r="AD462" s="81"/>
      <c r="AE462" s="97"/>
      <c r="AF462" s="97"/>
      <c r="AG462" s="97"/>
      <c r="AH462" s="97"/>
    </row>
    <row r="463" spans="1:34" ht="13.5" customHeight="1" x14ac:dyDescent="0.25">
      <c r="A463" s="97"/>
      <c r="B463" s="257">
        <v>16</v>
      </c>
      <c r="C463" s="652"/>
      <c r="D463" s="80"/>
      <c r="E463" s="80"/>
      <c r="F463" s="258">
        <f t="shared" ca="1" si="17"/>
        <v>0</v>
      </c>
      <c r="G463" s="624"/>
      <c r="H463" s="85"/>
      <c r="I463" s="624"/>
      <c r="J463" s="85"/>
      <c r="K463" s="624"/>
      <c r="L463" s="85"/>
      <c r="M463" s="624"/>
      <c r="N463" s="85"/>
      <c r="O463" s="624"/>
      <c r="P463" s="85"/>
      <c r="Q463" s="626">
        <f t="shared" si="16"/>
        <v>0</v>
      </c>
      <c r="R463" s="85"/>
      <c r="S463" s="624"/>
      <c r="T463" s="260"/>
      <c r="U463" s="624"/>
      <c r="V463" s="85"/>
      <c r="W463" s="624"/>
      <c r="X463" s="81"/>
      <c r="Y463" s="80"/>
      <c r="Z463" s="737">
        <f ca="1">MAX(0%,IF(Q463&lt;&gt;0,MIN((S463-Q463)/Q463/'Underwriting Risk'!$E$27,'Premium and Reserve Risk'!$Z$446),'Premium and Reserve Risk'!$Z$446))</f>
        <v>0.11200000000000002</v>
      </c>
      <c r="AA463" s="80"/>
      <c r="AB463" s="80"/>
      <c r="AC463" s="737">
        <f ca="1">MAX(0%,IF(U463&lt;&gt;0,MIN((W463-U463)/U463/'Underwriting Risk'!$E$27,'Premium and Reserve Risk'!$AC$446),'Premium and Reserve Risk'!$AC$446))</f>
        <v>0.11</v>
      </c>
      <c r="AD463" s="81"/>
      <c r="AE463" s="97"/>
      <c r="AF463" s="97"/>
      <c r="AG463" s="97"/>
      <c r="AH463" s="97"/>
    </row>
    <row r="464" spans="1:34" ht="13.5" customHeight="1" x14ac:dyDescent="0.25">
      <c r="A464" s="97"/>
      <c r="B464" s="257">
        <v>17</v>
      </c>
      <c r="C464" s="652"/>
      <c r="D464" s="80"/>
      <c r="E464" s="80"/>
      <c r="F464" s="258">
        <f t="shared" ca="1" si="17"/>
        <v>0</v>
      </c>
      <c r="G464" s="624"/>
      <c r="H464" s="85"/>
      <c r="I464" s="624"/>
      <c r="J464" s="85"/>
      <c r="K464" s="624"/>
      <c r="L464" s="85"/>
      <c r="M464" s="624"/>
      <c r="N464" s="85"/>
      <c r="O464" s="624"/>
      <c r="P464" s="85"/>
      <c r="Q464" s="626">
        <f t="shared" si="16"/>
        <v>0</v>
      </c>
      <c r="R464" s="85"/>
      <c r="S464" s="624"/>
      <c r="T464" s="260"/>
      <c r="U464" s="624"/>
      <c r="V464" s="85"/>
      <c r="W464" s="624"/>
      <c r="X464" s="81"/>
      <c r="Y464" s="80"/>
      <c r="Z464" s="737">
        <f ca="1">MAX(0%,IF(Q464&lt;&gt;0,MIN((S464-Q464)/Q464/'Underwriting Risk'!$E$27,'Premium and Reserve Risk'!$Z$446),'Premium and Reserve Risk'!$Z$446))</f>
        <v>0.11200000000000002</v>
      </c>
      <c r="AA464" s="80"/>
      <c r="AB464" s="80"/>
      <c r="AC464" s="737">
        <f ca="1">MAX(0%,IF(U464&lt;&gt;0,MIN((W464-U464)/U464/'Underwriting Risk'!$E$27,'Premium and Reserve Risk'!$AC$446),'Premium and Reserve Risk'!$AC$446))</f>
        <v>0.11</v>
      </c>
      <c r="AD464" s="81"/>
      <c r="AE464" s="97"/>
      <c r="AF464" s="97"/>
      <c r="AG464" s="97"/>
      <c r="AH464" s="97"/>
    </row>
    <row r="465" spans="1:34" ht="13.5" customHeight="1" x14ac:dyDescent="0.25">
      <c r="A465" s="97"/>
      <c r="B465" s="257">
        <v>18</v>
      </c>
      <c r="C465" s="652"/>
      <c r="D465" s="80"/>
      <c r="E465" s="80"/>
      <c r="F465" s="258">
        <f t="shared" ca="1" si="17"/>
        <v>0</v>
      </c>
      <c r="G465" s="624"/>
      <c r="H465" s="85"/>
      <c r="I465" s="624"/>
      <c r="J465" s="85"/>
      <c r="K465" s="624"/>
      <c r="L465" s="85"/>
      <c r="M465" s="624"/>
      <c r="N465" s="85"/>
      <c r="O465" s="624"/>
      <c r="P465" s="85"/>
      <c r="Q465" s="626">
        <f t="shared" si="16"/>
        <v>0</v>
      </c>
      <c r="R465" s="85"/>
      <c r="S465" s="624"/>
      <c r="T465" s="260"/>
      <c r="U465" s="624"/>
      <c r="V465" s="85"/>
      <c r="W465" s="624"/>
      <c r="X465" s="81"/>
      <c r="Y465" s="80"/>
      <c r="Z465" s="737">
        <f ca="1">MAX(0%,IF(Q465&lt;&gt;0,MIN((S465-Q465)/Q465/'Underwriting Risk'!$E$27,'Premium and Reserve Risk'!$Z$446),'Premium and Reserve Risk'!$Z$446))</f>
        <v>0.11200000000000002</v>
      </c>
      <c r="AA465" s="80"/>
      <c r="AB465" s="80"/>
      <c r="AC465" s="737">
        <f ca="1">MAX(0%,IF(U465&lt;&gt;0,MIN((W465-U465)/U465/'Underwriting Risk'!$E$27,'Premium and Reserve Risk'!$AC$446),'Premium and Reserve Risk'!$AC$446))</f>
        <v>0.11</v>
      </c>
      <c r="AD465" s="81"/>
      <c r="AE465" s="97"/>
      <c r="AF465" s="97"/>
      <c r="AG465" s="97"/>
      <c r="AH465" s="97"/>
    </row>
    <row r="466" spans="1:34" ht="13.5" customHeight="1" x14ac:dyDescent="0.25">
      <c r="A466" s="97"/>
      <c r="B466" s="257">
        <v>19</v>
      </c>
      <c r="C466" s="652"/>
      <c r="D466" s="80"/>
      <c r="E466" s="80"/>
      <c r="F466" s="258">
        <f t="shared" ca="1" si="17"/>
        <v>0</v>
      </c>
      <c r="G466" s="624"/>
      <c r="H466" s="85"/>
      <c r="I466" s="624"/>
      <c r="J466" s="85"/>
      <c r="K466" s="624"/>
      <c r="L466" s="85"/>
      <c r="M466" s="624"/>
      <c r="N466" s="85"/>
      <c r="O466" s="624"/>
      <c r="P466" s="85"/>
      <c r="Q466" s="626">
        <f t="shared" si="16"/>
        <v>0</v>
      </c>
      <c r="R466" s="85"/>
      <c r="S466" s="624"/>
      <c r="T466" s="260"/>
      <c r="U466" s="624"/>
      <c r="V466" s="85"/>
      <c r="W466" s="624"/>
      <c r="X466" s="81"/>
      <c r="Y466" s="80"/>
      <c r="Z466" s="737">
        <f ca="1">MAX(0%,IF(Q466&lt;&gt;0,MIN((S466-Q466)/Q466/'Underwriting Risk'!$E$27,'Premium and Reserve Risk'!$Z$446),'Premium and Reserve Risk'!$Z$446))</f>
        <v>0.11200000000000002</v>
      </c>
      <c r="AA466" s="80"/>
      <c r="AB466" s="80"/>
      <c r="AC466" s="737">
        <f ca="1">MAX(0%,IF(U466&lt;&gt;0,MIN((W466-U466)/U466/'Underwriting Risk'!$E$27,'Premium and Reserve Risk'!$AC$446),'Premium and Reserve Risk'!$AC$446))</f>
        <v>0.11</v>
      </c>
      <c r="AD466" s="81"/>
      <c r="AE466" s="97"/>
      <c r="AF466" s="97"/>
      <c r="AG466" s="97"/>
      <c r="AH466" s="97"/>
    </row>
    <row r="467" spans="1:34" ht="13.5" customHeight="1" x14ac:dyDescent="0.25">
      <c r="A467" s="97"/>
      <c r="B467" s="257">
        <v>20</v>
      </c>
      <c r="C467" s="652"/>
      <c r="D467" s="80"/>
      <c r="E467" s="80"/>
      <c r="F467" s="258">
        <f t="shared" ca="1" si="17"/>
        <v>0</v>
      </c>
      <c r="G467" s="624"/>
      <c r="H467" s="85"/>
      <c r="I467" s="624"/>
      <c r="J467" s="85"/>
      <c r="K467" s="624"/>
      <c r="L467" s="85"/>
      <c r="M467" s="624"/>
      <c r="N467" s="85"/>
      <c r="O467" s="624"/>
      <c r="P467" s="85"/>
      <c r="Q467" s="626">
        <f t="shared" si="16"/>
        <v>0</v>
      </c>
      <c r="R467" s="85"/>
      <c r="S467" s="624"/>
      <c r="T467" s="260"/>
      <c r="U467" s="624"/>
      <c r="V467" s="85"/>
      <c r="W467" s="624"/>
      <c r="X467" s="81"/>
      <c r="Y467" s="80"/>
      <c r="Z467" s="737">
        <f ca="1">MAX(0%,IF(Q467&lt;&gt;0,MIN((S467-Q467)/Q467/'Underwriting Risk'!$E$27,'Premium and Reserve Risk'!$Z$446),'Premium and Reserve Risk'!$Z$446))</f>
        <v>0.11200000000000002</v>
      </c>
      <c r="AA467" s="80"/>
      <c r="AB467" s="80"/>
      <c r="AC467" s="737">
        <f ca="1">MAX(0%,IF(U467&lt;&gt;0,MIN((W467-U467)/U467/'Underwriting Risk'!$E$27,'Premium and Reserve Risk'!$AC$446),'Premium and Reserve Risk'!$AC$446))</f>
        <v>0.11</v>
      </c>
      <c r="AD467" s="81"/>
      <c r="AE467" s="97"/>
      <c r="AF467" s="97"/>
      <c r="AG467" s="97"/>
      <c r="AH467" s="97"/>
    </row>
    <row r="468" spans="1:34" ht="13.5" customHeight="1" x14ac:dyDescent="0.25">
      <c r="A468" s="97"/>
      <c r="B468" s="257">
        <v>21</v>
      </c>
      <c r="C468" s="652"/>
      <c r="D468" s="80"/>
      <c r="E468" s="80"/>
      <c r="F468" s="258">
        <f t="shared" ca="1" si="17"/>
        <v>0</v>
      </c>
      <c r="G468" s="624"/>
      <c r="H468" s="85"/>
      <c r="I468" s="624"/>
      <c r="J468" s="85"/>
      <c r="K468" s="624"/>
      <c r="L468" s="85"/>
      <c r="M468" s="624"/>
      <c r="N468" s="85"/>
      <c r="O468" s="624"/>
      <c r="P468" s="85"/>
      <c r="Q468" s="626">
        <f t="shared" si="16"/>
        <v>0</v>
      </c>
      <c r="R468" s="85"/>
      <c r="S468" s="624"/>
      <c r="T468" s="260"/>
      <c r="U468" s="624"/>
      <c r="V468" s="85"/>
      <c r="W468" s="624"/>
      <c r="X468" s="81"/>
      <c r="Y468" s="80"/>
      <c r="Z468" s="737">
        <f ca="1">MAX(0%,IF(Q468&lt;&gt;0,MIN((S468-Q468)/Q468/'Underwriting Risk'!$E$27,'Premium and Reserve Risk'!$Z$446),'Premium and Reserve Risk'!$Z$446))</f>
        <v>0.11200000000000002</v>
      </c>
      <c r="AA468" s="80"/>
      <c r="AB468" s="80"/>
      <c r="AC468" s="737">
        <f ca="1">MAX(0%,IF(U468&lt;&gt;0,MIN((W468-U468)/U468/'Underwriting Risk'!$E$27,'Premium and Reserve Risk'!$AC$446),'Premium and Reserve Risk'!$AC$446))</f>
        <v>0.11</v>
      </c>
      <c r="AD468" s="81"/>
      <c r="AE468" s="97"/>
      <c r="AF468" s="97"/>
      <c r="AG468" s="97"/>
      <c r="AH468" s="97"/>
    </row>
    <row r="469" spans="1:34" ht="13.5" customHeight="1" x14ac:dyDescent="0.25">
      <c r="A469" s="97"/>
      <c r="B469" s="257">
        <v>22</v>
      </c>
      <c r="C469" s="652"/>
      <c r="D469" s="80"/>
      <c r="E469" s="80"/>
      <c r="F469" s="258">
        <f t="shared" ca="1" si="17"/>
        <v>0</v>
      </c>
      <c r="G469" s="624"/>
      <c r="H469" s="85"/>
      <c r="I469" s="624"/>
      <c r="J469" s="85"/>
      <c r="K469" s="624"/>
      <c r="L469" s="85"/>
      <c r="M469" s="624"/>
      <c r="N469" s="85"/>
      <c r="O469" s="624"/>
      <c r="P469" s="85"/>
      <c r="Q469" s="626">
        <f t="shared" si="16"/>
        <v>0</v>
      </c>
      <c r="R469" s="85"/>
      <c r="S469" s="624"/>
      <c r="T469" s="260"/>
      <c r="U469" s="624"/>
      <c r="V469" s="85"/>
      <c r="W469" s="624"/>
      <c r="X469" s="81"/>
      <c r="Y469" s="80"/>
      <c r="Z469" s="737">
        <f ca="1">MAX(0%,IF(Q469&lt;&gt;0,MIN((S469-Q469)/Q469/'Underwriting Risk'!$E$27,'Premium and Reserve Risk'!$Z$446),'Premium and Reserve Risk'!$Z$446))</f>
        <v>0.11200000000000002</v>
      </c>
      <c r="AA469" s="80"/>
      <c r="AB469" s="80"/>
      <c r="AC469" s="737">
        <f ca="1">MAX(0%,IF(U469&lt;&gt;0,MIN((W469-U469)/U469/'Underwriting Risk'!$E$27,'Premium and Reserve Risk'!$AC$446),'Premium and Reserve Risk'!$AC$446))</f>
        <v>0.11</v>
      </c>
      <c r="AD469" s="81"/>
      <c r="AE469" s="97"/>
      <c r="AF469" s="97"/>
      <c r="AG469" s="97"/>
      <c r="AH469" s="97"/>
    </row>
    <row r="470" spans="1:34" ht="13.5" customHeight="1" x14ac:dyDescent="0.25">
      <c r="A470" s="97"/>
      <c r="B470" s="257">
        <v>23</v>
      </c>
      <c r="C470" s="652"/>
      <c r="D470" s="80"/>
      <c r="E470" s="80"/>
      <c r="F470" s="258">
        <f t="shared" ca="1" si="17"/>
        <v>0</v>
      </c>
      <c r="G470" s="624"/>
      <c r="H470" s="85"/>
      <c r="I470" s="624"/>
      <c r="J470" s="85"/>
      <c r="K470" s="624"/>
      <c r="L470" s="85"/>
      <c r="M470" s="624"/>
      <c r="N470" s="85"/>
      <c r="O470" s="624"/>
      <c r="P470" s="85"/>
      <c r="Q470" s="626">
        <f t="shared" si="16"/>
        <v>0</v>
      </c>
      <c r="R470" s="85"/>
      <c r="S470" s="624"/>
      <c r="T470" s="260"/>
      <c r="U470" s="624"/>
      <c r="V470" s="85"/>
      <c r="W470" s="624"/>
      <c r="X470" s="81"/>
      <c r="Y470" s="80"/>
      <c r="Z470" s="737">
        <f ca="1">MAX(0%,IF(Q470&lt;&gt;0,MIN((S470-Q470)/Q470/'Underwriting Risk'!$E$27,'Premium and Reserve Risk'!$Z$446),'Premium and Reserve Risk'!$Z$446))</f>
        <v>0.11200000000000002</v>
      </c>
      <c r="AA470" s="80"/>
      <c r="AB470" s="80"/>
      <c r="AC470" s="737">
        <f ca="1">MAX(0%,IF(U470&lt;&gt;0,MIN((W470-U470)/U470/'Underwriting Risk'!$E$27,'Premium and Reserve Risk'!$AC$446),'Premium and Reserve Risk'!$AC$446))</f>
        <v>0.11</v>
      </c>
      <c r="AD470" s="81"/>
      <c r="AE470" s="97"/>
      <c r="AF470" s="97"/>
      <c r="AG470" s="97"/>
      <c r="AH470" s="97"/>
    </row>
    <row r="471" spans="1:34" ht="13.5" customHeight="1" x14ac:dyDescent="0.25">
      <c r="A471" s="97"/>
      <c r="B471" s="257">
        <v>24</v>
      </c>
      <c r="C471" s="652"/>
      <c r="D471" s="80"/>
      <c r="E471" s="80"/>
      <c r="F471" s="258">
        <f t="shared" ca="1" si="17"/>
        <v>0</v>
      </c>
      <c r="G471" s="624"/>
      <c r="H471" s="85"/>
      <c r="I471" s="624"/>
      <c r="J471" s="85"/>
      <c r="K471" s="624"/>
      <c r="L471" s="85"/>
      <c r="M471" s="624"/>
      <c r="N471" s="85"/>
      <c r="O471" s="624"/>
      <c r="P471" s="85"/>
      <c r="Q471" s="626">
        <f t="shared" si="16"/>
        <v>0</v>
      </c>
      <c r="R471" s="85"/>
      <c r="S471" s="624"/>
      <c r="T471" s="260"/>
      <c r="U471" s="624"/>
      <c r="V471" s="85"/>
      <c r="W471" s="624"/>
      <c r="X471" s="81"/>
      <c r="Y471" s="80"/>
      <c r="Z471" s="737">
        <f ca="1">MAX(0%,IF(Q471&lt;&gt;0,MIN((S471-Q471)/Q471/'Underwriting Risk'!$E$27,'Premium and Reserve Risk'!$Z$446),'Premium and Reserve Risk'!$Z$446))</f>
        <v>0.11200000000000002</v>
      </c>
      <c r="AA471" s="80"/>
      <c r="AB471" s="80"/>
      <c r="AC471" s="737">
        <f ca="1">MAX(0%,IF(U471&lt;&gt;0,MIN((W471-U471)/U471/'Underwriting Risk'!$E$27,'Premium and Reserve Risk'!$AC$446),'Premium and Reserve Risk'!$AC$446))</f>
        <v>0.11</v>
      </c>
      <c r="AD471" s="81"/>
      <c r="AE471" s="97"/>
      <c r="AF471" s="97"/>
      <c r="AG471" s="97"/>
      <c r="AH471" s="97"/>
    </row>
    <row r="472" spans="1:34" ht="13.5" customHeight="1" x14ac:dyDescent="0.25">
      <c r="A472" s="97"/>
      <c r="B472" s="257">
        <v>25</v>
      </c>
      <c r="C472" s="652"/>
      <c r="D472" s="80"/>
      <c r="E472" s="80"/>
      <c r="F472" s="258">
        <f t="shared" ca="1" si="17"/>
        <v>0</v>
      </c>
      <c r="G472" s="624"/>
      <c r="H472" s="85"/>
      <c r="I472" s="624"/>
      <c r="J472" s="85"/>
      <c r="K472" s="624"/>
      <c r="L472" s="85"/>
      <c r="M472" s="624"/>
      <c r="N472" s="85"/>
      <c r="O472" s="624"/>
      <c r="P472" s="85"/>
      <c r="Q472" s="626">
        <f t="shared" si="16"/>
        <v>0</v>
      </c>
      <c r="R472" s="85"/>
      <c r="S472" s="624"/>
      <c r="T472" s="260"/>
      <c r="U472" s="624"/>
      <c r="V472" s="85"/>
      <c r="W472" s="624"/>
      <c r="X472" s="81"/>
      <c r="Y472" s="80"/>
      <c r="Z472" s="737">
        <f ca="1">MAX(0%,IF(Q472&lt;&gt;0,MIN((S472-Q472)/Q472/'Underwriting Risk'!$E$27,'Premium and Reserve Risk'!$Z$446),'Premium and Reserve Risk'!$Z$446))</f>
        <v>0.11200000000000002</v>
      </c>
      <c r="AA472" s="80"/>
      <c r="AB472" s="80"/>
      <c r="AC472" s="737">
        <f ca="1">MAX(0%,IF(U472&lt;&gt;0,MIN((W472-U472)/U472/'Underwriting Risk'!$E$27,'Premium and Reserve Risk'!$AC$446),'Premium and Reserve Risk'!$AC$446))</f>
        <v>0.11</v>
      </c>
      <c r="AD472" s="81"/>
      <c r="AE472" s="97"/>
      <c r="AF472" s="97"/>
      <c r="AG472" s="97"/>
      <c r="AH472" s="97"/>
    </row>
    <row r="473" spans="1:34" ht="13.5" customHeight="1" x14ac:dyDescent="0.25">
      <c r="A473" s="97"/>
      <c r="B473" s="257">
        <v>26</v>
      </c>
      <c r="C473" s="652"/>
      <c r="D473" s="80"/>
      <c r="E473" s="80"/>
      <c r="F473" s="258">
        <f t="shared" ca="1" si="17"/>
        <v>0</v>
      </c>
      <c r="G473" s="624"/>
      <c r="H473" s="85"/>
      <c r="I473" s="624"/>
      <c r="J473" s="85"/>
      <c r="K473" s="624"/>
      <c r="L473" s="85"/>
      <c r="M473" s="624"/>
      <c r="N473" s="85"/>
      <c r="O473" s="624"/>
      <c r="P473" s="85"/>
      <c r="Q473" s="626">
        <f t="shared" si="16"/>
        <v>0</v>
      </c>
      <c r="R473" s="85"/>
      <c r="S473" s="624"/>
      <c r="T473" s="260"/>
      <c r="U473" s="624"/>
      <c r="V473" s="85"/>
      <c r="W473" s="624"/>
      <c r="X473" s="81"/>
      <c r="Y473" s="80"/>
      <c r="Z473" s="737">
        <f ca="1">MAX(0%,IF(Q473&lt;&gt;0,MIN((S473-Q473)/Q473/'Underwriting Risk'!$E$27,'Premium and Reserve Risk'!$Z$446),'Premium and Reserve Risk'!$Z$446))</f>
        <v>0.11200000000000002</v>
      </c>
      <c r="AA473" s="80"/>
      <c r="AB473" s="80"/>
      <c r="AC473" s="737">
        <f ca="1">MAX(0%,IF(U473&lt;&gt;0,MIN((W473-U473)/U473/'Underwriting Risk'!$E$27,'Premium and Reserve Risk'!$AC$446),'Premium and Reserve Risk'!$AC$446))</f>
        <v>0.11</v>
      </c>
      <c r="AD473" s="81"/>
      <c r="AE473" s="97"/>
      <c r="AF473" s="97"/>
      <c r="AG473" s="97"/>
      <c r="AH473" s="97"/>
    </row>
    <row r="474" spans="1:34" ht="13.5" customHeight="1" x14ac:dyDescent="0.25">
      <c r="A474" s="97"/>
      <c r="B474" s="257">
        <v>27</v>
      </c>
      <c r="C474" s="652"/>
      <c r="D474" s="80"/>
      <c r="E474" s="80"/>
      <c r="F474" s="258">
        <f t="shared" ca="1" si="17"/>
        <v>0</v>
      </c>
      <c r="G474" s="624"/>
      <c r="H474" s="85"/>
      <c r="I474" s="624"/>
      <c r="J474" s="85"/>
      <c r="K474" s="624"/>
      <c r="L474" s="85"/>
      <c r="M474" s="624"/>
      <c r="N474" s="85"/>
      <c r="O474" s="624"/>
      <c r="P474" s="85"/>
      <c r="Q474" s="626">
        <f t="shared" si="16"/>
        <v>0</v>
      </c>
      <c r="R474" s="85"/>
      <c r="S474" s="624"/>
      <c r="T474" s="260"/>
      <c r="U474" s="624"/>
      <c r="V474" s="85"/>
      <c r="W474" s="624"/>
      <c r="X474" s="81"/>
      <c r="Y474" s="80"/>
      <c r="Z474" s="737">
        <f ca="1">MAX(0%,IF(Q474&lt;&gt;0,MIN((S474-Q474)/Q474/'Underwriting Risk'!$E$27,'Premium and Reserve Risk'!$Z$446),'Premium and Reserve Risk'!$Z$446))</f>
        <v>0.11200000000000002</v>
      </c>
      <c r="AA474" s="80"/>
      <c r="AB474" s="80"/>
      <c r="AC474" s="737">
        <f ca="1">MAX(0%,IF(U474&lt;&gt;0,MIN((W474-U474)/U474/'Underwriting Risk'!$E$27,'Premium and Reserve Risk'!$AC$446),'Premium and Reserve Risk'!$AC$446))</f>
        <v>0.11</v>
      </c>
      <c r="AD474" s="81"/>
      <c r="AE474" s="97"/>
      <c r="AF474" s="97"/>
      <c r="AG474" s="97"/>
      <c r="AH474" s="97"/>
    </row>
    <row r="475" spans="1:34" ht="13.5" customHeight="1" x14ac:dyDescent="0.25">
      <c r="A475" s="97"/>
      <c r="B475" s="257">
        <v>28</v>
      </c>
      <c r="C475" s="652"/>
      <c r="D475" s="80"/>
      <c r="E475" s="80"/>
      <c r="F475" s="258">
        <f t="shared" ca="1" si="17"/>
        <v>0</v>
      </c>
      <c r="G475" s="624"/>
      <c r="H475" s="85"/>
      <c r="I475" s="624"/>
      <c r="J475" s="85"/>
      <c r="K475" s="624"/>
      <c r="L475" s="85"/>
      <c r="M475" s="624"/>
      <c r="N475" s="85"/>
      <c r="O475" s="624"/>
      <c r="P475" s="85"/>
      <c r="Q475" s="626">
        <f t="shared" si="16"/>
        <v>0</v>
      </c>
      <c r="R475" s="85"/>
      <c r="S475" s="624"/>
      <c r="T475" s="260"/>
      <c r="U475" s="624"/>
      <c r="V475" s="85"/>
      <c r="W475" s="624"/>
      <c r="X475" s="81"/>
      <c r="Y475" s="80"/>
      <c r="Z475" s="737">
        <f ca="1">MAX(0%,IF(Q475&lt;&gt;0,MIN((S475-Q475)/Q475/'Underwriting Risk'!$E$27,'Premium and Reserve Risk'!$Z$446),'Premium and Reserve Risk'!$Z$446))</f>
        <v>0.11200000000000002</v>
      </c>
      <c r="AA475" s="80"/>
      <c r="AB475" s="80"/>
      <c r="AC475" s="737">
        <f ca="1">MAX(0%,IF(U475&lt;&gt;0,MIN((W475-U475)/U475/'Underwriting Risk'!$E$27,'Premium and Reserve Risk'!$AC$446),'Premium and Reserve Risk'!$AC$446))</f>
        <v>0.11</v>
      </c>
      <c r="AD475" s="81"/>
      <c r="AE475" s="97"/>
      <c r="AF475" s="97"/>
      <c r="AG475" s="97"/>
      <c r="AH475" s="97"/>
    </row>
    <row r="476" spans="1:34" ht="13.5" customHeight="1" x14ac:dyDescent="0.25">
      <c r="A476" s="97"/>
      <c r="B476" s="257">
        <v>29</v>
      </c>
      <c r="C476" s="652"/>
      <c r="D476" s="80"/>
      <c r="E476" s="80"/>
      <c r="F476" s="258">
        <f t="shared" ca="1" si="17"/>
        <v>0</v>
      </c>
      <c r="G476" s="624"/>
      <c r="H476" s="85"/>
      <c r="I476" s="624"/>
      <c r="J476" s="85"/>
      <c r="K476" s="624"/>
      <c r="L476" s="85"/>
      <c r="M476" s="624"/>
      <c r="N476" s="85"/>
      <c r="O476" s="624"/>
      <c r="P476" s="85"/>
      <c r="Q476" s="626">
        <f t="shared" si="16"/>
        <v>0</v>
      </c>
      <c r="R476" s="85"/>
      <c r="S476" s="624"/>
      <c r="T476" s="260"/>
      <c r="U476" s="624"/>
      <c r="V476" s="85"/>
      <c r="W476" s="624"/>
      <c r="X476" s="81"/>
      <c r="Y476" s="80"/>
      <c r="Z476" s="737">
        <f ca="1">MAX(0%,IF(Q476&lt;&gt;0,MIN((S476-Q476)/Q476/'Underwriting Risk'!$E$27,'Premium and Reserve Risk'!$Z$446),'Premium and Reserve Risk'!$Z$446))</f>
        <v>0.11200000000000002</v>
      </c>
      <c r="AA476" s="80"/>
      <c r="AB476" s="80"/>
      <c r="AC476" s="737">
        <f ca="1">MAX(0%,IF(U476&lt;&gt;0,MIN((W476-U476)/U476/'Underwriting Risk'!$E$27,'Premium and Reserve Risk'!$AC$446),'Premium and Reserve Risk'!$AC$446))</f>
        <v>0.11</v>
      </c>
      <c r="AD476" s="81"/>
      <c r="AE476" s="97"/>
      <c r="AF476" s="97"/>
      <c r="AG476" s="97"/>
      <c r="AH476" s="97"/>
    </row>
    <row r="477" spans="1:34" ht="13.5" customHeight="1" x14ac:dyDescent="0.25">
      <c r="A477" s="97"/>
      <c r="B477" s="257">
        <v>30</v>
      </c>
      <c r="C477" s="652"/>
      <c r="D477" s="80"/>
      <c r="E477" s="80"/>
      <c r="F477" s="258">
        <f t="shared" ca="1" si="17"/>
        <v>0</v>
      </c>
      <c r="G477" s="624"/>
      <c r="H477" s="85"/>
      <c r="I477" s="624"/>
      <c r="J477" s="85"/>
      <c r="K477" s="624"/>
      <c r="L477" s="85"/>
      <c r="M477" s="624"/>
      <c r="N477" s="85"/>
      <c r="O477" s="624"/>
      <c r="P477" s="85"/>
      <c r="Q477" s="626">
        <f t="shared" si="16"/>
        <v>0</v>
      </c>
      <c r="R477" s="85"/>
      <c r="S477" s="624"/>
      <c r="T477" s="260"/>
      <c r="U477" s="624"/>
      <c r="V477" s="85"/>
      <c r="W477" s="624"/>
      <c r="X477" s="81"/>
      <c r="Y477" s="80"/>
      <c r="Z477" s="737">
        <f ca="1">MAX(0%,IF(Q477&lt;&gt;0,MIN((S477-Q477)/Q477/'Underwriting Risk'!$E$27,'Premium and Reserve Risk'!$Z$446),'Premium and Reserve Risk'!$Z$446))</f>
        <v>0.11200000000000002</v>
      </c>
      <c r="AA477" s="80"/>
      <c r="AB477" s="80"/>
      <c r="AC477" s="737">
        <f ca="1">MAX(0%,IF(U477&lt;&gt;0,MIN((W477-U477)/U477/'Underwriting Risk'!$E$27,'Premium and Reserve Risk'!$AC$446),'Premium and Reserve Risk'!$AC$446))</f>
        <v>0.11</v>
      </c>
      <c r="AD477" s="81"/>
      <c r="AE477" s="97"/>
      <c r="AF477" s="97"/>
      <c r="AG477" s="97"/>
      <c r="AH477" s="97"/>
    </row>
    <row r="478" spans="1:34" ht="13.5" customHeight="1" x14ac:dyDescent="0.25">
      <c r="A478" s="97"/>
      <c r="B478" s="257">
        <v>31</v>
      </c>
      <c r="C478" s="652"/>
      <c r="D478" s="80"/>
      <c r="E478" s="80"/>
      <c r="F478" s="258">
        <f t="shared" ca="1" si="17"/>
        <v>0</v>
      </c>
      <c r="G478" s="624"/>
      <c r="H478" s="85"/>
      <c r="I478" s="624"/>
      <c r="J478" s="85"/>
      <c r="K478" s="624"/>
      <c r="L478" s="85"/>
      <c r="M478" s="624"/>
      <c r="N478" s="85"/>
      <c r="O478" s="624"/>
      <c r="P478" s="85"/>
      <c r="Q478" s="626">
        <f t="shared" si="16"/>
        <v>0</v>
      </c>
      <c r="R478" s="85"/>
      <c r="S478" s="624"/>
      <c r="T478" s="260"/>
      <c r="U478" s="624"/>
      <c r="V478" s="85"/>
      <c r="W478" s="624"/>
      <c r="X478" s="81"/>
      <c r="Y478" s="80"/>
      <c r="Z478" s="737">
        <f ca="1">MAX(0%,IF(Q478&lt;&gt;0,MIN((S478-Q478)/Q478/'Underwriting Risk'!$E$27,'Premium and Reserve Risk'!$Z$446),'Premium and Reserve Risk'!$Z$446))</f>
        <v>0.11200000000000002</v>
      </c>
      <c r="AA478" s="80"/>
      <c r="AB478" s="80"/>
      <c r="AC478" s="737">
        <f ca="1">MAX(0%,IF(U478&lt;&gt;0,MIN((W478-U478)/U478/'Underwriting Risk'!$E$27,'Premium and Reserve Risk'!$AC$446),'Premium and Reserve Risk'!$AC$446))</f>
        <v>0.11</v>
      </c>
      <c r="AD478" s="81"/>
      <c r="AE478" s="97"/>
      <c r="AF478" s="97"/>
      <c r="AG478" s="97"/>
      <c r="AH478" s="97"/>
    </row>
    <row r="479" spans="1:34" ht="13.5" customHeight="1" x14ac:dyDescent="0.25">
      <c r="A479" s="97"/>
      <c r="B479" s="257">
        <v>32</v>
      </c>
      <c r="C479" s="652"/>
      <c r="D479" s="80"/>
      <c r="E479" s="80"/>
      <c r="F479" s="258">
        <f t="shared" ca="1" si="17"/>
        <v>0</v>
      </c>
      <c r="G479" s="624"/>
      <c r="H479" s="85"/>
      <c r="I479" s="624"/>
      <c r="J479" s="85"/>
      <c r="K479" s="624"/>
      <c r="L479" s="85"/>
      <c r="M479" s="624"/>
      <c r="N479" s="85"/>
      <c r="O479" s="624"/>
      <c r="P479" s="85"/>
      <c r="Q479" s="626">
        <f t="shared" si="16"/>
        <v>0</v>
      </c>
      <c r="R479" s="85"/>
      <c r="S479" s="624"/>
      <c r="T479" s="260"/>
      <c r="U479" s="624"/>
      <c r="V479" s="85"/>
      <c r="W479" s="624"/>
      <c r="X479" s="81"/>
      <c r="Y479" s="80"/>
      <c r="Z479" s="737">
        <f ca="1">MAX(0%,IF(Q479&lt;&gt;0,MIN((S479-Q479)/Q479/'Underwriting Risk'!$E$27,'Premium and Reserve Risk'!$Z$446),'Premium and Reserve Risk'!$Z$446))</f>
        <v>0.11200000000000002</v>
      </c>
      <c r="AA479" s="80"/>
      <c r="AB479" s="80"/>
      <c r="AC479" s="737">
        <f ca="1">MAX(0%,IF(U479&lt;&gt;0,MIN((W479-U479)/U479/'Underwriting Risk'!$E$27,'Premium and Reserve Risk'!$AC$446),'Premium and Reserve Risk'!$AC$446))</f>
        <v>0.11</v>
      </c>
      <c r="AD479" s="81"/>
      <c r="AE479" s="97"/>
      <c r="AF479" s="97"/>
      <c r="AG479" s="97"/>
      <c r="AH479" s="97"/>
    </row>
    <row r="480" spans="1:34" ht="13.5" customHeight="1" x14ac:dyDescent="0.25">
      <c r="A480" s="97"/>
      <c r="B480" s="257">
        <v>33</v>
      </c>
      <c r="C480" s="652"/>
      <c r="D480" s="80"/>
      <c r="E480" s="80"/>
      <c r="F480" s="258">
        <f t="shared" ca="1" si="17"/>
        <v>0</v>
      </c>
      <c r="G480" s="624"/>
      <c r="H480" s="85"/>
      <c r="I480" s="624"/>
      <c r="J480" s="85"/>
      <c r="K480" s="624"/>
      <c r="L480" s="85"/>
      <c r="M480" s="624"/>
      <c r="N480" s="85"/>
      <c r="O480" s="624"/>
      <c r="P480" s="85"/>
      <c r="Q480" s="626">
        <f t="shared" si="16"/>
        <v>0</v>
      </c>
      <c r="R480" s="85"/>
      <c r="S480" s="624"/>
      <c r="T480" s="260"/>
      <c r="U480" s="624"/>
      <c r="V480" s="85"/>
      <c r="W480" s="624"/>
      <c r="X480" s="81"/>
      <c r="Y480" s="80"/>
      <c r="Z480" s="737">
        <f ca="1">MAX(0%,IF(Q480&lt;&gt;0,MIN((S480-Q480)/Q480/'Underwriting Risk'!$E$27,'Premium and Reserve Risk'!$Z$446),'Premium and Reserve Risk'!$Z$446))</f>
        <v>0.11200000000000002</v>
      </c>
      <c r="AA480" s="80"/>
      <c r="AB480" s="80"/>
      <c r="AC480" s="737">
        <f ca="1">MAX(0%,IF(U480&lt;&gt;0,MIN((W480-U480)/U480/'Underwriting Risk'!$E$27,'Premium and Reserve Risk'!$AC$446),'Premium and Reserve Risk'!$AC$446))</f>
        <v>0.11</v>
      </c>
      <c r="AD480" s="81"/>
      <c r="AE480" s="97"/>
      <c r="AF480" s="97"/>
      <c r="AG480" s="97"/>
      <c r="AH480" s="97"/>
    </row>
    <row r="481" spans="1:34" ht="13.5" customHeight="1" x14ac:dyDescent="0.25">
      <c r="A481" s="97"/>
      <c r="B481" s="257">
        <v>34</v>
      </c>
      <c r="C481" s="652"/>
      <c r="D481" s="80"/>
      <c r="E481" s="80"/>
      <c r="F481" s="258">
        <f t="shared" ca="1" si="17"/>
        <v>0</v>
      </c>
      <c r="G481" s="624"/>
      <c r="H481" s="85"/>
      <c r="I481" s="624"/>
      <c r="J481" s="85"/>
      <c r="K481" s="624"/>
      <c r="L481" s="85"/>
      <c r="M481" s="624"/>
      <c r="N481" s="85"/>
      <c r="O481" s="624"/>
      <c r="P481" s="85"/>
      <c r="Q481" s="626">
        <f t="shared" si="16"/>
        <v>0</v>
      </c>
      <c r="R481" s="85"/>
      <c r="S481" s="624"/>
      <c r="T481" s="260"/>
      <c r="U481" s="624"/>
      <c r="V481" s="85"/>
      <c r="W481" s="624"/>
      <c r="X481" s="81"/>
      <c r="Y481" s="80"/>
      <c r="Z481" s="737">
        <f ca="1">MAX(0%,IF(Q481&lt;&gt;0,MIN((S481-Q481)/Q481/'Underwriting Risk'!$E$27,'Premium and Reserve Risk'!$Z$446),'Premium and Reserve Risk'!$Z$446))</f>
        <v>0.11200000000000002</v>
      </c>
      <c r="AA481" s="80"/>
      <c r="AB481" s="80"/>
      <c r="AC481" s="737">
        <f ca="1">MAX(0%,IF(U481&lt;&gt;0,MIN((W481-U481)/U481/'Underwriting Risk'!$E$27,'Premium and Reserve Risk'!$AC$446),'Premium and Reserve Risk'!$AC$446))</f>
        <v>0.11</v>
      </c>
      <c r="AD481" s="81"/>
      <c r="AE481" s="97"/>
      <c r="AF481" s="97"/>
      <c r="AG481" s="97"/>
      <c r="AH481" s="97"/>
    </row>
    <row r="482" spans="1:34" ht="13.5" customHeight="1" x14ac:dyDescent="0.25">
      <c r="A482" s="97"/>
      <c r="B482" s="257">
        <v>35</v>
      </c>
      <c r="C482" s="652"/>
      <c r="D482" s="80"/>
      <c r="E482" s="80"/>
      <c r="F482" s="258">
        <f t="shared" ca="1" si="17"/>
        <v>0</v>
      </c>
      <c r="G482" s="624"/>
      <c r="H482" s="85"/>
      <c r="I482" s="624"/>
      <c r="J482" s="85"/>
      <c r="K482" s="624"/>
      <c r="L482" s="85"/>
      <c r="M482" s="624"/>
      <c r="N482" s="85"/>
      <c r="O482" s="624"/>
      <c r="P482" s="85"/>
      <c r="Q482" s="626">
        <f t="shared" si="16"/>
        <v>0</v>
      </c>
      <c r="R482" s="85"/>
      <c r="S482" s="624"/>
      <c r="T482" s="260"/>
      <c r="U482" s="624"/>
      <c r="V482" s="85"/>
      <c r="W482" s="624"/>
      <c r="X482" s="81"/>
      <c r="Y482" s="80"/>
      <c r="Z482" s="737">
        <f ca="1">MAX(0%,IF(Q482&lt;&gt;0,MIN((S482-Q482)/Q482/'Underwriting Risk'!$E$27,'Premium and Reserve Risk'!$Z$446),'Premium and Reserve Risk'!$Z$446))</f>
        <v>0.11200000000000002</v>
      </c>
      <c r="AA482" s="80"/>
      <c r="AB482" s="80"/>
      <c r="AC482" s="737">
        <f ca="1">MAX(0%,IF(U482&lt;&gt;0,MIN((W482-U482)/U482/'Underwriting Risk'!$E$27,'Premium and Reserve Risk'!$AC$446),'Premium and Reserve Risk'!$AC$446))</f>
        <v>0.11</v>
      </c>
      <c r="AD482" s="81"/>
      <c r="AE482" s="97"/>
      <c r="AF482" s="97"/>
      <c r="AG482" s="97"/>
      <c r="AH482" s="97"/>
    </row>
    <row r="483" spans="1:34" ht="13.5" customHeight="1" x14ac:dyDescent="0.25">
      <c r="A483" s="97"/>
      <c r="B483" s="257">
        <v>36</v>
      </c>
      <c r="C483" s="652"/>
      <c r="D483" s="80"/>
      <c r="E483" s="80"/>
      <c r="F483" s="258">
        <f t="shared" ca="1" si="17"/>
        <v>0</v>
      </c>
      <c r="G483" s="624"/>
      <c r="H483" s="85"/>
      <c r="I483" s="624"/>
      <c r="J483" s="85"/>
      <c r="K483" s="624"/>
      <c r="L483" s="85"/>
      <c r="M483" s="624"/>
      <c r="N483" s="85"/>
      <c r="O483" s="624"/>
      <c r="P483" s="85"/>
      <c r="Q483" s="626">
        <f t="shared" si="16"/>
        <v>0</v>
      </c>
      <c r="R483" s="85"/>
      <c r="S483" s="624"/>
      <c r="T483" s="260"/>
      <c r="U483" s="624"/>
      <c r="V483" s="85"/>
      <c r="W483" s="624"/>
      <c r="X483" s="81"/>
      <c r="Y483" s="80"/>
      <c r="Z483" s="737">
        <f ca="1">MAX(0%,IF(Q483&lt;&gt;0,MIN((S483-Q483)/Q483/'Underwriting Risk'!$E$27,'Premium and Reserve Risk'!$Z$446),'Premium and Reserve Risk'!$Z$446))</f>
        <v>0.11200000000000002</v>
      </c>
      <c r="AA483" s="80"/>
      <c r="AB483" s="80"/>
      <c r="AC483" s="737">
        <f ca="1">MAX(0%,IF(U483&lt;&gt;0,MIN((W483-U483)/U483/'Underwriting Risk'!$E$27,'Premium and Reserve Risk'!$AC$446),'Premium and Reserve Risk'!$AC$446))</f>
        <v>0.11</v>
      </c>
      <c r="AD483" s="81"/>
      <c r="AE483" s="97"/>
      <c r="AF483" s="97"/>
      <c r="AG483" s="97"/>
      <c r="AH483" s="97"/>
    </row>
    <row r="484" spans="1:34" ht="13.5" customHeight="1" x14ac:dyDescent="0.25">
      <c r="A484" s="97"/>
      <c r="B484" s="257">
        <v>37</v>
      </c>
      <c r="C484" s="652"/>
      <c r="D484" s="80"/>
      <c r="E484" s="80"/>
      <c r="F484" s="258">
        <f t="shared" ca="1" si="17"/>
        <v>0</v>
      </c>
      <c r="G484" s="624"/>
      <c r="H484" s="85"/>
      <c r="I484" s="624"/>
      <c r="J484" s="85"/>
      <c r="K484" s="624"/>
      <c r="L484" s="85"/>
      <c r="M484" s="624"/>
      <c r="N484" s="85"/>
      <c r="O484" s="624"/>
      <c r="P484" s="85"/>
      <c r="Q484" s="626">
        <f t="shared" si="16"/>
        <v>0</v>
      </c>
      <c r="R484" s="85"/>
      <c r="S484" s="624"/>
      <c r="T484" s="260"/>
      <c r="U484" s="624"/>
      <c r="V484" s="85"/>
      <c r="W484" s="624"/>
      <c r="X484" s="81"/>
      <c r="Y484" s="80"/>
      <c r="Z484" s="737">
        <f ca="1">MAX(0%,IF(Q484&lt;&gt;0,MIN((S484-Q484)/Q484/'Underwriting Risk'!$E$27,'Premium and Reserve Risk'!$Z$446),'Premium and Reserve Risk'!$Z$446))</f>
        <v>0.11200000000000002</v>
      </c>
      <c r="AA484" s="80"/>
      <c r="AB484" s="80"/>
      <c r="AC484" s="737">
        <f ca="1">MAX(0%,IF(U484&lt;&gt;0,MIN((W484-U484)/U484/'Underwriting Risk'!$E$27,'Premium and Reserve Risk'!$AC$446),'Premium and Reserve Risk'!$AC$446))</f>
        <v>0.11</v>
      </c>
      <c r="AD484" s="81"/>
      <c r="AE484" s="97"/>
      <c r="AF484" s="97"/>
      <c r="AG484" s="97"/>
      <c r="AH484" s="97"/>
    </row>
    <row r="485" spans="1:34" ht="13.5" customHeight="1" x14ac:dyDescent="0.25">
      <c r="A485" s="97"/>
      <c r="B485" s="257">
        <v>38</v>
      </c>
      <c r="C485" s="652"/>
      <c r="D485" s="80"/>
      <c r="E485" s="80"/>
      <c r="F485" s="258">
        <f t="shared" ca="1" si="17"/>
        <v>0</v>
      </c>
      <c r="G485" s="624"/>
      <c r="H485" s="85"/>
      <c r="I485" s="624"/>
      <c r="J485" s="85"/>
      <c r="K485" s="624"/>
      <c r="L485" s="85"/>
      <c r="M485" s="624"/>
      <c r="N485" s="85"/>
      <c r="O485" s="624"/>
      <c r="P485" s="85"/>
      <c r="Q485" s="626">
        <f t="shared" si="16"/>
        <v>0</v>
      </c>
      <c r="R485" s="85"/>
      <c r="S485" s="624"/>
      <c r="T485" s="260"/>
      <c r="U485" s="624"/>
      <c r="V485" s="85"/>
      <c r="W485" s="624"/>
      <c r="X485" s="81"/>
      <c r="Y485" s="80"/>
      <c r="Z485" s="737">
        <f ca="1">MAX(0%,IF(Q485&lt;&gt;0,MIN((S485-Q485)/Q485/'Underwriting Risk'!$E$27,'Premium and Reserve Risk'!$Z$446),'Premium and Reserve Risk'!$Z$446))</f>
        <v>0.11200000000000002</v>
      </c>
      <c r="AA485" s="80"/>
      <c r="AB485" s="80"/>
      <c r="AC485" s="737">
        <f ca="1">MAX(0%,IF(U485&lt;&gt;0,MIN((W485-U485)/U485/'Underwriting Risk'!$E$27,'Premium and Reserve Risk'!$AC$446),'Premium and Reserve Risk'!$AC$446))</f>
        <v>0.11</v>
      </c>
      <c r="AD485" s="81"/>
      <c r="AE485" s="97"/>
      <c r="AF485" s="97"/>
      <c r="AG485" s="97"/>
      <c r="AH485" s="97"/>
    </row>
    <row r="486" spans="1:34" ht="13.5" customHeight="1" x14ac:dyDescent="0.25">
      <c r="A486" s="97"/>
      <c r="B486" s="257">
        <v>39</v>
      </c>
      <c r="C486" s="652"/>
      <c r="D486" s="80"/>
      <c r="E486" s="80"/>
      <c r="F486" s="258">
        <f t="shared" ca="1" si="17"/>
        <v>0</v>
      </c>
      <c r="G486" s="624"/>
      <c r="H486" s="85"/>
      <c r="I486" s="624"/>
      <c r="J486" s="85"/>
      <c r="K486" s="624"/>
      <c r="L486" s="85"/>
      <c r="M486" s="624"/>
      <c r="N486" s="85"/>
      <c r="O486" s="624"/>
      <c r="P486" s="85"/>
      <c r="Q486" s="626">
        <f t="shared" si="16"/>
        <v>0</v>
      </c>
      <c r="R486" s="85"/>
      <c r="S486" s="624"/>
      <c r="T486" s="260"/>
      <c r="U486" s="624"/>
      <c r="V486" s="85"/>
      <c r="W486" s="624"/>
      <c r="X486" s="81"/>
      <c r="Y486" s="80"/>
      <c r="Z486" s="737">
        <f ca="1">MAX(0%,IF(Q486&lt;&gt;0,MIN((S486-Q486)/Q486/'Underwriting Risk'!$E$27,'Premium and Reserve Risk'!$Z$446),'Premium and Reserve Risk'!$Z$446))</f>
        <v>0.11200000000000002</v>
      </c>
      <c r="AA486" s="80"/>
      <c r="AB486" s="80"/>
      <c r="AC486" s="737">
        <f ca="1">MAX(0%,IF(U486&lt;&gt;0,MIN((W486-U486)/U486/'Underwriting Risk'!$E$27,'Premium and Reserve Risk'!$AC$446),'Premium and Reserve Risk'!$AC$446))</f>
        <v>0.11</v>
      </c>
      <c r="AD486" s="81"/>
      <c r="AE486" s="97"/>
      <c r="AF486" s="97"/>
      <c r="AG486" s="97"/>
      <c r="AH486" s="97"/>
    </row>
    <row r="487" spans="1:34" ht="13.5" customHeight="1" x14ac:dyDescent="0.25">
      <c r="A487" s="97"/>
      <c r="B487" s="257">
        <v>40</v>
      </c>
      <c r="C487" s="652"/>
      <c r="D487" s="80"/>
      <c r="E487" s="80"/>
      <c r="F487" s="258">
        <f t="shared" ca="1" si="17"/>
        <v>0</v>
      </c>
      <c r="G487" s="624"/>
      <c r="H487" s="85"/>
      <c r="I487" s="624"/>
      <c r="J487" s="85"/>
      <c r="K487" s="624"/>
      <c r="L487" s="85"/>
      <c r="M487" s="624"/>
      <c r="N487" s="85"/>
      <c r="O487" s="624"/>
      <c r="P487" s="85"/>
      <c r="Q487" s="626">
        <f t="shared" si="16"/>
        <v>0</v>
      </c>
      <c r="R487" s="85"/>
      <c r="S487" s="624"/>
      <c r="T487" s="260"/>
      <c r="U487" s="624"/>
      <c r="V487" s="85"/>
      <c r="W487" s="624"/>
      <c r="X487" s="81"/>
      <c r="Y487" s="80"/>
      <c r="Z487" s="737">
        <f ca="1">MAX(0%,IF(Q487&lt;&gt;0,MIN((S487-Q487)/Q487/'Underwriting Risk'!$E$27,'Premium and Reserve Risk'!$Z$446),'Premium and Reserve Risk'!$Z$446))</f>
        <v>0.11200000000000002</v>
      </c>
      <c r="AA487" s="80"/>
      <c r="AB487" s="80"/>
      <c r="AC487" s="737">
        <f ca="1">MAX(0%,IF(U487&lt;&gt;0,MIN((W487-U487)/U487/'Underwriting Risk'!$E$27,'Premium and Reserve Risk'!$AC$446),'Premium and Reserve Risk'!$AC$446))</f>
        <v>0.11</v>
      </c>
      <c r="AD487" s="81"/>
      <c r="AE487" s="97"/>
      <c r="AF487" s="97"/>
      <c r="AG487" s="97"/>
      <c r="AH487" s="97"/>
    </row>
    <row r="488" spans="1:34" ht="13.5" customHeight="1" x14ac:dyDescent="0.25">
      <c r="A488" s="97"/>
      <c r="B488" s="257">
        <v>41</v>
      </c>
      <c r="C488" s="652"/>
      <c r="D488" s="80"/>
      <c r="E488" s="80"/>
      <c r="F488" s="258">
        <f t="shared" ca="1" si="17"/>
        <v>0</v>
      </c>
      <c r="G488" s="624"/>
      <c r="H488" s="85"/>
      <c r="I488" s="624"/>
      <c r="J488" s="85"/>
      <c r="K488" s="624"/>
      <c r="L488" s="85"/>
      <c r="M488" s="624"/>
      <c r="N488" s="85"/>
      <c r="O488" s="624"/>
      <c r="P488" s="85"/>
      <c r="Q488" s="626">
        <f t="shared" si="16"/>
        <v>0</v>
      </c>
      <c r="R488" s="85"/>
      <c r="S488" s="624"/>
      <c r="T488" s="260"/>
      <c r="U488" s="624"/>
      <c r="V488" s="85"/>
      <c r="W488" s="624"/>
      <c r="X488" s="81"/>
      <c r="Y488" s="80"/>
      <c r="Z488" s="737">
        <f ca="1">MAX(0%,IF(Q488&lt;&gt;0,MIN((S488-Q488)/Q488/'Underwriting Risk'!$E$27,'Premium and Reserve Risk'!$Z$446),'Premium and Reserve Risk'!$Z$446))</f>
        <v>0.11200000000000002</v>
      </c>
      <c r="AA488" s="80"/>
      <c r="AB488" s="80"/>
      <c r="AC488" s="737">
        <f ca="1">MAX(0%,IF(U488&lt;&gt;0,MIN((W488-U488)/U488/'Underwriting Risk'!$E$27,'Premium and Reserve Risk'!$AC$446),'Premium and Reserve Risk'!$AC$446))</f>
        <v>0.11</v>
      </c>
      <c r="AD488" s="81"/>
      <c r="AE488" s="97"/>
      <c r="AF488" s="97"/>
      <c r="AG488" s="97"/>
      <c r="AH488" s="97"/>
    </row>
    <row r="489" spans="1:34" ht="13.5" customHeight="1" x14ac:dyDescent="0.25">
      <c r="A489" s="97"/>
      <c r="B489" s="257">
        <v>42</v>
      </c>
      <c r="C489" s="652"/>
      <c r="D489" s="80"/>
      <c r="E489" s="80"/>
      <c r="F489" s="258">
        <f t="shared" ca="1" si="17"/>
        <v>0</v>
      </c>
      <c r="G489" s="624"/>
      <c r="H489" s="85"/>
      <c r="I489" s="624"/>
      <c r="J489" s="85"/>
      <c r="K489" s="624"/>
      <c r="L489" s="85"/>
      <c r="M489" s="624"/>
      <c r="N489" s="85"/>
      <c r="O489" s="624"/>
      <c r="P489" s="85"/>
      <c r="Q489" s="626">
        <f t="shared" si="16"/>
        <v>0</v>
      </c>
      <c r="R489" s="85"/>
      <c r="S489" s="624"/>
      <c r="T489" s="260"/>
      <c r="U489" s="624"/>
      <c r="V489" s="85"/>
      <c r="W489" s="624"/>
      <c r="X489" s="81"/>
      <c r="Y489" s="80"/>
      <c r="Z489" s="737">
        <f ca="1">MAX(0%,IF(Q489&lt;&gt;0,MIN((S489-Q489)/Q489/'Underwriting Risk'!$E$27,'Premium and Reserve Risk'!$Z$446),'Premium and Reserve Risk'!$Z$446))</f>
        <v>0.11200000000000002</v>
      </c>
      <c r="AA489" s="80"/>
      <c r="AB489" s="80"/>
      <c r="AC489" s="737">
        <f ca="1">MAX(0%,IF(U489&lt;&gt;0,MIN((W489-U489)/U489/'Underwriting Risk'!$E$27,'Premium and Reserve Risk'!$AC$446),'Premium and Reserve Risk'!$AC$446))</f>
        <v>0.11</v>
      </c>
      <c r="AD489" s="81"/>
      <c r="AE489" s="97"/>
      <c r="AF489" s="97"/>
      <c r="AG489" s="97"/>
      <c r="AH489" s="97"/>
    </row>
    <row r="490" spans="1:34" ht="13.5" customHeight="1" x14ac:dyDescent="0.25">
      <c r="A490" s="97"/>
      <c r="B490" s="257">
        <v>43</v>
      </c>
      <c r="C490" s="652"/>
      <c r="D490" s="80"/>
      <c r="E490" s="80"/>
      <c r="F490" s="258">
        <f t="shared" ca="1" si="17"/>
        <v>0</v>
      </c>
      <c r="G490" s="624"/>
      <c r="H490" s="85"/>
      <c r="I490" s="624"/>
      <c r="J490" s="85"/>
      <c r="K490" s="624"/>
      <c r="L490" s="85"/>
      <c r="M490" s="624"/>
      <c r="N490" s="85"/>
      <c r="O490" s="624"/>
      <c r="P490" s="85"/>
      <c r="Q490" s="626">
        <f t="shared" si="16"/>
        <v>0</v>
      </c>
      <c r="R490" s="85"/>
      <c r="S490" s="624"/>
      <c r="T490" s="260"/>
      <c r="U490" s="624"/>
      <c r="V490" s="85"/>
      <c r="W490" s="624"/>
      <c r="X490" s="81"/>
      <c r="Y490" s="80"/>
      <c r="Z490" s="737">
        <f ca="1">MAX(0%,IF(Q490&lt;&gt;0,MIN((S490-Q490)/Q490/'Underwriting Risk'!$E$27,'Premium and Reserve Risk'!$Z$446),'Premium and Reserve Risk'!$Z$446))</f>
        <v>0.11200000000000002</v>
      </c>
      <c r="AA490" s="80"/>
      <c r="AB490" s="80"/>
      <c r="AC490" s="737">
        <f ca="1">MAX(0%,IF(U490&lt;&gt;0,MIN((W490-U490)/U490/'Underwriting Risk'!$E$27,'Premium and Reserve Risk'!$AC$446),'Premium and Reserve Risk'!$AC$446))</f>
        <v>0.11</v>
      </c>
      <c r="AD490" s="81"/>
      <c r="AE490" s="97"/>
      <c r="AF490" s="97"/>
      <c r="AG490" s="97"/>
      <c r="AH490" s="97"/>
    </row>
    <row r="491" spans="1:34" ht="13.5" customHeight="1" x14ac:dyDescent="0.25">
      <c r="A491" s="97"/>
      <c r="B491" s="257">
        <v>44</v>
      </c>
      <c r="C491" s="652"/>
      <c r="D491" s="80"/>
      <c r="E491" s="80"/>
      <c r="F491" s="258">
        <f t="shared" ca="1" si="17"/>
        <v>0</v>
      </c>
      <c r="G491" s="624"/>
      <c r="H491" s="85"/>
      <c r="I491" s="624"/>
      <c r="J491" s="85"/>
      <c r="K491" s="624"/>
      <c r="L491" s="85"/>
      <c r="M491" s="624"/>
      <c r="N491" s="85"/>
      <c r="O491" s="624"/>
      <c r="P491" s="85"/>
      <c r="Q491" s="626">
        <f t="shared" si="16"/>
        <v>0</v>
      </c>
      <c r="R491" s="85"/>
      <c r="S491" s="624"/>
      <c r="T491" s="260"/>
      <c r="U491" s="624"/>
      <c r="V491" s="85"/>
      <c r="W491" s="624"/>
      <c r="X491" s="81"/>
      <c r="Y491" s="80"/>
      <c r="Z491" s="737">
        <f ca="1">MAX(0%,IF(Q491&lt;&gt;0,MIN((S491-Q491)/Q491/'Underwriting Risk'!$E$27,'Premium and Reserve Risk'!$Z$446),'Premium and Reserve Risk'!$Z$446))</f>
        <v>0.11200000000000002</v>
      </c>
      <c r="AA491" s="80"/>
      <c r="AB491" s="80"/>
      <c r="AC491" s="737">
        <f ca="1">MAX(0%,IF(U491&lt;&gt;0,MIN((W491-U491)/U491/'Underwriting Risk'!$E$27,'Premium and Reserve Risk'!$AC$446),'Premium and Reserve Risk'!$AC$446))</f>
        <v>0.11</v>
      </c>
      <c r="AD491" s="81"/>
      <c r="AE491" s="97"/>
      <c r="AF491" s="97"/>
      <c r="AG491" s="97"/>
      <c r="AH491" s="97"/>
    </row>
    <row r="492" spans="1:34" ht="13.5" customHeight="1" x14ac:dyDescent="0.25">
      <c r="A492" s="97"/>
      <c r="B492" s="257">
        <v>45</v>
      </c>
      <c r="C492" s="652"/>
      <c r="D492" s="80"/>
      <c r="E492" s="80"/>
      <c r="F492" s="258">
        <f t="shared" ca="1" si="17"/>
        <v>0</v>
      </c>
      <c r="G492" s="624"/>
      <c r="H492" s="85"/>
      <c r="I492" s="624"/>
      <c r="J492" s="85"/>
      <c r="K492" s="624"/>
      <c r="L492" s="85"/>
      <c r="M492" s="624"/>
      <c r="N492" s="85"/>
      <c r="O492" s="624"/>
      <c r="P492" s="85"/>
      <c r="Q492" s="626">
        <f t="shared" si="16"/>
        <v>0</v>
      </c>
      <c r="R492" s="85"/>
      <c r="S492" s="624"/>
      <c r="T492" s="260"/>
      <c r="U492" s="624"/>
      <c r="V492" s="85"/>
      <c r="W492" s="624"/>
      <c r="X492" s="81"/>
      <c r="Y492" s="80"/>
      <c r="Z492" s="737">
        <f ca="1">MAX(0%,IF(Q492&lt;&gt;0,MIN((S492-Q492)/Q492/'Underwriting Risk'!$E$27,'Premium and Reserve Risk'!$Z$446),'Premium and Reserve Risk'!$Z$446))</f>
        <v>0.11200000000000002</v>
      </c>
      <c r="AA492" s="80"/>
      <c r="AB492" s="80"/>
      <c r="AC492" s="737">
        <f ca="1">MAX(0%,IF(U492&lt;&gt;0,MIN((W492-U492)/U492/'Underwriting Risk'!$E$27,'Premium and Reserve Risk'!$AC$446),'Premium and Reserve Risk'!$AC$446))</f>
        <v>0.11</v>
      </c>
      <c r="AD492" s="81"/>
      <c r="AE492" s="97"/>
      <c r="AF492" s="97"/>
      <c r="AG492" s="97"/>
      <c r="AH492" s="97"/>
    </row>
    <row r="493" spans="1:34" ht="13.5" customHeight="1" x14ac:dyDescent="0.25">
      <c r="A493" s="97"/>
      <c r="B493" s="257">
        <v>46</v>
      </c>
      <c r="C493" s="652"/>
      <c r="D493" s="80"/>
      <c r="E493" s="80"/>
      <c r="F493" s="258">
        <f t="shared" ca="1" si="17"/>
        <v>0</v>
      </c>
      <c r="G493" s="624"/>
      <c r="H493" s="85"/>
      <c r="I493" s="624"/>
      <c r="J493" s="85"/>
      <c r="K493" s="624"/>
      <c r="L493" s="85"/>
      <c r="M493" s="624"/>
      <c r="N493" s="85"/>
      <c r="O493" s="624"/>
      <c r="P493" s="85"/>
      <c r="Q493" s="626">
        <f t="shared" si="16"/>
        <v>0</v>
      </c>
      <c r="R493" s="85"/>
      <c r="S493" s="624"/>
      <c r="T493" s="260"/>
      <c r="U493" s="624"/>
      <c r="V493" s="85"/>
      <c r="W493" s="624"/>
      <c r="X493" s="81"/>
      <c r="Y493" s="80"/>
      <c r="Z493" s="737">
        <f ca="1">MAX(0%,IF(Q493&lt;&gt;0,MIN((S493-Q493)/Q493/'Underwriting Risk'!$E$27,'Premium and Reserve Risk'!$Z$446),'Premium and Reserve Risk'!$Z$446))</f>
        <v>0.11200000000000002</v>
      </c>
      <c r="AA493" s="80"/>
      <c r="AB493" s="80"/>
      <c r="AC493" s="737">
        <f ca="1">MAX(0%,IF(U493&lt;&gt;0,MIN((W493-U493)/U493/'Underwriting Risk'!$E$27,'Premium and Reserve Risk'!$AC$446),'Premium and Reserve Risk'!$AC$446))</f>
        <v>0.11</v>
      </c>
      <c r="AD493" s="81"/>
      <c r="AE493" s="97"/>
      <c r="AF493" s="97"/>
      <c r="AG493" s="97"/>
      <c r="AH493" s="97"/>
    </row>
    <row r="494" spans="1:34" ht="13.5" customHeight="1" x14ac:dyDescent="0.25">
      <c r="A494" s="97"/>
      <c r="B494" s="257">
        <v>47</v>
      </c>
      <c r="C494" s="652"/>
      <c r="D494" s="80"/>
      <c r="E494" s="80"/>
      <c r="F494" s="258">
        <f t="shared" ca="1" si="17"/>
        <v>0</v>
      </c>
      <c r="G494" s="624"/>
      <c r="H494" s="85"/>
      <c r="I494" s="624"/>
      <c r="J494" s="85"/>
      <c r="K494" s="624"/>
      <c r="L494" s="85"/>
      <c r="M494" s="624"/>
      <c r="N494" s="85"/>
      <c r="O494" s="624"/>
      <c r="P494" s="85"/>
      <c r="Q494" s="626">
        <f t="shared" si="16"/>
        <v>0</v>
      </c>
      <c r="R494" s="85"/>
      <c r="S494" s="624"/>
      <c r="T494" s="260"/>
      <c r="U494" s="624"/>
      <c r="V494" s="85"/>
      <c r="W494" s="624"/>
      <c r="X494" s="81"/>
      <c r="Y494" s="80"/>
      <c r="Z494" s="737">
        <f ca="1">MAX(0%,IF(Q494&lt;&gt;0,MIN((S494-Q494)/Q494/'Underwriting Risk'!$E$27,'Premium and Reserve Risk'!$Z$446),'Premium and Reserve Risk'!$Z$446))</f>
        <v>0.11200000000000002</v>
      </c>
      <c r="AA494" s="80"/>
      <c r="AB494" s="80"/>
      <c r="AC494" s="737">
        <f ca="1">MAX(0%,IF(U494&lt;&gt;0,MIN((W494-U494)/U494/'Underwriting Risk'!$E$27,'Premium and Reserve Risk'!$AC$446),'Premium and Reserve Risk'!$AC$446))</f>
        <v>0.11</v>
      </c>
      <c r="AD494" s="81"/>
      <c r="AE494" s="97"/>
      <c r="AF494" s="97"/>
      <c r="AG494" s="97"/>
      <c r="AH494" s="97"/>
    </row>
    <row r="495" spans="1:34" ht="13.5" customHeight="1" x14ac:dyDescent="0.25">
      <c r="A495" s="97"/>
      <c r="B495" s="257">
        <v>48</v>
      </c>
      <c r="C495" s="652"/>
      <c r="D495" s="80"/>
      <c r="E495" s="80"/>
      <c r="F495" s="258">
        <f t="shared" ca="1" si="17"/>
        <v>0</v>
      </c>
      <c r="G495" s="624"/>
      <c r="H495" s="85"/>
      <c r="I495" s="624"/>
      <c r="J495" s="85"/>
      <c r="K495" s="624"/>
      <c r="L495" s="85"/>
      <c r="M495" s="624"/>
      <c r="N495" s="85"/>
      <c r="O495" s="624"/>
      <c r="P495" s="85"/>
      <c r="Q495" s="626">
        <f t="shared" si="16"/>
        <v>0</v>
      </c>
      <c r="R495" s="85"/>
      <c r="S495" s="624"/>
      <c r="T495" s="260"/>
      <c r="U495" s="624"/>
      <c r="V495" s="85"/>
      <c r="W495" s="624"/>
      <c r="X495" s="81"/>
      <c r="Y495" s="80"/>
      <c r="Z495" s="737">
        <f ca="1">MAX(0%,IF(Q495&lt;&gt;0,MIN((S495-Q495)/Q495/'Underwriting Risk'!$E$27,'Premium and Reserve Risk'!$Z$446),'Premium and Reserve Risk'!$Z$446))</f>
        <v>0.11200000000000002</v>
      </c>
      <c r="AA495" s="80"/>
      <c r="AB495" s="80"/>
      <c r="AC495" s="737">
        <f ca="1">MAX(0%,IF(U495&lt;&gt;0,MIN((W495-U495)/U495/'Underwriting Risk'!$E$27,'Premium and Reserve Risk'!$AC$446),'Premium and Reserve Risk'!$AC$446))</f>
        <v>0.11</v>
      </c>
      <c r="AD495" s="81"/>
      <c r="AE495" s="97"/>
      <c r="AF495" s="97"/>
      <c r="AG495" s="97"/>
      <c r="AH495" s="97"/>
    </row>
    <row r="496" spans="1:34" ht="13.5" customHeight="1" x14ac:dyDescent="0.25">
      <c r="A496" s="97"/>
      <c r="B496" s="257">
        <v>49</v>
      </c>
      <c r="C496" s="652"/>
      <c r="D496" s="80"/>
      <c r="E496" s="80"/>
      <c r="F496" s="258">
        <f t="shared" ca="1" si="17"/>
        <v>0</v>
      </c>
      <c r="G496" s="624"/>
      <c r="H496" s="85"/>
      <c r="I496" s="624"/>
      <c r="J496" s="85"/>
      <c r="K496" s="624"/>
      <c r="L496" s="85"/>
      <c r="M496" s="624"/>
      <c r="N496" s="85"/>
      <c r="O496" s="624"/>
      <c r="P496" s="85"/>
      <c r="Q496" s="626">
        <f t="shared" si="16"/>
        <v>0</v>
      </c>
      <c r="R496" s="85"/>
      <c r="S496" s="624"/>
      <c r="T496" s="260"/>
      <c r="U496" s="624"/>
      <c r="V496" s="85"/>
      <c r="W496" s="624"/>
      <c r="X496" s="81"/>
      <c r="Y496" s="80"/>
      <c r="Z496" s="737">
        <f ca="1">MAX(0%,IF(Q496&lt;&gt;0,MIN((S496-Q496)/Q496/'Underwriting Risk'!$E$27,'Premium and Reserve Risk'!$Z$446),'Premium and Reserve Risk'!$Z$446))</f>
        <v>0.11200000000000002</v>
      </c>
      <c r="AA496" s="80"/>
      <c r="AB496" s="80"/>
      <c r="AC496" s="737">
        <f ca="1">MAX(0%,IF(U496&lt;&gt;0,MIN((W496-U496)/U496/'Underwriting Risk'!$E$27,'Premium and Reserve Risk'!$AC$446),'Premium and Reserve Risk'!$AC$446))</f>
        <v>0.11</v>
      </c>
      <c r="AD496" s="81"/>
      <c r="AE496" s="97"/>
      <c r="AF496" s="97"/>
      <c r="AG496" s="97"/>
      <c r="AH496" s="97"/>
    </row>
    <row r="497" spans="1:34" ht="13.5" customHeight="1" x14ac:dyDescent="0.25">
      <c r="A497" s="97"/>
      <c r="B497" s="257">
        <v>50</v>
      </c>
      <c r="C497" s="652"/>
      <c r="D497" s="80"/>
      <c r="E497" s="80"/>
      <c r="F497" s="258">
        <f t="shared" ca="1" si="17"/>
        <v>0</v>
      </c>
      <c r="G497" s="624"/>
      <c r="H497" s="85"/>
      <c r="I497" s="624"/>
      <c r="J497" s="85"/>
      <c r="K497" s="624"/>
      <c r="L497" s="85"/>
      <c r="M497" s="624"/>
      <c r="N497" s="85"/>
      <c r="O497" s="624"/>
      <c r="P497" s="85"/>
      <c r="Q497" s="626">
        <f t="shared" si="16"/>
        <v>0</v>
      </c>
      <c r="R497" s="85"/>
      <c r="S497" s="624"/>
      <c r="T497" s="260"/>
      <c r="U497" s="624"/>
      <c r="V497" s="85"/>
      <c r="W497" s="624"/>
      <c r="X497" s="81"/>
      <c r="Y497" s="80"/>
      <c r="Z497" s="737">
        <f ca="1">MAX(0%,IF(Q497&lt;&gt;0,MIN((S497-Q497)/Q497/'Underwriting Risk'!$E$27,'Premium and Reserve Risk'!$Z$446),'Premium and Reserve Risk'!$Z$446))</f>
        <v>0.11200000000000002</v>
      </c>
      <c r="AA497" s="80"/>
      <c r="AB497" s="80"/>
      <c r="AC497" s="737">
        <f ca="1">MAX(0%,IF(U497&lt;&gt;0,MIN((W497-U497)/U497/'Underwriting Risk'!$E$27,'Premium and Reserve Risk'!$AC$446),'Premium and Reserve Risk'!$AC$446))</f>
        <v>0.11</v>
      </c>
      <c r="AD497" s="81"/>
      <c r="AE497" s="97"/>
      <c r="AF497" s="97"/>
      <c r="AG497" s="97"/>
      <c r="AH497" s="97"/>
    </row>
    <row r="498" spans="1:34" ht="13.5" customHeight="1" x14ac:dyDescent="0.25">
      <c r="A498" s="97"/>
      <c r="B498" s="257">
        <v>51</v>
      </c>
      <c r="C498" s="652"/>
      <c r="D498" s="80"/>
      <c r="E498" s="80"/>
      <c r="F498" s="258">
        <f t="shared" ca="1" si="17"/>
        <v>0</v>
      </c>
      <c r="G498" s="624"/>
      <c r="H498" s="85"/>
      <c r="I498" s="624"/>
      <c r="J498" s="85"/>
      <c r="K498" s="624"/>
      <c r="L498" s="85"/>
      <c r="M498" s="624"/>
      <c r="N498" s="85"/>
      <c r="O498" s="624"/>
      <c r="P498" s="85"/>
      <c r="Q498" s="626">
        <f t="shared" si="16"/>
        <v>0</v>
      </c>
      <c r="R498" s="85"/>
      <c r="S498" s="624"/>
      <c r="T498" s="260"/>
      <c r="U498" s="624"/>
      <c r="V498" s="85"/>
      <c r="W498" s="624"/>
      <c r="X498" s="81"/>
      <c r="Y498" s="80"/>
      <c r="Z498" s="737">
        <f ca="1">MAX(0%,IF(Q498&lt;&gt;0,MIN((S498-Q498)/Q498/'Underwriting Risk'!$E$27,'Premium and Reserve Risk'!$Z$446),'Premium and Reserve Risk'!$Z$446))</f>
        <v>0.11200000000000002</v>
      </c>
      <c r="AA498" s="80"/>
      <c r="AB498" s="80"/>
      <c r="AC498" s="737">
        <f ca="1">MAX(0%,IF(U498&lt;&gt;0,MIN((W498-U498)/U498/'Underwriting Risk'!$E$27,'Premium and Reserve Risk'!$AC$446),'Premium and Reserve Risk'!$AC$446))</f>
        <v>0.11</v>
      </c>
      <c r="AD498" s="81"/>
      <c r="AE498" s="97"/>
      <c r="AF498" s="97"/>
      <c r="AG498" s="97"/>
      <c r="AH498" s="97"/>
    </row>
    <row r="499" spans="1:34" ht="13.5" customHeight="1" x14ac:dyDescent="0.25">
      <c r="A499" s="97"/>
      <c r="B499" s="257">
        <v>52</v>
      </c>
      <c r="C499" s="652"/>
      <c r="D499" s="80"/>
      <c r="E499" s="80"/>
      <c r="F499" s="258">
        <f t="shared" ca="1" si="17"/>
        <v>0</v>
      </c>
      <c r="G499" s="624"/>
      <c r="H499" s="85"/>
      <c r="I499" s="624"/>
      <c r="J499" s="85"/>
      <c r="K499" s="624"/>
      <c r="L499" s="85"/>
      <c r="M499" s="624"/>
      <c r="N499" s="85"/>
      <c r="O499" s="624"/>
      <c r="P499" s="85"/>
      <c r="Q499" s="626">
        <f t="shared" si="16"/>
        <v>0</v>
      </c>
      <c r="R499" s="85"/>
      <c r="S499" s="624"/>
      <c r="T499" s="260"/>
      <c r="U499" s="624"/>
      <c r="V499" s="85"/>
      <c r="W499" s="624"/>
      <c r="X499" s="81"/>
      <c r="Y499" s="80"/>
      <c r="Z499" s="737">
        <f ca="1">MAX(0%,IF(Q499&lt;&gt;0,MIN((S499-Q499)/Q499/'Underwriting Risk'!$E$27,'Premium and Reserve Risk'!$Z$446),'Premium and Reserve Risk'!$Z$446))</f>
        <v>0.11200000000000002</v>
      </c>
      <c r="AA499" s="80"/>
      <c r="AB499" s="80"/>
      <c r="AC499" s="737">
        <f ca="1">MAX(0%,IF(U499&lt;&gt;0,MIN((W499-U499)/U499/'Underwriting Risk'!$E$27,'Premium and Reserve Risk'!$AC$446),'Premium and Reserve Risk'!$AC$446))</f>
        <v>0.11</v>
      </c>
      <c r="AD499" s="81"/>
      <c r="AE499" s="97"/>
      <c r="AF499" s="97"/>
      <c r="AG499" s="97"/>
      <c r="AH499" s="97"/>
    </row>
    <row r="500" spans="1:34" ht="13.5" customHeight="1" x14ac:dyDescent="0.25">
      <c r="A500" s="97"/>
      <c r="B500" s="257">
        <v>53</v>
      </c>
      <c r="C500" s="652"/>
      <c r="D500" s="80"/>
      <c r="E500" s="80"/>
      <c r="F500" s="258">
        <f t="shared" ca="1" si="17"/>
        <v>0</v>
      </c>
      <c r="G500" s="624"/>
      <c r="H500" s="85"/>
      <c r="I500" s="624"/>
      <c r="J500" s="85"/>
      <c r="K500" s="624"/>
      <c r="L500" s="85"/>
      <c r="M500" s="624"/>
      <c r="N500" s="85"/>
      <c r="O500" s="624"/>
      <c r="P500" s="85"/>
      <c r="Q500" s="626">
        <f t="shared" si="16"/>
        <v>0</v>
      </c>
      <c r="R500" s="85"/>
      <c r="S500" s="624"/>
      <c r="T500" s="260"/>
      <c r="U500" s="624"/>
      <c r="V500" s="85"/>
      <c r="W500" s="624"/>
      <c r="X500" s="81"/>
      <c r="Y500" s="80"/>
      <c r="Z500" s="737">
        <f ca="1">MAX(0%,IF(Q500&lt;&gt;0,MIN((S500-Q500)/Q500/'Underwriting Risk'!$E$27,'Premium and Reserve Risk'!$Z$446),'Premium and Reserve Risk'!$Z$446))</f>
        <v>0.11200000000000002</v>
      </c>
      <c r="AA500" s="80"/>
      <c r="AB500" s="80"/>
      <c r="AC500" s="737">
        <f ca="1">MAX(0%,IF(U500&lt;&gt;0,MIN((W500-U500)/U500/'Underwriting Risk'!$E$27,'Premium and Reserve Risk'!$AC$446),'Premium and Reserve Risk'!$AC$446))</f>
        <v>0.11</v>
      </c>
      <c r="AD500" s="81"/>
      <c r="AE500" s="97"/>
      <c r="AF500" s="97"/>
      <c r="AG500" s="97"/>
      <c r="AH500" s="97"/>
    </row>
    <row r="501" spans="1:34" ht="13.5" customHeight="1" x14ac:dyDescent="0.25">
      <c r="A501" s="97"/>
      <c r="B501" s="257">
        <v>54</v>
      </c>
      <c r="C501" s="652"/>
      <c r="D501" s="80"/>
      <c r="E501" s="80"/>
      <c r="F501" s="258">
        <f t="shared" ca="1" si="17"/>
        <v>0</v>
      </c>
      <c r="G501" s="624"/>
      <c r="H501" s="85"/>
      <c r="I501" s="624"/>
      <c r="J501" s="85"/>
      <c r="K501" s="624"/>
      <c r="L501" s="85"/>
      <c r="M501" s="624"/>
      <c r="N501" s="85"/>
      <c r="O501" s="624"/>
      <c r="P501" s="85"/>
      <c r="Q501" s="626">
        <f t="shared" si="16"/>
        <v>0</v>
      </c>
      <c r="R501" s="85"/>
      <c r="S501" s="624"/>
      <c r="T501" s="260"/>
      <c r="U501" s="624"/>
      <c r="V501" s="85"/>
      <c r="W501" s="624"/>
      <c r="X501" s="81"/>
      <c r="Y501" s="80"/>
      <c r="Z501" s="737">
        <f ca="1">MAX(0%,IF(Q501&lt;&gt;0,MIN((S501-Q501)/Q501/'Underwriting Risk'!$E$27,'Premium and Reserve Risk'!$Z$446),'Premium and Reserve Risk'!$Z$446))</f>
        <v>0.11200000000000002</v>
      </c>
      <c r="AA501" s="80"/>
      <c r="AB501" s="80"/>
      <c r="AC501" s="737">
        <f ca="1">MAX(0%,IF(U501&lt;&gt;0,MIN((W501-U501)/U501/'Underwriting Risk'!$E$27,'Premium and Reserve Risk'!$AC$446),'Premium and Reserve Risk'!$AC$446))</f>
        <v>0.11</v>
      </c>
      <c r="AD501" s="81"/>
      <c r="AE501" s="97"/>
      <c r="AF501" s="97"/>
      <c r="AG501" s="97"/>
      <c r="AH501" s="97"/>
    </row>
    <row r="502" spans="1:34" ht="13.5" customHeight="1" x14ac:dyDescent="0.25">
      <c r="A502" s="97"/>
      <c r="B502" s="257">
        <v>55</v>
      </c>
      <c r="C502" s="652"/>
      <c r="D502" s="80"/>
      <c r="E502" s="80"/>
      <c r="F502" s="258">
        <f t="shared" ca="1" si="17"/>
        <v>0</v>
      </c>
      <c r="G502" s="624"/>
      <c r="H502" s="85"/>
      <c r="I502" s="624"/>
      <c r="J502" s="85"/>
      <c r="K502" s="624"/>
      <c r="L502" s="85"/>
      <c r="M502" s="624"/>
      <c r="N502" s="85"/>
      <c r="O502" s="624"/>
      <c r="P502" s="85"/>
      <c r="Q502" s="626">
        <f t="shared" si="16"/>
        <v>0</v>
      </c>
      <c r="R502" s="85"/>
      <c r="S502" s="624"/>
      <c r="T502" s="260"/>
      <c r="U502" s="624"/>
      <c r="V502" s="85"/>
      <c r="W502" s="624"/>
      <c r="X502" s="81"/>
      <c r="Y502" s="80"/>
      <c r="Z502" s="737">
        <f ca="1">MAX(0%,IF(Q502&lt;&gt;0,MIN((S502-Q502)/Q502/'Underwriting Risk'!$E$27,'Premium and Reserve Risk'!$Z$446),'Premium and Reserve Risk'!$Z$446))</f>
        <v>0.11200000000000002</v>
      </c>
      <c r="AA502" s="80"/>
      <c r="AB502" s="80"/>
      <c r="AC502" s="737">
        <f ca="1">MAX(0%,IF(U502&lt;&gt;0,MIN((W502-U502)/U502/'Underwriting Risk'!$E$27,'Premium and Reserve Risk'!$AC$446),'Premium and Reserve Risk'!$AC$446))</f>
        <v>0.11</v>
      </c>
      <c r="AD502" s="81"/>
      <c r="AE502" s="97"/>
      <c r="AF502" s="97"/>
      <c r="AG502" s="97"/>
      <c r="AH502" s="97"/>
    </row>
    <row r="503" spans="1:34" ht="13.5" customHeight="1" x14ac:dyDescent="0.25">
      <c r="A503" s="97"/>
      <c r="B503" s="257">
        <v>56</v>
      </c>
      <c r="C503" s="652"/>
      <c r="D503" s="80"/>
      <c r="E503" s="80"/>
      <c r="F503" s="258">
        <f t="shared" ca="1" si="17"/>
        <v>0</v>
      </c>
      <c r="G503" s="624"/>
      <c r="H503" s="85"/>
      <c r="I503" s="624"/>
      <c r="J503" s="85"/>
      <c r="K503" s="624"/>
      <c r="L503" s="85"/>
      <c r="M503" s="624"/>
      <c r="N503" s="85"/>
      <c r="O503" s="624"/>
      <c r="P503" s="85"/>
      <c r="Q503" s="626">
        <f t="shared" si="16"/>
        <v>0</v>
      </c>
      <c r="R503" s="85"/>
      <c r="S503" s="624"/>
      <c r="T503" s="260"/>
      <c r="U503" s="624"/>
      <c r="V503" s="85"/>
      <c r="W503" s="624"/>
      <c r="X503" s="81"/>
      <c r="Y503" s="80"/>
      <c r="Z503" s="737">
        <f ca="1">MAX(0%,IF(Q503&lt;&gt;0,MIN((S503-Q503)/Q503/'Underwriting Risk'!$E$27,'Premium and Reserve Risk'!$Z$446),'Premium and Reserve Risk'!$Z$446))</f>
        <v>0.11200000000000002</v>
      </c>
      <c r="AA503" s="80"/>
      <c r="AB503" s="80"/>
      <c r="AC503" s="737">
        <f ca="1">MAX(0%,IF(U503&lt;&gt;0,MIN((W503-U503)/U503/'Underwriting Risk'!$E$27,'Premium and Reserve Risk'!$AC$446),'Premium and Reserve Risk'!$AC$446))</f>
        <v>0.11</v>
      </c>
      <c r="AD503" s="81"/>
      <c r="AE503" s="97"/>
      <c r="AF503" s="97"/>
      <c r="AG503" s="97"/>
      <c r="AH503" s="97"/>
    </row>
    <row r="504" spans="1:34" ht="13.5" customHeight="1" x14ac:dyDescent="0.25">
      <c r="A504" s="97"/>
      <c r="B504" s="257">
        <v>57</v>
      </c>
      <c r="C504" s="652"/>
      <c r="D504" s="80"/>
      <c r="E504" s="80"/>
      <c r="F504" s="258">
        <f t="shared" ca="1" si="17"/>
        <v>0</v>
      </c>
      <c r="G504" s="624"/>
      <c r="H504" s="85"/>
      <c r="I504" s="624"/>
      <c r="J504" s="85"/>
      <c r="K504" s="624"/>
      <c r="L504" s="85"/>
      <c r="M504" s="624"/>
      <c r="N504" s="85"/>
      <c r="O504" s="624"/>
      <c r="P504" s="85"/>
      <c r="Q504" s="626">
        <f t="shared" si="16"/>
        <v>0</v>
      </c>
      <c r="R504" s="85"/>
      <c r="S504" s="624"/>
      <c r="T504" s="260"/>
      <c r="U504" s="624"/>
      <c r="V504" s="85"/>
      <c r="W504" s="624"/>
      <c r="X504" s="81"/>
      <c r="Y504" s="80"/>
      <c r="Z504" s="737">
        <f ca="1">MAX(0%,IF(Q504&lt;&gt;0,MIN((S504-Q504)/Q504/'Underwriting Risk'!$E$27,'Premium and Reserve Risk'!$Z$446),'Premium and Reserve Risk'!$Z$446))</f>
        <v>0.11200000000000002</v>
      </c>
      <c r="AA504" s="80"/>
      <c r="AB504" s="80"/>
      <c r="AC504" s="737">
        <f ca="1">MAX(0%,IF(U504&lt;&gt;0,MIN((W504-U504)/U504/'Underwriting Risk'!$E$27,'Premium and Reserve Risk'!$AC$446),'Premium and Reserve Risk'!$AC$446))</f>
        <v>0.11</v>
      </c>
      <c r="AD504" s="81"/>
      <c r="AE504" s="97"/>
      <c r="AF504" s="97"/>
      <c r="AG504" s="97"/>
      <c r="AH504" s="97"/>
    </row>
    <row r="505" spans="1:34" ht="13.5" customHeight="1" x14ac:dyDescent="0.25">
      <c r="A505" s="97"/>
      <c r="B505" s="257">
        <v>58</v>
      </c>
      <c r="C505" s="652"/>
      <c r="D505" s="80"/>
      <c r="E505" s="80"/>
      <c r="F505" s="258">
        <f t="shared" ca="1" si="17"/>
        <v>0</v>
      </c>
      <c r="G505" s="624"/>
      <c r="H505" s="85"/>
      <c r="I505" s="624"/>
      <c r="J505" s="85"/>
      <c r="K505" s="624"/>
      <c r="L505" s="85"/>
      <c r="M505" s="624"/>
      <c r="N505" s="85"/>
      <c r="O505" s="624"/>
      <c r="P505" s="85"/>
      <c r="Q505" s="626">
        <f t="shared" si="16"/>
        <v>0</v>
      </c>
      <c r="R505" s="85"/>
      <c r="S505" s="624"/>
      <c r="T505" s="260"/>
      <c r="U505" s="624"/>
      <c r="V505" s="85"/>
      <c r="W505" s="624"/>
      <c r="X505" s="81"/>
      <c r="Y505" s="80"/>
      <c r="Z505" s="737">
        <f ca="1">MAX(0%,IF(Q505&lt;&gt;0,MIN((S505-Q505)/Q505/'Underwriting Risk'!$E$27,'Premium and Reserve Risk'!$Z$446),'Premium and Reserve Risk'!$Z$446))</f>
        <v>0.11200000000000002</v>
      </c>
      <c r="AA505" s="80"/>
      <c r="AB505" s="80"/>
      <c r="AC505" s="737">
        <f ca="1">MAX(0%,IF(U505&lt;&gt;0,MIN((W505-U505)/U505/'Underwriting Risk'!$E$27,'Premium and Reserve Risk'!$AC$446),'Premium and Reserve Risk'!$AC$446))</f>
        <v>0.11</v>
      </c>
      <c r="AD505" s="81"/>
      <c r="AE505" s="97"/>
      <c r="AF505" s="97"/>
      <c r="AG505" s="97"/>
      <c r="AH505" s="97"/>
    </row>
    <row r="506" spans="1:34" ht="13.5" customHeight="1" x14ac:dyDescent="0.25">
      <c r="A506" s="97"/>
      <c r="B506" s="257">
        <v>59</v>
      </c>
      <c r="C506" s="652"/>
      <c r="D506" s="80"/>
      <c r="E506" s="80"/>
      <c r="F506" s="258">
        <f t="shared" ca="1" si="17"/>
        <v>0</v>
      </c>
      <c r="G506" s="624"/>
      <c r="H506" s="85"/>
      <c r="I506" s="624"/>
      <c r="J506" s="85"/>
      <c r="K506" s="624"/>
      <c r="L506" s="85"/>
      <c r="M506" s="624"/>
      <c r="N506" s="85"/>
      <c r="O506" s="624"/>
      <c r="P506" s="85"/>
      <c r="Q506" s="626">
        <f t="shared" si="16"/>
        <v>0</v>
      </c>
      <c r="R506" s="85"/>
      <c r="S506" s="624"/>
      <c r="T506" s="260"/>
      <c r="U506" s="624"/>
      <c r="V506" s="85"/>
      <c r="W506" s="624"/>
      <c r="X506" s="81"/>
      <c r="Y506" s="80"/>
      <c r="Z506" s="737">
        <f ca="1">MAX(0%,IF(Q506&lt;&gt;0,MIN((S506-Q506)/Q506/'Underwriting Risk'!$E$27,'Premium and Reserve Risk'!$Z$446),'Premium and Reserve Risk'!$Z$446))</f>
        <v>0.11200000000000002</v>
      </c>
      <c r="AA506" s="80"/>
      <c r="AB506" s="80"/>
      <c r="AC506" s="737">
        <f ca="1">MAX(0%,IF(U506&lt;&gt;0,MIN((W506-U506)/U506/'Underwriting Risk'!$E$27,'Premium and Reserve Risk'!$AC$446),'Premium and Reserve Risk'!$AC$446))</f>
        <v>0.11</v>
      </c>
      <c r="AD506" s="81"/>
      <c r="AE506" s="97"/>
      <c r="AF506" s="97"/>
      <c r="AG506" s="97"/>
      <c r="AH506" s="97"/>
    </row>
    <row r="507" spans="1:34" ht="13.5" customHeight="1" x14ac:dyDescent="0.25">
      <c r="A507" s="97"/>
      <c r="B507" s="257">
        <v>60</v>
      </c>
      <c r="C507" s="652"/>
      <c r="D507" s="80"/>
      <c r="E507" s="80"/>
      <c r="F507" s="258">
        <f t="shared" ca="1" si="17"/>
        <v>0</v>
      </c>
      <c r="G507" s="624"/>
      <c r="H507" s="85"/>
      <c r="I507" s="624"/>
      <c r="J507" s="85"/>
      <c r="K507" s="624"/>
      <c r="L507" s="85"/>
      <c r="M507" s="624"/>
      <c r="N507" s="85"/>
      <c r="O507" s="624"/>
      <c r="P507" s="85"/>
      <c r="Q507" s="626">
        <f t="shared" si="16"/>
        <v>0</v>
      </c>
      <c r="R507" s="85"/>
      <c r="S507" s="624"/>
      <c r="T507" s="260"/>
      <c r="U507" s="624"/>
      <c r="V507" s="85"/>
      <c r="W507" s="624"/>
      <c r="X507" s="81"/>
      <c r="Y507" s="80"/>
      <c r="Z507" s="737">
        <f ca="1">MAX(0%,IF(Q507&lt;&gt;0,MIN((S507-Q507)/Q507/'Underwriting Risk'!$E$27,'Premium and Reserve Risk'!$Z$446),'Premium and Reserve Risk'!$Z$446))</f>
        <v>0.11200000000000002</v>
      </c>
      <c r="AA507" s="80"/>
      <c r="AB507" s="80"/>
      <c r="AC507" s="737">
        <f ca="1">MAX(0%,IF(U507&lt;&gt;0,MIN((W507-U507)/U507/'Underwriting Risk'!$E$27,'Premium and Reserve Risk'!$AC$446),'Premium and Reserve Risk'!$AC$446))</f>
        <v>0.11</v>
      </c>
      <c r="AD507" s="81"/>
      <c r="AE507" s="97"/>
      <c r="AF507" s="97"/>
      <c r="AG507" s="97"/>
      <c r="AH507" s="97"/>
    </row>
    <row r="508" spans="1:34" ht="13.5" customHeight="1" x14ac:dyDescent="0.25">
      <c r="A508" s="97"/>
      <c r="B508" s="257">
        <v>61</v>
      </c>
      <c r="C508" s="652"/>
      <c r="D508" s="80"/>
      <c r="E508" s="80"/>
      <c r="F508" s="258">
        <f t="shared" ca="1" si="17"/>
        <v>0</v>
      </c>
      <c r="G508" s="624"/>
      <c r="H508" s="85"/>
      <c r="I508" s="624"/>
      <c r="J508" s="85"/>
      <c r="K508" s="624"/>
      <c r="L508" s="85"/>
      <c r="M508" s="624"/>
      <c r="N508" s="85"/>
      <c r="O508" s="624"/>
      <c r="P508" s="85"/>
      <c r="Q508" s="626">
        <f t="shared" si="16"/>
        <v>0</v>
      </c>
      <c r="R508" s="85"/>
      <c r="S508" s="624"/>
      <c r="T508" s="260"/>
      <c r="U508" s="624"/>
      <c r="V508" s="85"/>
      <c r="W508" s="624"/>
      <c r="X508" s="81"/>
      <c r="Y508" s="80"/>
      <c r="Z508" s="737">
        <f ca="1">MAX(0%,IF(Q508&lt;&gt;0,MIN((S508-Q508)/Q508/'Underwriting Risk'!$E$27,'Premium and Reserve Risk'!$Z$446),'Premium and Reserve Risk'!$Z$446))</f>
        <v>0.11200000000000002</v>
      </c>
      <c r="AA508" s="80"/>
      <c r="AB508" s="80"/>
      <c r="AC508" s="737">
        <f ca="1">MAX(0%,IF(U508&lt;&gt;0,MIN((W508-U508)/U508/'Underwriting Risk'!$E$27,'Premium and Reserve Risk'!$AC$446),'Premium and Reserve Risk'!$AC$446))</f>
        <v>0.11</v>
      </c>
      <c r="AD508" s="81"/>
      <c r="AE508" s="97"/>
      <c r="AF508" s="97"/>
      <c r="AG508" s="97"/>
      <c r="AH508" s="97"/>
    </row>
    <row r="509" spans="1:34" ht="13.5" customHeight="1" x14ac:dyDescent="0.25">
      <c r="A509" s="97"/>
      <c r="B509" s="257">
        <v>62</v>
      </c>
      <c r="C509" s="652"/>
      <c r="D509" s="80"/>
      <c r="E509" s="80"/>
      <c r="F509" s="258">
        <f t="shared" ca="1" si="17"/>
        <v>0</v>
      </c>
      <c r="G509" s="624"/>
      <c r="H509" s="85"/>
      <c r="I509" s="624"/>
      <c r="J509" s="85"/>
      <c r="K509" s="624"/>
      <c r="L509" s="85"/>
      <c r="M509" s="624"/>
      <c r="N509" s="85"/>
      <c r="O509" s="624"/>
      <c r="P509" s="85"/>
      <c r="Q509" s="626">
        <f t="shared" si="16"/>
        <v>0</v>
      </c>
      <c r="R509" s="85"/>
      <c r="S509" s="624"/>
      <c r="T509" s="260"/>
      <c r="U509" s="624"/>
      <c r="V509" s="85"/>
      <c r="W509" s="624"/>
      <c r="X509" s="81"/>
      <c r="Y509" s="80"/>
      <c r="Z509" s="737">
        <f ca="1">MAX(0%,IF(Q509&lt;&gt;0,MIN((S509-Q509)/Q509/'Underwriting Risk'!$E$27,'Premium and Reserve Risk'!$Z$446),'Premium and Reserve Risk'!$Z$446))</f>
        <v>0.11200000000000002</v>
      </c>
      <c r="AA509" s="80"/>
      <c r="AB509" s="80"/>
      <c r="AC509" s="737">
        <f ca="1">MAX(0%,IF(U509&lt;&gt;0,MIN((W509-U509)/U509/'Underwriting Risk'!$E$27,'Premium and Reserve Risk'!$AC$446),'Premium and Reserve Risk'!$AC$446))</f>
        <v>0.11</v>
      </c>
      <c r="AD509" s="81"/>
      <c r="AE509" s="97"/>
      <c r="AF509" s="97"/>
      <c r="AG509" s="97"/>
      <c r="AH509" s="97"/>
    </row>
    <row r="510" spans="1:34" ht="13.5" customHeight="1" x14ac:dyDescent="0.25">
      <c r="A510" s="97"/>
      <c r="B510" s="257">
        <v>63</v>
      </c>
      <c r="C510" s="652"/>
      <c r="D510" s="80"/>
      <c r="E510" s="80"/>
      <c r="F510" s="258">
        <f t="shared" ca="1" si="17"/>
        <v>0</v>
      </c>
      <c r="G510" s="624"/>
      <c r="H510" s="85"/>
      <c r="I510" s="624"/>
      <c r="J510" s="85"/>
      <c r="K510" s="624"/>
      <c r="L510" s="85"/>
      <c r="M510" s="624"/>
      <c r="N510" s="85"/>
      <c r="O510" s="624"/>
      <c r="P510" s="85"/>
      <c r="Q510" s="626">
        <f t="shared" si="16"/>
        <v>0</v>
      </c>
      <c r="R510" s="85"/>
      <c r="S510" s="624"/>
      <c r="T510" s="260"/>
      <c r="U510" s="624"/>
      <c r="V510" s="85"/>
      <c r="W510" s="624"/>
      <c r="X510" s="81"/>
      <c r="Y510" s="80"/>
      <c r="Z510" s="737">
        <f ca="1">MAX(0%,IF(Q510&lt;&gt;0,MIN((S510-Q510)/Q510/'Underwriting Risk'!$E$27,'Premium and Reserve Risk'!$Z$446),'Premium and Reserve Risk'!$Z$446))</f>
        <v>0.11200000000000002</v>
      </c>
      <c r="AA510" s="80"/>
      <c r="AB510" s="80"/>
      <c r="AC510" s="737">
        <f ca="1">MAX(0%,IF(U510&lt;&gt;0,MIN((W510-U510)/U510/'Underwriting Risk'!$E$27,'Premium and Reserve Risk'!$AC$446),'Premium and Reserve Risk'!$AC$446))</f>
        <v>0.11</v>
      </c>
      <c r="AD510" s="81"/>
      <c r="AE510" s="97"/>
      <c r="AF510" s="97"/>
      <c r="AG510" s="97"/>
      <c r="AH510" s="97"/>
    </row>
    <row r="511" spans="1:34" ht="13.5" customHeight="1" x14ac:dyDescent="0.25">
      <c r="A511" s="97"/>
      <c r="B511" s="257">
        <v>64</v>
      </c>
      <c r="C511" s="652"/>
      <c r="D511" s="80"/>
      <c r="E511" s="80"/>
      <c r="F511" s="258">
        <f t="shared" ca="1" si="17"/>
        <v>0</v>
      </c>
      <c r="G511" s="624"/>
      <c r="H511" s="85"/>
      <c r="I511" s="624"/>
      <c r="J511" s="85"/>
      <c r="K511" s="624"/>
      <c r="L511" s="85"/>
      <c r="M511" s="624"/>
      <c r="N511" s="85"/>
      <c r="O511" s="624"/>
      <c r="P511" s="85"/>
      <c r="Q511" s="626">
        <f t="shared" si="16"/>
        <v>0</v>
      </c>
      <c r="R511" s="85"/>
      <c r="S511" s="624"/>
      <c r="T511" s="260"/>
      <c r="U511" s="624"/>
      <c r="V511" s="85"/>
      <c r="W511" s="624"/>
      <c r="X511" s="81"/>
      <c r="Y511" s="80"/>
      <c r="Z511" s="737">
        <f ca="1">MAX(0%,IF(Q511&lt;&gt;0,MIN((S511-Q511)/Q511/'Underwriting Risk'!$E$27,'Premium and Reserve Risk'!$Z$446),'Premium and Reserve Risk'!$Z$446))</f>
        <v>0.11200000000000002</v>
      </c>
      <c r="AA511" s="80"/>
      <c r="AB511" s="80"/>
      <c r="AC511" s="737">
        <f ca="1">MAX(0%,IF(U511&lt;&gt;0,MIN((W511-U511)/U511/'Underwriting Risk'!$E$27,'Premium and Reserve Risk'!$AC$446),'Premium and Reserve Risk'!$AC$446))</f>
        <v>0.11</v>
      </c>
      <c r="AD511" s="81"/>
      <c r="AE511" s="97"/>
      <c r="AF511" s="97"/>
      <c r="AG511" s="97"/>
      <c r="AH511" s="97"/>
    </row>
    <row r="512" spans="1:34" ht="13.5" customHeight="1" x14ac:dyDescent="0.25">
      <c r="A512" s="97"/>
      <c r="B512" s="257">
        <v>65</v>
      </c>
      <c r="C512" s="652"/>
      <c r="D512" s="80"/>
      <c r="E512" s="80"/>
      <c r="F512" s="258">
        <f t="shared" ca="1" si="17"/>
        <v>0</v>
      </c>
      <c r="G512" s="624"/>
      <c r="H512" s="85"/>
      <c r="I512" s="624"/>
      <c r="J512" s="85"/>
      <c r="K512" s="624"/>
      <c r="L512" s="85"/>
      <c r="M512" s="624"/>
      <c r="N512" s="85"/>
      <c r="O512" s="624"/>
      <c r="P512" s="85"/>
      <c r="Q512" s="626">
        <f t="shared" si="16"/>
        <v>0</v>
      </c>
      <c r="R512" s="85"/>
      <c r="S512" s="624"/>
      <c r="T512" s="260"/>
      <c r="U512" s="624"/>
      <c r="V512" s="85"/>
      <c r="W512" s="624"/>
      <c r="X512" s="81"/>
      <c r="Y512" s="80"/>
      <c r="Z512" s="737">
        <f ca="1">MAX(0%,IF(Q512&lt;&gt;0,MIN((S512-Q512)/Q512/'Underwriting Risk'!$E$27,'Premium and Reserve Risk'!$Z$446),'Premium and Reserve Risk'!$Z$446))</f>
        <v>0.11200000000000002</v>
      </c>
      <c r="AA512" s="80"/>
      <c r="AB512" s="80"/>
      <c r="AC512" s="737">
        <f ca="1">MAX(0%,IF(U512&lt;&gt;0,MIN((W512-U512)/U512/'Underwriting Risk'!$E$27,'Premium and Reserve Risk'!$AC$446),'Premium and Reserve Risk'!$AC$446))</f>
        <v>0.11</v>
      </c>
      <c r="AD512" s="81"/>
      <c r="AE512" s="97"/>
      <c r="AF512" s="97"/>
      <c r="AG512" s="97"/>
      <c r="AH512" s="97"/>
    </row>
    <row r="513" spans="1:34" ht="13.5" customHeight="1" x14ac:dyDescent="0.25">
      <c r="A513" s="97"/>
      <c r="B513" s="257">
        <v>66</v>
      </c>
      <c r="C513" s="652"/>
      <c r="D513" s="80"/>
      <c r="E513" s="80"/>
      <c r="F513" s="258">
        <f t="shared" ref="F513:F547" ca="1" si="18">IF(B513&lt;=OFFSET($Z$8,B$445-1,0),0,1)</f>
        <v>0</v>
      </c>
      <c r="G513" s="624"/>
      <c r="H513" s="85"/>
      <c r="I513" s="624"/>
      <c r="J513" s="85"/>
      <c r="K513" s="624"/>
      <c r="L513" s="85"/>
      <c r="M513" s="624"/>
      <c r="N513" s="85"/>
      <c r="O513" s="624"/>
      <c r="P513" s="85"/>
      <c r="Q513" s="626">
        <f t="shared" si="16"/>
        <v>0</v>
      </c>
      <c r="R513" s="85"/>
      <c r="S513" s="624"/>
      <c r="T513" s="260"/>
      <c r="U513" s="624"/>
      <c r="V513" s="85"/>
      <c r="W513" s="624"/>
      <c r="X513" s="81"/>
      <c r="Y513" s="80"/>
      <c r="Z513" s="737">
        <f ca="1">MAX(0%,IF(Q513&lt;&gt;0,MIN((S513-Q513)/Q513/'Underwriting Risk'!$E$27,'Premium and Reserve Risk'!$Z$446),'Premium and Reserve Risk'!$Z$446))</f>
        <v>0.11200000000000002</v>
      </c>
      <c r="AA513" s="80"/>
      <c r="AB513" s="80"/>
      <c r="AC513" s="737">
        <f ca="1">MAX(0%,IF(U513&lt;&gt;0,MIN((W513-U513)/U513/'Underwriting Risk'!$E$27,'Premium and Reserve Risk'!$AC$446),'Premium and Reserve Risk'!$AC$446))</f>
        <v>0.11</v>
      </c>
      <c r="AD513" s="81"/>
      <c r="AE513" s="97"/>
      <c r="AF513" s="97"/>
      <c r="AG513" s="97"/>
      <c r="AH513" s="97"/>
    </row>
    <row r="514" spans="1:34" ht="13.5" customHeight="1" x14ac:dyDescent="0.25">
      <c r="A514" s="97"/>
      <c r="B514" s="257">
        <v>67</v>
      </c>
      <c r="C514" s="652"/>
      <c r="D514" s="80"/>
      <c r="E514" s="80"/>
      <c r="F514" s="258">
        <f t="shared" ca="1" si="18"/>
        <v>0</v>
      </c>
      <c r="G514" s="624"/>
      <c r="H514" s="85"/>
      <c r="I514" s="624"/>
      <c r="J514" s="85"/>
      <c r="K514" s="624"/>
      <c r="L514" s="85"/>
      <c r="M514" s="624"/>
      <c r="N514" s="85"/>
      <c r="O514" s="624"/>
      <c r="P514" s="85"/>
      <c r="Q514" s="626">
        <f t="shared" si="16"/>
        <v>0</v>
      </c>
      <c r="R514" s="85"/>
      <c r="S514" s="624"/>
      <c r="T514" s="260"/>
      <c r="U514" s="624"/>
      <c r="V514" s="85"/>
      <c r="W514" s="624"/>
      <c r="X514" s="81"/>
      <c r="Y514" s="80"/>
      <c r="Z514" s="737">
        <f ca="1">MAX(0%,IF(Q514&lt;&gt;0,MIN((S514-Q514)/Q514/'Underwriting Risk'!$E$27,'Premium and Reserve Risk'!$Z$446),'Premium and Reserve Risk'!$Z$446))</f>
        <v>0.11200000000000002</v>
      </c>
      <c r="AA514" s="80"/>
      <c r="AB514" s="80"/>
      <c r="AC514" s="737">
        <f ca="1">MAX(0%,IF(U514&lt;&gt;0,MIN((W514-U514)/U514/'Underwriting Risk'!$E$27,'Premium and Reserve Risk'!$AC$446),'Premium and Reserve Risk'!$AC$446))</f>
        <v>0.11</v>
      </c>
      <c r="AD514" s="81"/>
      <c r="AE514" s="97"/>
      <c r="AF514" s="97"/>
      <c r="AG514" s="97"/>
      <c r="AH514" s="97"/>
    </row>
    <row r="515" spans="1:34" ht="13.5" customHeight="1" x14ac:dyDescent="0.25">
      <c r="A515" s="97"/>
      <c r="B515" s="257">
        <v>68</v>
      </c>
      <c r="C515" s="652"/>
      <c r="D515" s="80"/>
      <c r="E515" s="80"/>
      <c r="F515" s="258">
        <f t="shared" ca="1" si="18"/>
        <v>0</v>
      </c>
      <c r="G515" s="624"/>
      <c r="H515" s="85"/>
      <c r="I515" s="624"/>
      <c r="J515" s="85"/>
      <c r="K515" s="624"/>
      <c r="L515" s="85"/>
      <c r="M515" s="624"/>
      <c r="N515" s="85"/>
      <c r="O515" s="624"/>
      <c r="P515" s="85"/>
      <c r="Q515" s="626">
        <f t="shared" si="16"/>
        <v>0</v>
      </c>
      <c r="R515" s="85"/>
      <c r="S515" s="624"/>
      <c r="T515" s="260"/>
      <c r="U515" s="624"/>
      <c r="V515" s="85"/>
      <c r="W515" s="624"/>
      <c r="X515" s="81"/>
      <c r="Y515" s="80"/>
      <c r="Z515" s="737">
        <f ca="1">MAX(0%,IF(Q515&lt;&gt;0,MIN((S515-Q515)/Q515/'Underwriting Risk'!$E$27,'Premium and Reserve Risk'!$Z$446),'Premium and Reserve Risk'!$Z$446))</f>
        <v>0.11200000000000002</v>
      </c>
      <c r="AA515" s="80"/>
      <c r="AB515" s="80"/>
      <c r="AC515" s="737">
        <f ca="1">MAX(0%,IF(U515&lt;&gt;0,MIN((W515-U515)/U515/'Underwriting Risk'!$E$27,'Premium and Reserve Risk'!$AC$446),'Premium and Reserve Risk'!$AC$446))</f>
        <v>0.11</v>
      </c>
      <c r="AD515" s="81"/>
      <c r="AE515" s="97"/>
      <c r="AF515" s="97"/>
      <c r="AG515" s="97"/>
      <c r="AH515" s="97"/>
    </row>
    <row r="516" spans="1:34" ht="13.5" customHeight="1" x14ac:dyDescent="0.25">
      <c r="A516" s="97"/>
      <c r="B516" s="257">
        <v>69</v>
      </c>
      <c r="C516" s="652"/>
      <c r="D516" s="80"/>
      <c r="E516" s="80"/>
      <c r="F516" s="258">
        <f t="shared" ca="1" si="18"/>
        <v>0</v>
      </c>
      <c r="G516" s="624"/>
      <c r="H516" s="85"/>
      <c r="I516" s="624"/>
      <c r="J516" s="85"/>
      <c r="K516" s="624"/>
      <c r="L516" s="85"/>
      <c r="M516" s="624"/>
      <c r="N516" s="85"/>
      <c r="O516" s="624"/>
      <c r="P516" s="85"/>
      <c r="Q516" s="626">
        <f t="shared" si="16"/>
        <v>0</v>
      </c>
      <c r="R516" s="85"/>
      <c r="S516" s="624"/>
      <c r="T516" s="260"/>
      <c r="U516" s="624"/>
      <c r="V516" s="85"/>
      <c r="W516" s="624"/>
      <c r="X516" s="81"/>
      <c r="Y516" s="80"/>
      <c r="Z516" s="737">
        <f ca="1">MAX(0%,IF(Q516&lt;&gt;0,MIN((S516-Q516)/Q516/'Underwriting Risk'!$E$27,'Premium and Reserve Risk'!$Z$446),'Premium and Reserve Risk'!$Z$446))</f>
        <v>0.11200000000000002</v>
      </c>
      <c r="AA516" s="80"/>
      <c r="AB516" s="80"/>
      <c r="AC516" s="737">
        <f ca="1">MAX(0%,IF(U516&lt;&gt;0,MIN((W516-U516)/U516/'Underwriting Risk'!$E$27,'Premium and Reserve Risk'!$AC$446),'Premium and Reserve Risk'!$AC$446))</f>
        <v>0.11</v>
      </c>
      <c r="AD516" s="81"/>
      <c r="AE516" s="97"/>
      <c r="AF516" s="97"/>
      <c r="AG516" s="97"/>
      <c r="AH516" s="97"/>
    </row>
    <row r="517" spans="1:34" ht="13.5" customHeight="1" x14ac:dyDescent="0.25">
      <c r="A517" s="97"/>
      <c r="B517" s="257">
        <v>70</v>
      </c>
      <c r="C517" s="652"/>
      <c r="D517" s="80"/>
      <c r="E517" s="80"/>
      <c r="F517" s="258">
        <f t="shared" ca="1" si="18"/>
        <v>0</v>
      </c>
      <c r="G517" s="624"/>
      <c r="H517" s="85"/>
      <c r="I517" s="624"/>
      <c r="J517" s="85"/>
      <c r="K517" s="624"/>
      <c r="L517" s="85"/>
      <c r="M517" s="624"/>
      <c r="N517" s="85"/>
      <c r="O517" s="624"/>
      <c r="P517" s="85"/>
      <c r="Q517" s="626">
        <f t="shared" si="16"/>
        <v>0</v>
      </c>
      <c r="R517" s="85"/>
      <c r="S517" s="624"/>
      <c r="T517" s="260"/>
      <c r="U517" s="624"/>
      <c r="V517" s="85"/>
      <c r="W517" s="624"/>
      <c r="X517" s="81"/>
      <c r="Y517" s="80"/>
      <c r="Z517" s="737">
        <f ca="1">MAX(0%,IF(Q517&lt;&gt;0,MIN((S517-Q517)/Q517/'Underwriting Risk'!$E$27,'Premium and Reserve Risk'!$Z$446),'Premium and Reserve Risk'!$Z$446))</f>
        <v>0.11200000000000002</v>
      </c>
      <c r="AA517" s="80"/>
      <c r="AB517" s="80"/>
      <c r="AC517" s="737">
        <f ca="1">MAX(0%,IF(U517&lt;&gt;0,MIN((W517-U517)/U517/'Underwriting Risk'!$E$27,'Premium and Reserve Risk'!$AC$446),'Premium and Reserve Risk'!$AC$446))</f>
        <v>0.11</v>
      </c>
      <c r="AD517" s="81"/>
      <c r="AE517" s="97"/>
      <c r="AF517" s="97"/>
      <c r="AG517" s="97"/>
      <c r="AH517" s="97"/>
    </row>
    <row r="518" spans="1:34" ht="13.5" customHeight="1" x14ac:dyDescent="0.25">
      <c r="A518" s="97"/>
      <c r="B518" s="257">
        <v>71</v>
      </c>
      <c r="C518" s="652"/>
      <c r="D518" s="80"/>
      <c r="E518" s="80"/>
      <c r="F518" s="258">
        <f t="shared" ca="1" si="18"/>
        <v>0</v>
      </c>
      <c r="G518" s="624"/>
      <c r="H518" s="85"/>
      <c r="I518" s="624"/>
      <c r="J518" s="85"/>
      <c r="K518" s="624"/>
      <c r="L518" s="85"/>
      <c r="M518" s="624"/>
      <c r="N518" s="85"/>
      <c r="O518" s="624"/>
      <c r="P518" s="85"/>
      <c r="Q518" s="626">
        <f t="shared" si="16"/>
        <v>0</v>
      </c>
      <c r="R518" s="85"/>
      <c r="S518" s="624"/>
      <c r="T518" s="260"/>
      <c r="U518" s="624"/>
      <c r="V518" s="85"/>
      <c r="W518" s="624"/>
      <c r="X518" s="81"/>
      <c r="Y518" s="80"/>
      <c r="Z518" s="737">
        <f ca="1">MAX(0%,IF(Q518&lt;&gt;0,MIN((S518-Q518)/Q518/'Underwriting Risk'!$E$27,'Premium and Reserve Risk'!$Z$446),'Premium and Reserve Risk'!$Z$446))</f>
        <v>0.11200000000000002</v>
      </c>
      <c r="AA518" s="80"/>
      <c r="AB518" s="80"/>
      <c r="AC518" s="737">
        <f ca="1">MAX(0%,IF(U518&lt;&gt;0,MIN((W518-U518)/U518/'Underwriting Risk'!$E$27,'Premium and Reserve Risk'!$AC$446),'Premium and Reserve Risk'!$AC$446))</f>
        <v>0.11</v>
      </c>
      <c r="AD518" s="81"/>
      <c r="AE518" s="97"/>
      <c r="AF518" s="97"/>
      <c r="AG518" s="97"/>
      <c r="AH518" s="97"/>
    </row>
    <row r="519" spans="1:34" ht="13.5" customHeight="1" x14ac:dyDescent="0.25">
      <c r="A519" s="97"/>
      <c r="B519" s="257">
        <v>72</v>
      </c>
      <c r="C519" s="652"/>
      <c r="D519" s="80"/>
      <c r="E519" s="80"/>
      <c r="F519" s="258">
        <f t="shared" ca="1" si="18"/>
        <v>0</v>
      </c>
      <c r="G519" s="624"/>
      <c r="H519" s="85"/>
      <c r="I519" s="624"/>
      <c r="J519" s="85"/>
      <c r="K519" s="624"/>
      <c r="L519" s="85"/>
      <c r="M519" s="624"/>
      <c r="N519" s="85"/>
      <c r="O519" s="624"/>
      <c r="P519" s="85"/>
      <c r="Q519" s="626">
        <f t="shared" si="16"/>
        <v>0</v>
      </c>
      <c r="R519" s="85"/>
      <c r="S519" s="624"/>
      <c r="T519" s="260"/>
      <c r="U519" s="624"/>
      <c r="V519" s="85"/>
      <c r="W519" s="624"/>
      <c r="X519" s="81"/>
      <c r="Y519" s="80"/>
      <c r="Z519" s="737">
        <f ca="1">MAX(0%,IF(Q519&lt;&gt;0,MIN((S519-Q519)/Q519/'Underwriting Risk'!$E$27,'Premium and Reserve Risk'!$Z$446),'Premium and Reserve Risk'!$Z$446))</f>
        <v>0.11200000000000002</v>
      </c>
      <c r="AA519" s="80"/>
      <c r="AB519" s="80"/>
      <c r="AC519" s="737">
        <f ca="1">MAX(0%,IF(U519&lt;&gt;0,MIN((W519-U519)/U519/'Underwriting Risk'!$E$27,'Premium and Reserve Risk'!$AC$446),'Premium and Reserve Risk'!$AC$446))</f>
        <v>0.11</v>
      </c>
      <c r="AD519" s="81"/>
      <c r="AE519" s="97"/>
      <c r="AF519" s="97"/>
      <c r="AG519" s="97"/>
      <c r="AH519" s="97"/>
    </row>
    <row r="520" spans="1:34" ht="13.5" customHeight="1" x14ac:dyDescent="0.25">
      <c r="A520" s="97"/>
      <c r="B520" s="257">
        <v>73</v>
      </c>
      <c r="C520" s="652"/>
      <c r="D520" s="80"/>
      <c r="E520" s="80"/>
      <c r="F520" s="258">
        <f t="shared" ca="1" si="18"/>
        <v>0</v>
      </c>
      <c r="G520" s="624"/>
      <c r="H520" s="85"/>
      <c r="I520" s="624"/>
      <c r="J520" s="85"/>
      <c r="K520" s="624"/>
      <c r="L520" s="85"/>
      <c r="M520" s="624"/>
      <c r="N520" s="85"/>
      <c r="O520" s="624"/>
      <c r="P520" s="85"/>
      <c r="Q520" s="626">
        <f t="shared" si="16"/>
        <v>0</v>
      </c>
      <c r="R520" s="85"/>
      <c r="S520" s="624"/>
      <c r="T520" s="260"/>
      <c r="U520" s="624"/>
      <c r="V520" s="85"/>
      <c r="W520" s="624"/>
      <c r="X520" s="81"/>
      <c r="Y520" s="80"/>
      <c r="Z520" s="737">
        <f ca="1">MAX(0%,IF(Q520&lt;&gt;0,MIN((S520-Q520)/Q520/'Underwriting Risk'!$E$27,'Premium and Reserve Risk'!$Z$446),'Premium and Reserve Risk'!$Z$446))</f>
        <v>0.11200000000000002</v>
      </c>
      <c r="AA520" s="80"/>
      <c r="AB520" s="80"/>
      <c r="AC520" s="737">
        <f ca="1">MAX(0%,IF(U520&lt;&gt;0,MIN((W520-U520)/U520/'Underwriting Risk'!$E$27,'Premium and Reserve Risk'!$AC$446),'Premium and Reserve Risk'!$AC$446))</f>
        <v>0.11</v>
      </c>
      <c r="AD520" s="81"/>
      <c r="AE520" s="97"/>
      <c r="AF520" s="97"/>
      <c r="AG520" s="97"/>
      <c r="AH520" s="97"/>
    </row>
    <row r="521" spans="1:34" ht="13.5" customHeight="1" x14ac:dyDescent="0.25">
      <c r="A521" s="97"/>
      <c r="B521" s="257">
        <v>74</v>
      </c>
      <c r="C521" s="652"/>
      <c r="D521" s="80"/>
      <c r="E521" s="80"/>
      <c r="F521" s="258">
        <f t="shared" ca="1" si="18"/>
        <v>0</v>
      </c>
      <c r="G521" s="624"/>
      <c r="H521" s="85"/>
      <c r="I521" s="624"/>
      <c r="J521" s="85"/>
      <c r="K521" s="624"/>
      <c r="L521" s="85"/>
      <c r="M521" s="624"/>
      <c r="N521" s="85"/>
      <c r="O521" s="624"/>
      <c r="P521" s="85"/>
      <c r="Q521" s="626">
        <f t="shared" si="16"/>
        <v>0</v>
      </c>
      <c r="R521" s="85"/>
      <c r="S521" s="624"/>
      <c r="T521" s="260"/>
      <c r="U521" s="624"/>
      <c r="V521" s="85"/>
      <c r="W521" s="624"/>
      <c r="X521" s="81"/>
      <c r="Y521" s="80"/>
      <c r="Z521" s="737">
        <f ca="1">MAX(0%,IF(Q521&lt;&gt;0,MIN((S521-Q521)/Q521/'Underwriting Risk'!$E$27,'Premium and Reserve Risk'!$Z$446),'Premium and Reserve Risk'!$Z$446))</f>
        <v>0.11200000000000002</v>
      </c>
      <c r="AA521" s="80"/>
      <c r="AB521" s="80"/>
      <c r="AC521" s="737">
        <f ca="1">MAX(0%,IF(U521&lt;&gt;0,MIN((W521-U521)/U521/'Underwriting Risk'!$E$27,'Premium and Reserve Risk'!$AC$446),'Premium and Reserve Risk'!$AC$446))</f>
        <v>0.11</v>
      </c>
      <c r="AD521" s="81"/>
      <c r="AE521" s="97"/>
      <c r="AF521" s="97"/>
      <c r="AG521" s="97"/>
      <c r="AH521" s="97"/>
    </row>
    <row r="522" spans="1:34" ht="13.5" customHeight="1" x14ac:dyDescent="0.25">
      <c r="A522" s="97"/>
      <c r="B522" s="257">
        <v>75</v>
      </c>
      <c r="C522" s="652"/>
      <c r="D522" s="80"/>
      <c r="E522" s="80"/>
      <c r="F522" s="258">
        <f t="shared" ca="1" si="18"/>
        <v>0</v>
      </c>
      <c r="G522" s="624"/>
      <c r="H522" s="85"/>
      <c r="I522" s="624"/>
      <c r="J522" s="85"/>
      <c r="K522" s="624"/>
      <c r="L522" s="85"/>
      <c r="M522" s="624"/>
      <c r="N522" s="85"/>
      <c r="O522" s="624"/>
      <c r="P522" s="85"/>
      <c r="Q522" s="626">
        <f t="shared" si="16"/>
        <v>0</v>
      </c>
      <c r="R522" s="85"/>
      <c r="S522" s="624"/>
      <c r="T522" s="260"/>
      <c r="U522" s="624"/>
      <c r="V522" s="85"/>
      <c r="W522" s="624"/>
      <c r="X522" s="81"/>
      <c r="Y522" s="80"/>
      <c r="Z522" s="737">
        <f ca="1">MAX(0%,IF(Q522&lt;&gt;0,MIN((S522-Q522)/Q522/'Underwriting Risk'!$E$27,'Premium and Reserve Risk'!$Z$446),'Premium and Reserve Risk'!$Z$446))</f>
        <v>0.11200000000000002</v>
      </c>
      <c r="AA522" s="80"/>
      <c r="AB522" s="80"/>
      <c r="AC522" s="737">
        <f ca="1">MAX(0%,IF(U522&lt;&gt;0,MIN((W522-U522)/U522/'Underwriting Risk'!$E$27,'Premium and Reserve Risk'!$AC$446),'Premium and Reserve Risk'!$AC$446))</f>
        <v>0.11</v>
      </c>
      <c r="AD522" s="81"/>
      <c r="AE522" s="97"/>
      <c r="AF522" s="97"/>
      <c r="AG522" s="97"/>
      <c r="AH522" s="97"/>
    </row>
    <row r="523" spans="1:34" ht="13.5" customHeight="1" x14ac:dyDescent="0.25">
      <c r="A523" s="97"/>
      <c r="B523" s="257">
        <v>76</v>
      </c>
      <c r="C523" s="652"/>
      <c r="D523" s="80"/>
      <c r="E523" s="80"/>
      <c r="F523" s="258">
        <f t="shared" ca="1" si="18"/>
        <v>0</v>
      </c>
      <c r="G523" s="624"/>
      <c r="H523" s="85"/>
      <c r="I523" s="624"/>
      <c r="J523" s="85"/>
      <c r="K523" s="624"/>
      <c r="L523" s="85"/>
      <c r="M523" s="624"/>
      <c r="N523" s="85"/>
      <c r="O523" s="624"/>
      <c r="P523" s="85"/>
      <c r="Q523" s="626">
        <f t="shared" si="16"/>
        <v>0</v>
      </c>
      <c r="R523" s="85"/>
      <c r="S523" s="624"/>
      <c r="T523" s="260"/>
      <c r="U523" s="624"/>
      <c r="V523" s="85"/>
      <c r="W523" s="624"/>
      <c r="X523" s="81"/>
      <c r="Y523" s="80"/>
      <c r="Z523" s="737">
        <f ca="1">MAX(0%,IF(Q523&lt;&gt;0,MIN((S523-Q523)/Q523/'Underwriting Risk'!$E$27,'Premium and Reserve Risk'!$Z$446),'Premium and Reserve Risk'!$Z$446))</f>
        <v>0.11200000000000002</v>
      </c>
      <c r="AA523" s="80"/>
      <c r="AB523" s="80"/>
      <c r="AC523" s="737">
        <f ca="1">MAX(0%,IF(U523&lt;&gt;0,MIN((W523-U523)/U523/'Underwriting Risk'!$E$27,'Premium and Reserve Risk'!$AC$446),'Premium and Reserve Risk'!$AC$446))</f>
        <v>0.11</v>
      </c>
      <c r="AD523" s="81"/>
      <c r="AE523" s="97"/>
      <c r="AF523" s="97"/>
      <c r="AG523" s="97"/>
      <c r="AH523" s="97"/>
    </row>
    <row r="524" spans="1:34" ht="13.5" customHeight="1" x14ac:dyDescent="0.25">
      <c r="A524" s="97"/>
      <c r="B524" s="257">
        <v>77</v>
      </c>
      <c r="C524" s="652"/>
      <c r="D524" s="80"/>
      <c r="E524" s="80"/>
      <c r="F524" s="258">
        <f t="shared" ca="1" si="18"/>
        <v>0</v>
      </c>
      <c r="G524" s="624"/>
      <c r="H524" s="85"/>
      <c r="I524" s="624"/>
      <c r="J524" s="85"/>
      <c r="K524" s="624"/>
      <c r="L524" s="85"/>
      <c r="M524" s="624"/>
      <c r="N524" s="85"/>
      <c r="O524" s="624"/>
      <c r="P524" s="85"/>
      <c r="Q524" s="626">
        <f t="shared" si="16"/>
        <v>0</v>
      </c>
      <c r="R524" s="85"/>
      <c r="S524" s="624"/>
      <c r="T524" s="260"/>
      <c r="U524" s="624"/>
      <c r="V524" s="85"/>
      <c r="W524" s="624"/>
      <c r="X524" s="81"/>
      <c r="Y524" s="80"/>
      <c r="Z524" s="737">
        <f ca="1">MAX(0%,IF(Q524&lt;&gt;0,MIN((S524-Q524)/Q524/'Underwriting Risk'!$E$27,'Premium and Reserve Risk'!$Z$446),'Premium and Reserve Risk'!$Z$446))</f>
        <v>0.11200000000000002</v>
      </c>
      <c r="AA524" s="80"/>
      <c r="AB524" s="80"/>
      <c r="AC524" s="737">
        <f ca="1">MAX(0%,IF(U524&lt;&gt;0,MIN((W524-U524)/U524/'Underwriting Risk'!$E$27,'Premium and Reserve Risk'!$AC$446),'Premium and Reserve Risk'!$AC$446))</f>
        <v>0.11</v>
      </c>
      <c r="AD524" s="81"/>
      <c r="AE524" s="97"/>
      <c r="AF524" s="97"/>
      <c r="AG524" s="97"/>
      <c r="AH524" s="97"/>
    </row>
    <row r="525" spans="1:34" ht="13.5" customHeight="1" x14ac:dyDescent="0.25">
      <c r="A525" s="97"/>
      <c r="B525" s="257">
        <v>78</v>
      </c>
      <c r="C525" s="652"/>
      <c r="D525" s="80"/>
      <c r="E525" s="80"/>
      <c r="F525" s="258">
        <f t="shared" ca="1" si="18"/>
        <v>0</v>
      </c>
      <c r="G525" s="624"/>
      <c r="H525" s="85"/>
      <c r="I525" s="624"/>
      <c r="J525" s="85"/>
      <c r="K525" s="624"/>
      <c r="L525" s="85"/>
      <c r="M525" s="624"/>
      <c r="N525" s="85"/>
      <c r="O525" s="624"/>
      <c r="P525" s="85"/>
      <c r="Q525" s="626">
        <f t="shared" si="16"/>
        <v>0</v>
      </c>
      <c r="R525" s="85"/>
      <c r="S525" s="624"/>
      <c r="T525" s="260"/>
      <c r="U525" s="624"/>
      <c r="V525" s="85"/>
      <c r="W525" s="624"/>
      <c r="X525" s="81"/>
      <c r="Y525" s="80"/>
      <c r="Z525" s="737">
        <f ca="1">MAX(0%,IF(Q525&lt;&gt;0,MIN((S525-Q525)/Q525/'Underwriting Risk'!$E$27,'Premium and Reserve Risk'!$Z$446),'Premium and Reserve Risk'!$Z$446))</f>
        <v>0.11200000000000002</v>
      </c>
      <c r="AA525" s="80"/>
      <c r="AB525" s="80"/>
      <c r="AC525" s="737">
        <f ca="1">MAX(0%,IF(U525&lt;&gt;0,MIN((W525-U525)/U525/'Underwriting Risk'!$E$27,'Premium and Reserve Risk'!$AC$446),'Premium and Reserve Risk'!$AC$446))</f>
        <v>0.11</v>
      </c>
      <c r="AD525" s="81"/>
      <c r="AE525" s="97"/>
      <c r="AF525" s="97"/>
      <c r="AG525" s="97"/>
      <c r="AH525" s="97"/>
    </row>
    <row r="526" spans="1:34" ht="13.5" customHeight="1" x14ac:dyDescent="0.25">
      <c r="A526" s="97"/>
      <c r="B526" s="257">
        <v>79</v>
      </c>
      <c r="C526" s="652"/>
      <c r="D526" s="80"/>
      <c r="E526" s="80"/>
      <c r="F526" s="258">
        <f t="shared" ca="1" si="18"/>
        <v>0</v>
      </c>
      <c r="G526" s="624"/>
      <c r="H526" s="85"/>
      <c r="I526" s="624"/>
      <c r="J526" s="85"/>
      <c r="K526" s="624"/>
      <c r="L526" s="85"/>
      <c r="M526" s="624"/>
      <c r="N526" s="85"/>
      <c r="O526" s="624"/>
      <c r="P526" s="85"/>
      <c r="Q526" s="626">
        <f t="shared" si="16"/>
        <v>0</v>
      </c>
      <c r="R526" s="85"/>
      <c r="S526" s="624"/>
      <c r="T526" s="260"/>
      <c r="U526" s="624"/>
      <c r="V526" s="85"/>
      <c r="W526" s="624"/>
      <c r="X526" s="81"/>
      <c r="Y526" s="80"/>
      <c r="Z526" s="737">
        <f ca="1">MAX(0%,IF(Q526&lt;&gt;0,MIN((S526-Q526)/Q526/'Underwriting Risk'!$E$27,'Premium and Reserve Risk'!$Z$446),'Premium and Reserve Risk'!$Z$446))</f>
        <v>0.11200000000000002</v>
      </c>
      <c r="AA526" s="80"/>
      <c r="AB526" s="80"/>
      <c r="AC526" s="737">
        <f ca="1">MAX(0%,IF(U526&lt;&gt;0,MIN((W526-U526)/U526/'Underwriting Risk'!$E$27,'Premium and Reserve Risk'!$AC$446),'Premium and Reserve Risk'!$AC$446))</f>
        <v>0.11</v>
      </c>
      <c r="AD526" s="81"/>
      <c r="AE526" s="97"/>
      <c r="AF526" s="97"/>
      <c r="AG526" s="97"/>
      <c r="AH526" s="97"/>
    </row>
    <row r="527" spans="1:34" ht="13.5" customHeight="1" x14ac:dyDescent="0.25">
      <c r="A527" s="97"/>
      <c r="B527" s="257">
        <v>80</v>
      </c>
      <c r="C527" s="652"/>
      <c r="D527" s="80"/>
      <c r="E527" s="80"/>
      <c r="F527" s="258">
        <f t="shared" ca="1" si="18"/>
        <v>0</v>
      </c>
      <c r="G527" s="624"/>
      <c r="H527" s="85"/>
      <c r="I527" s="624"/>
      <c r="J527" s="85"/>
      <c r="K527" s="624"/>
      <c r="L527" s="85"/>
      <c r="M527" s="624"/>
      <c r="N527" s="85"/>
      <c r="O527" s="624"/>
      <c r="P527" s="85"/>
      <c r="Q527" s="626">
        <f t="shared" si="16"/>
        <v>0</v>
      </c>
      <c r="R527" s="85"/>
      <c r="S527" s="624"/>
      <c r="T527" s="260"/>
      <c r="U527" s="624"/>
      <c r="V527" s="85"/>
      <c r="W527" s="624"/>
      <c r="X527" s="81"/>
      <c r="Y527" s="80"/>
      <c r="Z527" s="737">
        <f ca="1">MAX(0%,IF(Q527&lt;&gt;0,MIN((S527-Q527)/Q527/'Underwriting Risk'!$E$27,'Premium and Reserve Risk'!$Z$446),'Premium and Reserve Risk'!$Z$446))</f>
        <v>0.11200000000000002</v>
      </c>
      <c r="AA527" s="80"/>
      <c r="AB527" s="80"/>
      <c r="AC527" s="737">
        <f ca="1">MAX(0%,IF(U527&lt;&gt;0,MIN((W527-U527)/U527/'Underwriting Risk'!$E$27,'Premium and Reserve Risk'!$AC$446),'Premium and Reserve Risk'!$AC$446))</f>
        <v>0.11</v>
      </c>
      <c r="AD527" s="81"/>
      <c r="AE527" s="97"/>
      <c r="AF527" s="97"/>
      <c r="AG527" s="97"/>
      <c r="AH527" s="97"/>
    </row>
    <row r="528" spans="1:34" ht="13.5" customHeight="1" x14ac:dyDescent="0.25">
      <c r="A528" s="97"/>
      <c r="B528" s="257">
        <v>81</v>
      </c>
      <c r="C528" s="652"/>
      <c r="D528" s="80"/>
      <c r="E528" s="80"/>
      <c r="F528" s="258">
        <f t="shared" ca="1" si="18"/>
        <v>0</v>
      </c>
      <c r="G528" s="624"/>
      <c r="H528" s="85"/>
      <c r="I528" s="624"/>
      <c r="J528" s="85"/>
      <c r="K528" s="624"/>
      <c r="L528" s="85"/>
      <c r="M528" s="624"/>
      <c r="N528" s="85"/>
      <c r="O528" s="624"/>
      <c r="P528" s="85"/>
      <c r="Q528" s="626">
        <f t="shared" si="16"/>
        <v>0</v>
      </c>
      <c r="R528" s="85"/>
      <c r="S528" s="624"/>
      <c r="T528" s="260"/>
      <c r="U528" s="624"/>
      <c r="V528" s="85"/>
      <c r="W528" s="624"/>
      <c r="X528" s="81"/>
      <c r="Y528" s="80"/>
      <c r="Z528" s="737">
        <f ca="1">MAX(0%,IF(Q528&lt;&gt;0,MIN((S528-Q528)/Q528/'Underwriting Risk'!$E$27,'Premium and Reserve Risk'!$Z$446),'Premium and Reserve Risk'!$Z$446))</f>
        <v>0.11200000000000002</v>
      </c>
      <c r="AA528" s="80"/>
      <c r="AB528" s="80"/>
      <c r="AC528" s="737">
        <f ca="1">MAX(0%,IF(U528&lt;&gt;0,MIN((W528-U528)/U528/'Underwriting Risk'!$E$27,'Premium and Reserve Risk'!$AC$446),'Premium and Reserve Risk'!$AC$446))</f>
        <v>0.11</v>
      </c>
      <c r="AD528" s="81"/>
      <c r="AE528" s="97"/>
      <c r="AF528" s="97"/>
      <c r="AG528" s="97"/>
      <c r="AH528" s="97"/>
    </row>
    <row r="529" spans="1:34" ht="13.5" customHeight="1" x14ac:dyDescent="0.25">
      <c r="A529" s="97"/>
      <c r="B529" s="257">
        <v>82</v>
      </c>
      <c r="C529" s="652"/>
      <c r="D529" s="80"/>
      <c r="E529" s="80"/>
      <c r="F529" s="258">
        <f t="shared" ca="1" si="18"/>
        <v>0</v>
      </c>
      <c r="G529" s="624"/>
      <c r="H529" s="85"/>
      <c r="I529" s="624"/>
      <c r="J529" s="85"/>
      <c r="K529" s="624"/>
      <c r="L529" s="85"/>
      <c r="M529" s="624"/>
      <c r="N529" s="85"/>
      <c r="O529" s="624"/>
      <c r="P529" s="85"/>
      <c r="Q529" s="626">
        <f t="shared" si="16"/>
        <v>0</v>
      </c>
      <c r="R529" s="85"/>
      <c r="S529" s="624"/>
      <c r="T529" s="260"/>
      <c r="U529" s="624"/>
      <c r="V529" s="85"/>
      <c r="W529" s="624"/>
      <c r="X529" s="81"/>
      <c r="Y529" s="80"/>
      <c r="Z529" s="737">
        <f ca="1">MAX(0%,IF(Q529&lt;&gt;0,MIN((S529-Q529)/Q529/'Underwriting Risk'!$E$27,'Premium and Reserve Risk'!$Z$446),'Premium and Reserve Risk'!$Z$446))</f>
        <v>0.11200000000000002</v>
      </c>
      <c r="AA529" s="80"/>
      <c r="AB529" s="80"/>
      <c r="AC529" s="737">
        <f ca="1">MAX(0%,IF(U529&lt;&gt;0,MIN((W529-U529)/U529/'Underwriting Risk'!$E$27,'Premium and Reserve Risk'!$AC$446),'Premium and Reserve Risk'!$AC$446))</f>
        <v>0.11</v>
      </c>
      <c r="AD529" s="81"/>
      <c r="AE529" s="97"/>
      <c r="AF529" s="97"/>
      <c r="AG529" s="97"/>
      <c r="AH529" s="97"/>
    </row>
    <row r="530" spans="1:34" ht="13.5" customHeight="1" x14ac:dyDescent="0.25">
      <c r="A530" s="97"/>
      <c r="B530" s="257">
        <v>83</v>
      </c>
      <c r="C530" s="652"/>
      <c r="D530" s="80"/>
      <c r="E530" s="80"/>
      <c r="F530" s="258">
        <f t="shared" ca="1" si="18"/>
        <v>0</v>
      </c>
      <c r="G530" s="624"/>
      <c r="H530" s="85"/>
      <c r="I530" s="624"/>
      <c r="J530" s="85"/>
      <c r="K530" s="624"/>
      <c r="L530" s="85"/>
      <c r="M530" s="624"/>
      <c r="N530" s="85"/>
      <c r="O530" s="624"/>
      <c r="P530" s="85"/>
      <c r="Q530" s="626">
        <f t="shared" si="16"/>
        <v>0</v>
      </c>
      <c r="R530" s="85"/>
      <c r="S530" s="624"/>
      <c r="T530" s="260"/>
      <c r="U530" s="624"/>
      <c r="V530" s="85"/>
      <c r="W530" s="624"/>
      <c r="X530" s="81"/>
      <c r="Y530" s="80"/>
      <c r="Z530" s="737">
        <f ca="1">MAX(0%,IF(Q530&lt;&gt;0,MIN((S530-Q530)/Q530/'Underwriting Risk'!$E$27,'Premium and Reserve Risk'!$Z$446),'Premium and Reserve Risk'!$Z$446))</f>
        <v>0.11200000000000002</v>
      </c>
      <c r="AA530" s="80"/>
      <c r="AB530" s="80"/>
      <c r="AC530" s="737">
        <f ca="1">MAX(0%,IF(U530&lt;&gt;0,MIN((W530-U530)/U530/'Underwriting Risk'!$E$27,'Premium and Reserve Risk'!$AC$446),'Premium and Reserve Risk'!$AC$446))</f>
        <v>0.11</v>
      </c>
      <c r="AD530" s="81"/>
      <c r="AE530" s="97"/>
      <c r="AF530" s="97"/>
      <c r="AG530" s="97"/>
      <c r="AH530" s="97"/>
    </row>
    <row r="531" spans="1:34" ht="13.5" customHeight="1" x14ac:dyDescent="0.25">
      <c r="A531" s="97"/>
      <c r="B531" s="257">
        <v>84</v>
      </c>
      <c r="C531" s="652"/>
      <c r="D531" s="80"/>
      <c r="E531" s="80"/>
      <c r="F531" s="258">
        <f t="shared" ca="1" si="18"/>
        <v>0</v>
      </c>
      <c r="G531" s="624"/>
      <c r="H531" s="85"/>
      <c r="I531" s="624"/>
      <c r="J531" s="85"/>
      <c r="K531" s="624"/>
      <c r="L531" s="85"/>
      <c r="M531" s="624"/>
      <c r="N531" s="85"/>
      <c r="O531" s="624"/>
      <c r="P531" s="85"/>
      <c r="Q531" s="626">
        <f t="shared" si="16"/>
        <v>0</v>
      </c>
      <c r="R531" s="85"/>
      <c r="S531" s="624"/>
      <c r="T531" s="260"/>
      <c r="U531" s="624"/>
      <c r="V531" s="85"/>
      <c r="W531" s="624"/>
      <c r="X531" s="81"/>
      <c r="Y531" s="80"/>
      <c r="Z531" s="737">
        <f ca="1">MAX(0%,IF(Q531&lt;&gt;0,MIN((S531-Q531)/Q531/'Underwriting Risk'!$E$27,'Premium and Reserve Risk'!$Z$446),'Premium and Reserve Risk'!$Z$446))</f>
        <v>0.11200000000000002</v>
      </c>
      <c r="AA531" s="80"/>
      <c r="AB531" s="80"/>
      <c r="AC531" s="737">
        <f ca="1">MAX(0%,IF(U531&lt;&gt;0,MIN((W531-U531)/U531/'Underwriting Risk'!$E$27,'Premium and Reserve Risk'!$AC$446),'Premium and Reserve Risk'!$AC$446))</f>
        <v>0.11</v>
      </c>
      <c r="AD531" s="81"/>
      <c r="AE531" s="97"/>
      <c r="AF531" s="97"/>
      <c r="AG531" s="97"/>
      <c r="AH531" s="97"/>
    </row>
    <row r="532" spans="1:34" ht="13.5" customHeight="1" x14ac:dyDescent="0.25">
      <c r="A532" s="97"/>
      <c r="B532" s="257">
        <v>85</v>
      </c>
      <c r="C532" s="652"/>
      <c r="D532" s="80"/>
      <c r="E532" s="80"/>
      <c r="F532" s="258">
        <f t="shared" ca="1" si="18"/>
        <v>0</v>
      </c>
      <c r="G532" s="624"/>
      <c r="H532" s="85"/>
      <c r="I532" s="624"/>
      <c r="J532" s="85"/>
      <c r="K532" s="624"/>
      <c r="L532" s="85"/>
      <c r="M532" s="624"/>
      <c r="N532" s="85"/>
      <c r="O532" s="624"/>
      <c r="P532" s="85"/>
      <c r="Q532" s="626">
        <f t="shared" si="16"/>
        <v>0</v>
      </c>
      <c r="R532" s="85"/>
      <c r="S532" s="624"/>
      <c r="T532" s="260"/>
      <c r="U532" s="624"/>
      <c r="V532" s="85"/>
      <c r="W532" s="624"/>
      <c r="X532" s="81"/>
      <c r="Y532" s="80"/>
      <c r="Z532" s="737">
        <f ca="1">MAX(0%,IF(Q532&lt;&gt;0,MIN((S532-Q532)/Q532/'Underwriting Risk'!$E$27,'Premium and Reserve Risk'!$Z$446),'Premium and Reserve Risk'!$Z$446))</f>
        <v>0.11200000000000002</v>
      </c>
      <c r="AA532" s="80"/>
      <c r="AB532" s="80"/>
      <c r="AC532" s="737">
        <f ca="1">MAX(0%,IF(U532&lt;&gt;0,MIN((W532-U532)/U532/'Underwriting Risk'!$E$27,'Premium and Reserve Risk'!$AC$446),'Premium and Reserve Risk'!$AC$446))</f>
        <v>0.11</v>
      </c>
      <c r="AD532" s="81"/>
      <c r="AE532" s="97"/>
      <c r="AF532" s="97"/>
      <c r="AG532" s="97"/>
      <c r="AH532" s="97"/>
    </row>
    <row r="533" spans="1:34" ht="13.5" customHeight="1" x14ac:dyDescent="0.25">
      <c r="A533" s="97"/>
      <c r="B533" s="257">
        <v>86</v>
      </c>
      <c r="C533" s="652"/>
      <c r="D533" s="80"/>
      <c r="E533" s="80"/>
      <c r="F533" s="258">
        <f t="shared" ca="1" si="18"/>
        <v>0</v>
      </c>
      <c r="G533" s="624"/>
      <c r="H533" s="85"/>
      <c r="I533" s="624"/>
      <c r="J533" s="85"/>
      <c r="K533" s="624"/>
      <c r="L533" s="85"/>
      <c r="M533" s="624"/>
      <c r="N533" s="85"/>
      <c r="O533" s="624"/>
      <c r="P533" s="85"/>
      <c r="Q533" s="626">
        <f t="shared" si="16"/>
        <v>0</v>
      </c>
      <c r="R533" s="85"/>
      <c r="S533" s="624"/>
      <c r="T533" s="260"/>
      <c r="U533" s="624"/>
      <c r="V533" s="85"/>
      <c r="W533" s="624"/>
      <c r="X533" s="81"/>
      <c r="Y533" s="80"/>
      <c r="Z533" s="737">
        <f ca="1">MAX(0%,IF(Q533&lt;&gt;0,MIN((S533-Q533)/Q533/'Underwriting Risk'!$E$27,'Premium and Reserve Risk'!$Z$446),'Premium and Reserve Risk'!$Z$446))</f>
        <v>0.11200000000000002</v>
      </c>
      <c r="AA533" s="80"/>
      <c r="AB533" s="80"/>
      <c r="AC533" s="737">
        <f ca="1">MAX(0%,IF(U533&lt;&gt;0,MIN((W533-U533)/U533/'Underwriting Risk'!$E$27,'Premium and Reserve Risk'!$AC$446),'Premium and Reserve Risk'!$AC$446))</f>
        <v>0.11</v>
      </c>
      <c r="AD533" s="81"/>
      <c r="AE533" s="97"/>
      <c r="AF533" s="97"/>
      <c r="AG533" s="97"/>
      <c r="AH533" s="97"/>
    </row>
    <row r="534" spans="1:34" ht="13.5" customHeight="1" x14ac:dyDescent="0.25">
      <c r="A534" s="97"/>
      <c r="B534" s="257">
        <v>87</v>
      </c>
      <c r="C534" s="652"/>
      <c r="D534" s="80"/>
      <c r="E534" s="80"/>
      <c r="F534" s="258">
        <f t="shared" ca="1" si="18"/>
        <v>0</v>
      </c>
      <c r="G534" s="624"/>
      <c r="H534" s="85"/>
      <c r="I534" s="624"/>
      <c r="J534" s="85"/>
      <c r="K534" s="624"/>
      <c r="L534" s="85"/>
      <c r="M534" s="624"/>
      <c r="N534" s="85"/>
      <c r="O534" s="624"/>
      <c r="P534" s="85"/>
      <c r="Q534" s="626">
        <f t="shared" si="16"/>
        <v>0</v>
      </c>
      <c r="R534" s="85"/>
      <c r="S534" s="624"/>
      <c r="T534" s="260"/>
      <c r="U534" s="624"/>
      <c r="V534" s="85"/>
      <c r="W534" s="624"/>
      <c r="X534" s="81"/>
      <c r="Y534" s="80"/>
      <c r="Z534" s="737">
        <f ca="1">MAX(0%,IF(Q534&lt;&gt;0,MIN((S534-Q534)/Q534/'Underwriting Risk'!$E$27,'Premium and Reserve Risk'!$Z$446),'Premium and Reserve Risk'!$Z$446))</f>
        <v>0.11200000000000002</v>
      </c>
      <c r="AA534" s="80"/>
      <c r="AB534" s="80"/>
      <c r="AC534" s="737">
        <f ca="1">MAX(0%,IF(U534&lt;&gt;0,MIN((W534-U534)/U534/'Underwriting Risk'!$E$27,'Premium and Reserve Risk'!$AC$446),'Premium and Reserve Risk'!$AC$446))</f>
        <v>0.11</v>
      </c>
      <c r="AD534" s="81"/>
      <c r="AE534" s="97"/>
      <c r="AF534" s="97"/>
      <c r="AG534" s="97"/>
      <c r="AH534" s="97"/>
    </row>
    <row r="535" spans="1:34" ht="13.5" customHeight="1" x14ac:dyDescent="0.25">
      <c r="A535" s="97"/>
      <c r="B535" s="257">
        <v>88</v>
      </c>
      <c r="C535" s="652"/>
      <c r="D535" s="80"/>
      <c r="E535" s="80"/>
      <c r="F535" s="258">
        <f t="shared" ca="1" si="18"/>
        <v>0</v>
      </c>
      <c r="G535" s="624"/>
      <c r="H535" s="85"/>
      <c r="I535" s="624"/>
      <c r="J535" s="85"/>
      <c r="K535" s="624"/>
      <c r="L535" s="85"/>
      <c r="M535" s="624"/>
      <c r="N535" s="85"/>
      <c r="O535" s="624"/>
      <c r="P535" s="85"/>
      <c r="Q535" s="626">
        <f t="shared" si="16"/>
        <v>0</v>
      </c>
      <c r="R535" s="85"/>
      <c r="S535" s="624"/>
      <c r="T535" s="260"/>
      <c r="U535" s="624"/>
      <c r="V535" s="85"/>
      <c r="W535" s="624"/>
      <c r="X535" s="81"/>
      <c r="Y535" s="80"/>
      <c r="Z535" s="737">
        <f ca="1">MAX(0%,IF(Q535&lt;&gt;0,MIN((S535-Q535)/Q535/'Underwriting Risk'!$E$27,'Premium and Reserve Risk'!$Z$446),'Premium and Reserve Risk'!$Z$446))</f>
        <v>0.11200000000000002</v>
      </c>
      <c r="AA535" s="80"/>
      <c r="AB535" s="80"/>
      <c r="AC535" s="737">
        <f ca="1">MAX(0%,IF(U535&lt;&gt;0,MIN((W535-U535)/U535/'Underwriting Risk'!$E$27,'Premium and Reserve Risk'!$AC$446),'Premium and Reserve Risk'!$AC$446))</f>
        <v>0.11</v>
      </c>
      <c r="AD535" s="81"/>
      <c r="AE535" s="97"/>
      <c r="AF535" s="97"/>
      <c r="AG535" s="97"/>
      <c r="AH535" s="97"/>
    </row>
    <row r="536" spans="1:34" ht="13.5" customHeight="1" x14ac:dyDescent="0.25">
      <c r="A536" s="97"/>
      <c r="B536" s="257">
        <v>89</v>
      </c>
      <c r="C536" s="652"/>
      <c r="D536" s="80"/>
      <c r="E536" s="80"/>
      <c r="F536" s="258">
        <f t="shared" ca="1" si="18"/>
        <v>0</v>
      </c>
      <c r="G536" s="624"/>
      <c r="H536" s="85"/>
      <c r="I536" s="624"/>
      <c r="J536" s="85"/>
      <c r="K536" s="624"/>
      <c r="L536" s="85"/>
      <c r="M536" s="624"/>
      <c r="N536" s="85"/>
      <c r="O536" s="624"/>
      <c r="P536" s="85"/>
      <c r="Q536" s="626">
        <f t="shared" si="16"/>
        <v>0</v>
      </c>
      <c r="R536" s="85"/>
      <c r="S536" s="624"/>
      <c r="T536" s="260"/>
      <c r="U536" s="624"/>
      <c r="V536" s="85"/>
      <c r="W536" s="624"/>
      <c r="X536" s="81"/>
      <c r="Y536" s="80"/>
      <c r="Z536" s="737">
        <f ca="1">MAX(0%,IF(Q536&lt;&gt;0,MIN((S536-Q536)/Q536/'Underwriting Risk'!$E$27,'Premium and Reserve Risk'!$Z$446),'Premium and Reserve Risk'!$Z$446))</f>
        <v>0.11200000000000002</v>
      </c>
      <c r="AA536" s="80"/>
      <c r="AB536" s="80"/>
      <c r="AC536" s="737">
        <f ca="1">MAX(0%,IF(U536&lt;&gt;0,MIN((W536-U536)/U536/'Underwriting Risk'!$E$27,'Premium and Reserve Risk'!$AC$446),'Premium and Reserve Risk'!$AC$446))</f>
        <v>0.11</v>
      </c>
      <c r="AD536" s="81"/>
      <c r="AE536" s="97"/>
      <c r="AF536" s="97"/>
      <c r="AG536" s="97"/>
      <c r="AH536" s="97"/>
    </row>
    <row r="537" spans="1:34" ht="13.5" customHeight="1" x14ac:dyDescent="0.25">
      <c r="A537" s="97"/>
      <c r="B537" s="257">
        <v>90</v>
      </c>
      <c r="C537" s="652"/>
      <c r="D537" s="80"/>
      <c r="E537" s="80"/>
      <c r="F537" s="258">
        <f t="shared" ca="1" si="18"/>
        <v>0</v>
      </c>
      <c r="G537" s="624"/>
      <c r="H537" s="85"/>
      <c r="I537" s="624"/>
      <c r="J537" s="85"/>
      <c r="K537" s="624"/>
      <c r="L537" s="85"/>
      <c r="M537" s="624"/>
      <c r="N537" s="85"/>
      <c r="O537" s="624"/>
      <c r="P537" s="85"/>
      <c r="Q537" s="626">
        <f t="shared" si="16"/>
        <v>0</v>
      </c>
      <c r="R537" s="85"/>
      <c r="S537" s="624"/>
      <c r="T537" s="260"/>
      <c r="U537" s="624"/>
      <c r="V537" s="85"/>
      <c r="W537" s="624"/>
      <c r="X537" s="81"/>
      <c r="Y537" s="80"/>
      <c r="Z537" s="737">
        <f ca="1">MAX(0%,IF(Q537&lt;&gt;0,MIN((S537-Q537)/Q537/'Underwriting Risk'!$E$27,'Premium and Reserve Risk'!$Z$446),'Premium and Reserve Risk'!$Z$446))</f>
        <v>0.11200000000000002</v>
      </c>
      <c r="AA537" s="80"/>
      <c r="AB537" s="80"/>
      <c r="AC537" s="737">
        <f ca="1">MAX(0%,IF(U537&lt;&gt;0,MIN((W537-U537)/U537/'Underwriting Risk'!$E$27,'Premium and Reserve Risk'!$AC$446),'Premium and Reserve Risk'!$AC$446))</f>
        <v>0.11</v>
      </c>
      <c r="AD537" s="81"/>
      <c r="AE537" s="97"/>
      <c r="AF537" s="97"/>
      <c r="AG537" s="97"/>
      <c r="AH537" s="97"/>
    </row>
    <row r="538" spans="1:34" ht="13.5" customHeight="1" x14ac:dyDescent="0.25">
      <c r="A538" s="97"/>
      <c r="B538" s="257">
        <v>91</v>
      </c>
      <c r="C538" s="652"/>
      <c r="D538" s="80"/>
      <c r="E538" s="80"/>
      <c r="F538" s="258">
        <f t="shared" ca="1" si="18"/>
        <v>0</v>
      </c>
      <c r="G538" s="624"/>
      <c r="H538" s="85"/>
      <c r="I538" s="624"/>
      <c r="J538" s="85"/>
      <c r="K538" s="624"/>
      <c r="L538" s="85"/>
      <c r="M538" s="624"/>
      <c r="N538" s="85"/>
      <c r="O538" s="624"/>
      <c r="P538" s="85"/>
      <c r="Q538" s="626">
        <f t="shared" si="16"/>
        <v>0</v>
      </c>
      <c r="R538" s="85"/>
      <c r="S538" s="624"/>
      <c r="T538" s="260"/>
      <c r="U538" s="624"/>
      <c r="V538" s="85"/>
      <c r="W538" s="624"/>
      <c r="X538" s="81"/>
      <c r="Y538" s="80"/>
      <c r="Z538" s="737">
        <f ca="1">MAX(0%,IF(Q538&lt;&gt;0,MIN((S538-Q538)/Q538/'Underwriting Risk'!$E$27,'Premium and Reserve Risk'!$Z$446),'Premium and Reserve Risk'!$Z$446))</f>
        <v>0.11200000000000002</v>
      </c>
      <c r="AA538" s="80"/>
      <c r="AB538" s="80"/>
      <c r="AC538" s="737">
        <f ca="1">MAX(0%,IF(U538&lt;&gt;0,MIN((W538-U538)/U538/'Underwriting Risk'!$E$27,'Premium and Reserve Risk'!$AC$446),'Premium and Reserve Risk'!$AC$446))</f>
        <v>0.11</v>
      </c>
      <c r="AD538" s="81"/>
      <c r="AE538" s="97"/>
      <c r="AF538" s="97"/>
      <c r="AG538" s="97"/>
      <c r="AH538" s="97"/>
    </row>
    <row r="539" spans="1:34" ht="13.5" customHeight="1" x14ac:dyDescent="0.25">
      <c r="A539" s="97"/>
      <c r="B539" s="257">
        <v>92</v>
      </c>
      <c r="C539" s="652"/>
      <c r="D539" s="80"/>
      <c r="E539" s="80"/>
      <c r="F539" s="258">
        <f t="shared" ca="1" si="18"/>
        <v>0</v>
      </c>
      <c r="G539" s="624"/>
      <c r="H539" s="85"/>
      <c r="I539" s="624"/>
      <c r="J539" s="85"/>
      <c r="K539" s="624"/>
      <c r="L539" s="85"/>
      <c r="M539" s="624"/>
      <c r="N539" s="85"/>
      <c r="O539" s="624"/>
      <c r="P539" s="85"/>
      <c r="Q539" s="626">
        <f t="shared" si="16"/>
        <v>0</v>
      </c>
      <c r="R539" s="85"/>
      <c r="S539" s="624"/>
      <c r="T539" s="260"/>
      <c r="U539" s="624"/>
      <c r="V539" s="85"/>
      <c r="W539" s="624"/>
      <c r="X539" s="81"/>
      <c r="Y539" s="80"/>
      <c r="Z539" s="737">
        <f ca="1">MAX(0%,IF(Q539&lt;&gt;0,MIN((S539-Q539)/Q539/'Underwriting Risk'!$E$27,'Premium and Reserve Risk'!$Z$446),'Premium and Reserve Risk'!$Z$446))</f>
        <v>0.11200000000000002</v>
      </c>
      <c r="AA539" s="80"/>
      <c r="AB539" s="80"/>
      <c r="AC539" s="737">
        <f ca="1">MAX(0%,IF(U539&lt;&gt;0,MIN((W539-U539)/U539/'Underwriting Risk'!$E$27,'Premium and Reserve Risk'!$AC$446),'Premium and Reserve Risk'!$AC$446))</f>
        <v>0.11</v>
      </c>
      <c r="AD539" s="81"/>
      <c r="AE539" s="97"/>
      <c r="AF539" s="97"/>
      <c r="AG539" s="97"/>
      <c r="AH539" s="97"/>
    </row>
    <row r="540" spans="1:34" ht="13.5" customHeight="1" x14ac:dyDescent="0.25">
      <c r="A540" s="97"/>
      <c r="B540" s="257">
        <v>93</v>
      </c>
      <c r="C540" s="652"/>
      <c r="D540" s="80"/>
      <c r="E540" s="80"/>
      <c r="F540" s="258">
        <f t="shared" ca="1" si="18"/>
        <v>0</v>
      </c>
      <c r="G540" s="624"/>
      <c r="H540" s="85"/>
      <c r="I540" s="624"/>
      <c r="J540" s="85"/>
      <c r="K540" s="624"/>
      <c r="L540" s="85"/>
      <c r="M540" s="624"/>
      <c r="N540" s="85"/>
      <c r="O540" s="624"/>
      <c r="P540" s="85"/>
      <c r="Q540" s="626">
        <f t="shared" si="16"/>
        <v>0</v>
      </c>
      <c r="R540" s="85"/>
      <c r="S540" s="624"/>
      <c r="T540" s="260"/>
      <c r="U540" s="624"/>
      <c r="V540" s="85"/>
      <c r="W540" s="624"/>
      <c r="X540" s="81"/>
      <c r="Y540" s="80"/>
      <c r="Z540" s="737">
        <f ca="1">MAX(0%,IF(Q540&lt;&gt;0,MIN((S540-Q540)/Q540/'Underwriting Risk'!$E$27,'Premium and Reserve Risk'!$Z$446),'Premium and Reserve Risk'!$Z$446))</f>
        <v>0.11200000000000002</v>
      </c>
      <c r="AA540" s="80"/>
      <c r="AB540" s="80"/>
      <c r="AC540" s="737">
        <f ca="1">MAX(0%,IF(U540&lt;&gt;0,MIN((W540-U540)/U540/'Underwriting Risk'!$E$27,'Premium and Reserve Risk'!$AC$446),'Premium and Reserve Risk'!$AC$446))</f>
        <v>0.11</v>
      </c>
      <c r="AD540" s="81"/>
      <c r="AE540" s="97"/>
      <c r="AF540" s="97"/>
      <c r="AG540" s="97"/>
      <c r="AH540" s="97"/>
    </row>
    <row r="541" spans="1:34" ht="13.5" customHeight="1" x14ac:dyDescent="0.25">
      <c r="A541" s="97"/>
      <c r="B541" s="257">
        <v>94</v>
      </c>
      <c r="C541" s="652"/>
      <c r="D541" s="80"/>
      <c r="E541" s="80"/>
      <c r="F541" s="258">
        <f t="shared" ca="1" si="18"/>
        <v>0</v>
      </c>
      <c r="G541" s="624"/>
      <c r="H541" s="85"/>
      <c r="I541" s="624"/>
      <c r="J541" s="85"/>
      <c r="K541" s="624"/>
      <c r="L541" s="85"/>
      <c r="M541" s="624"/>
      <c r="N541" s="85"/>
      <c r="O541" s="624"/>
      <c r="P541" s="85"/>
      <c r="Q541" s="626">
        <f t="shared" si="16"/>
        <v>0</v>
      </c>
      <c r="R541" s="85"/>
      <c r="S541" s="624"/>
      <c r="T541" s="260"/>
      <c r="U541" s="624"/>
      <c r="V541" s="85"/>
      <c r="W541" s="624"/>
      <c r="X541" s="81"/>
      <c r="Y541" s="80"/>
      <c r="Z541" s="737">
        <f ca="1">MAX(0%,IF(Q541&lt;&gt;0,MIN((S541-Q541)/Q541/'Underwriting Risk'!$E$27,'Premium and Reserve Risk'!$Z$446),'Premium and Reserve Risk'!$Z$446))</f>
        <v>0.11200000000000002</v>
      </c>
      <c r="AA541" s="80"/>
      <c r="AB541" s="80"/>
      <c r="AC541" s="737">
        <f ca="1">MAX(0%,IF(U541&lt;&gt;0,MIN((W541-U541)/U541/'Underwriting Risk'!$E$27,'Premium and Reserve Risk'!$AC$446),'Premium and Reserve Risk'!$AC$446))</f>
        <v>0.11</v>
      </c>
      <c r="AD541" s="81"/>
      <c r="AE541" s="97"/>
      <c r="AF541" s="97"/>
      <c r="AG541" s="97"/>
      <c r="AH541" s="97"/>
    </row>
    <row r="542" spans="1:34" ht="13.5" customHeight="1" x14ac:dyDescent="0.25">
      <c r="A542" s="97"/>
      <c r="B542" s="257">
        <v>95</v>
      </c>
      <c r="C542" s="652"/>
      <c r="D542" s="80"/>
      <c r="E542" s="80"/>
      <c r="F542" s="258">
        <f t="shared" ca="1" si="18"/>
        <v>0</v>
      </c>
      <c r="G542" s="624"/>
      <c r="H542" s="85"/>
      <c r="I542" s="624"/>
      <c r="J542" s="85"/>
      <c r="K542" s="624"/>
      <c r="L542" s="85"/>
      <c r="M542" s="624"/>
      <c r="N542" s="85"/>
      <c r="O542" s="624"/>
      <c r="P542" s="85"/>
      <c r="Q542" s="626">
        <f t="shared" si="16"/>
        <v>0</v>
      </c>
      <c r="R542" s="85"/>
      <c r="S542" s="624"/>
      <c r="T542" s="260"/>
      <c r="U542" s="624"/>
      <c r="V542" s="85"/>
      <c r="W542" s="624"/>
      <c r="X542" s="81"/>
      <c r="Y542" s="80"/>
      <c r="Z542" s="737">
        <f ca="1">MAX(0%,IF(Q542&lt;&gt;0,MIN((S542-Q542)/Q542/'Underwriting Risk'!$E$27,'Premium and Reserve Risk'!$Z$446),'Premium and Reserve Risk'!$Z$446))</f>
        <v>0.11200000000000002</v>
      </c>
      <c r="AA542" s="80"/>
      <c r="AB542" s="80"/>
      <c r="AC542" s="737">
        <f ca="1">MAX(0%,IF(U542&lt;&gt;0,MIN((W542-U542)/U542/'Underwriting Risk'!$E$27,'Premium and Reserve Risk'!$AC$446),'Premium and Reserve Risk'!$AC$446))</f>
        <v>0.11</v>
      </c>
      <c r="AD542" s="81"/>
      <c r="AE542" s="97"/>
      <c r="AF542" s="97"/>
      <c r="AG542" s="97"/>
      <c r="AH542" s="97"/>
    </row>
    <row r="543" spans="1:34" ht="13.5" customHeight="1" x14ac:dyDescent="0.25">
      <c r="A543" s="97"/>
      <c r="B543" s="257">
        <v>96</v>
      </c>
      <c r="C543" s="652"/>
      <c r="D543" s="80"/>
      <c r="E543" s="80"/>
      <c r="F543" s="258">
        <f t="shared" ca="1" si="18"/>
        <v>0</v>
      </c>
      <c r="G543" s="624"/>
      <c r="H543" s="85"/>
      <c r="I543" s="624"/>
      <c r="J543" s="85"/>
      <c r="K543" s="624"/>
      <c r="L543" s="85"/>
      <c r="M543" s="624"/>
      <c r="N543" s="85"/>
      <c r="O543" s="624"/>
      <c r="P543" s="85"/>
      <c r="Q543" s="626">
        <f t="shared" si="16"/>
        <v>0</v>
      </c>
      <c r="R543" s="85"/>
      <c r="S543" s="624"/>
      <c r="T543" s="260"/>
      <c r="U543" s="624"/>
      <c r="V543" s="85"/>
      <c r="W543" s="624"/>
      <c r="X543" s="81"/>
      <c r="Y543" s="80"/>
      <c r="Z543" s="737">
        <f ca="1">MAX(0%,IF(Q543&lt;&gt;0,MIN((S543-Q543)/Q543/'Underwriting Risk'!$E$27,'Premium and Reserve Risk'!$Z$446),'Premium and Reserve Risk'!$Z$446))</f>
        <v>0.11200000000000002</v>
      </c>
      <c r="AA543" s="80"/>
      <c r="AB543" s="80"/>
      <c r="AC543" s="737">
        <f ca="1">MAX(0%,IF(U543&lt;&gt;0,MIN((W543-U543)/U543/'Underwriting Risk'!$E$27,'Premium and Reserve Risk'!$AC$446),'Premium and Reserve Risk'!$AC$446))</f>
        <v>0.11</v>
      </c>
      <c r="AD543" s="81"/>
      <c r="AE543" s="97"/>
      <c r="AF543" s="97"/>
      <c r="AG543" s="97"/>
      <c r="AH543" s="97"/>
    </row>
    <row r="544" spans="1:34" ht="13.5" customHeight="1" x14ac:dyDescent="0.25">
      <c r="A544" s="97"/>
      <c r="B544" s="257">
        <v>97</v>
      </c>
      <c r="C544" s="652"/>
      <c r="D544" s="80"/>
      <c r="E544" s="80"/>
      <c r="F544" s="258">
        <f t="shared" ca="1" si="18"/>
        <v>0</v>
      </c>
      <c r="G544" s="624"/>
      <c r="H544" s="85"/>
      <c r="I544" s="624"/>
      <c r="J544" s="85"/>
      <c r="K544" s="624"/>
      <c r="L544" s="85"/>
      <c r="M544" s="624"/>
      <c r="N544" s="85"/>
      <c r="O544" s="624"/>
      <c r="P544" s="85"/>
      <c r="Q544" s="626">
        <f t="shared" si="16"/>
        <v>0</v>
      </c>
      <c r="R544" s="85"/>
      <c r="S544" s="624"/>
      <c r="T544" s="260"/>
      <c r="U544" s="624"/>
      <c r="V544" s="85"/>
      <c r="W544" s="624"/>
      <c r="X544" s="81"/>
      <c r="Y544" s="80"/>
      <c r="Z544" s="737">
        <f ca="1">MAX(0%,IF(Q544&lt;&gt;0,MIN((S544-Q544)/Q544/'Underwriting Risk'!$E$27,'Premium and Reserve Risk'!$Z$446),'Premium and Reserve Risk'!$Z$446))</f>
        <v>0.11200000000000002</v>
      </c>
      <c r="AA544" s="80"/>
      <c r="AB544" s="80"/>
      <c r="AC544" s="737">
        <f ca="1">MAX(0%,IF(U544&lt;&gt;0,MIN((W544-U544)/U544/'Underwriting Risk'!$E$27,'Premium and Reserve Risk'!$AC$446),'Premium and Reserve Risk'!$AC$446))</f>
        <v>0.11</v>
      </c>
      <c r="AD544" s="81"/>
      <c r="AE544" s="97"/>
      <c r="AF544" s="97"/>
      <c r="AG544" s="97"/>
      <c r="AH544" s="97"/>
    </row>
    <row r="545" spans="1:34" ht="13.5" customHeight="1" x14ac:dyDescent="0.25">
      <c r="A545" s="97"/>
      <c r="B545" s="257">
        <v>98</v>
      </c>
      <c r="C545" s="652"/>
      <c r="D545" s="80"/>
      <c r="E545" s="80"/>
      <c r="F545" s="258">
        <f t="shared" ca="1" si="18"/>
        <v>0</v>
      </c>
      <c r="G545" s="624"/>
      <c r="H545" s="85"/>
      <c r="I545" s="624"/>
      <c r="J545" s="85"/>
      <c r="K545" s="624"/>
      <c r="L545" s="85"/>
      <c r="M545" s="624"/>
      <c r="N545" s="85"/>
      <c r="O545" s="624"/>
      <c r="P545" s="85"/>
      <c r="Q545" s="626">
        <f t="shared" si="16"/>
        <v>0</v>
      </c>
      <c r="R545" s="85"/>
      <c r="S545" s="624"/>
      <c r="T545" s="260"/>
      <c r="U545" s="624"/>
      <c r="V545" s="85"/>
      <c r="W545" s="624"/>
      <c r="X545" s="81"/>
      <c r="Y545" s="80"/>
      <c r="Z545" s="737">
        <f ca="1">MAX(0%,IF(Q545&lt;&gt;0,MIN((S545-Q545)/Q545/'Underwriting Risk'!$E$27,'Premium and Reserve Risk'!$Z$446),'Premium and Reserve Risk'!$Z$446))</f>
        <v>0.11200000000000002</v>
      </c>
      <c r="AA545" s="80"/>
      <c r="AB545" s="80"/>
      <c r="AC545" s="737">
        <f ca="1">MAX(0%,IF(U545&lt;&gt;0,MIN((W545-U545)/U545/'Underwriting Risk'!$E$27,'Premium and Reserve Risk'!$AC$446),'Premium and Reserve Risk'!$AC$446))</f>
        <v>0.11</v>
      </c>
      <c r="AD545" s="81"/>
      <c r="AE545" s="97"/>
      <c r="AF545" s="97"/>
      <c r="AG545" s="97"/>
      <c r="AH545" s="97"/>
    </row>
    <row r="546" spans="1:34" ht="13.5" customHeight="1" x14ac:dyDescent="0.25">
      <c r="A546" s="97"/>
      <c r="B546" s="257">
        <v>99</v>
      </c>
      <c r="C546" s="652"/>
      <c r="D546" s="80"/>
      <c r="E546" s="80"/>
      <c r="F546" s="258">
        <f t="shared" ca="1" si="18"/>
        <v>0</v>
      </c>
      <c r="G546" s="624"/>
      <c r="H546" s="85"/>
      <c r="I546" s="624"/>
      <c r="J546" s="85"/>
      <c r="K546" s="624"/>
      <c r="L546" s="85"/>
      <c r="M546" s="624"/>
      <c r="N546" s="85"/>
      <c r="O546" s="624"/>
      <c r="P546" s="85"/>
      <c r="Q546" s="626">
        <f t="shared" si="16"/>
        <v>0</v>
      </c>
      <c r="R546" s="85"/>
      <c r="S546" s="624"/>
      <c r="T546" s="260"/>
      <c r="U546" s="624"/>
      <c r="V546" s="85"/>
      <c r="W546" s="624"/>
      <c r="X546" s="81"/>
      <c r="Y546" s="80"/>
      <c r="Z546" s="737">
        <f ca="1">MAX(0%,IF(Q546&lt;&gt;0,MIN((S546-Q546)/Q546/'Underwriting Risk'!$E$27,'Premium and Reserve Risk'!$Z$446),'Premium and Reserve Risk'!$Z$446))</f>
        <v>0.11200000000000002</v>
      </c>
      <c r="AA546" s="80"/>
      <c r="AB546" s="80"/>
      <c r="AC546" s="737">
        <f ca="1">MAX(0%,IF(U546&lt;&gt;0,MIN((W546-U546)/U546/'Underwriting Risk'!$E$27,'Premium and Reserve Risk'!$AC$446),'Premium and Reserve Risk'!$AC$446))</f>
        <v>0.11</v>
      </c>
      <c r="AD546" s="81"/>
      <c r="AE546" s="97"/>
      <c r="AF546" s="97"/>
      <c r="AG546" s="97"/>
      <c r="AH546" s="97"/>
    </row>
    <row r="547" spans="1:34" ht="13.5" customHeight="1" x14ac:dyDescent="0.25">
      <c r="A547" s="97"/>
      <c r="B547" s="257">
        <v>100</v>
      </c>
      <c r="C547" s="652"/>
      <c r="D547" s="80"/>
      <c r="E547" s="80"/>
      <c r="F547" s="258">
        <f t="shared" ca="1" si="18"/>
        <v>0</v>
      </c>
      <c r="G547" s="624"/>
      <c r="H547" s="85"/>
      <c r="I547" s="624"/>
      <c r="J547" s="85"/>
      <c r="K547" s="624"/>
      <c r="L547" s="85"/>
      <c r="M547" s="624"/>
      <c r="N547" s="85"/>
      <c r="O547" s="624"/>
      <c r="P547" s="85"/>
      <c r="Q547" s="626">
        <f t="shared" si="16"/>
        <v>0</v>
      </c>
      <c r="R547" s="85"/>
      <c r="S547" s="624"/>
      <c r="T547" s="260"/>
      <c r="U547" s="624"/>
      <c r="V547" s="85"/>
      <c r="W547" s="624"/>
      <c r="X547" s="81"/>
      <c r="Y547" s="80"/>
      <c r="Z547" s="737">
        <f ca="1">MAX(0%,IF(Q547&lt;&gt;0,MIN((S547-Q547)/Q547/'Underwriting Risk'!$E$27,'Premium and Reserve Risk'!$Z$446),'Premium and Reserve Risk'!$Z$446))</f>
        <v>0.11200000000000002</v>
      </c>
      <c r="AA547" s="80"/>
      <c r="AB547" s="80"/>
      <c r="AC547" s="737">
        <f ca="1">MAX(0%,IF(U547&lt;&gt;0,MIN((W547-U547)/U547/'Underwriting Risk'!$E$27,'Premium and Reserve Risk'!$AC$446),'Premium and Reserve Risk'!$AC$446))</f>
        <v>0.11</v>
      </c>
      <c r="AD547" s="81"/>
      <c r="AE547" s="97"/>
      <c r="AF547" s="97"/>
      <c r="AG547" s="97"/>
      <c r="AH547" s="97"/>
    </row>
    <row r="548" spans="1:34" ht="6" customHeight="1" thickBot="1" x14ac:dyDescent="0.3">
      <c r="A548" s="97"/>
      <c r="B548" s="110"/>
      <c r="C548" s="93"/>
      <c r="D548" s="93"/>
      <c r="E548" s="93"/>
      <c r="F548" s="261">
        <f ca="1">IF(OFFSET($Z$8,B445-1,0)=0,1,0)</f>
        <v>0</v>
      </c>
      <c r="G548" s="134"/>
      <c r="H548" s="134"/>
      <c r="I548" s="134"/>
      <c r="J548" s="134"/>
      <c r="K548" s="134"/>
      <c r="L548" s="134"/>
      <c r="M548" s="134"/>
      <c r="N548" s="134"/>
      <c r="O548" s="134"/>
      <c r="P548" s="134"/>
      <c r="Q548" s="134"/>
      <c r="R548" s="134"/>
      <c r="S548" s="134"/>
      <c r="T548" s="134"/>
      <c r="U548" s="134"/>
      <c r="V548" s="134"/>
      <c r="W548" s="134"/>
      <c r="X548" s="94"/>
      <c r="Y548" s="93"/>
      <c r="Z548" s="93"/>
      <c r="AA548" s="93"/>
      <c r="AB548" s="93"/>
      <c r="AC548" s="93"/>
      <c r="AD548" s="94"/>
      <c r="AE548" s="97"/>
      <c r="AF548" s="97"/>
      <c r="AG548" s="97"/>
      <c r="AH548" s="97"/>
    </row>
    <row r="549" spans="1:34" ht="16.5" thickBot="1" x14ac:dyDescent="0.3">
      <c r="A549" s="97"/>
      <c r="B549" s="53"/>
      <c r="C549" s="53"/>
      <c r="D549" s="53"/>
      <c r="E549" s="53"/>
      <c r="F549" s="53"/>
      <c r="G549" s="109"/>
      <c r="H549" s="109"/>
      <c r="I549" s="109"/>
      <c r="J549" s="109"/>
      <c r="K549" s="109"/>
      <c r="L549" s="109"/>
      <c r="M549" s="109"/>
      <c r="N549" s="109"/>
      <c r="O549" s="109"/>
      <c r="P549" s="109"/>
      <c r="Q549" s="109"/>
      <c r="R549" s="109"/>
      <c r="S549" s="109"/>
      <c r="T549" s="109"/>
      <c r="U549" s="109"/>
      <c r="V549" s="109"/>
      <c r="W549" s="109"/>
      <c r="X549" s="53"/>
      <c r="Y549" s="53"/>
      <c r="Z549" s="53"/>
      <c r="AA549" s="53"/>
      <c r="AB549" s="53"/>
      <c r="AC549" s="53"/>
      <c r="AD549" s="53"/>
      <c r="AE549" s="97"/>
      <c r="AF549" s="97"/>
      <c r="AG549" s="97"/>
      <c r="AH549" s="97"/>
    </row>
    <row r="550" spans="1:34" ht="31.5" x14ac:dyDescent="0.25">
      <c r="A550" s="97"/>
      <c r="B550" s="187">
        <v>6</v>
      </c>
      <c r="C550" s="187" t="str">
        <f ca="1">RIGHT(OFFSET($B$8,B550-1,0),LEN(OFFSET($B$8,B550-1,0))-5)</f>
        <v xml:space="preserve"> Credit &amp; Suretyship &amp; 18 Prop. Reins.</v>
      </c>
      <c r="D550" s="68"/>
      <c r="E550" s="68"/>
      <c r="F550" s="68"/>
      <c r="G550" s="68"/>
      <c r="H550" s="68"/>
      <c r="I550" s="68"/>
      <c r="J550" s="68"/>
      <c r="K550" s="68"/>
      <c r="L550" s="68"/>
      <c r="M550" s="68"/>
      <c r="N550" s="68"/>
      <c r="O550" s="68"/>
      <c r="P550" s="68"/>
      <c r="Q550" s="68"/>
      <c r="R550" s="68"/>
      <c r="S550" s="68"/>
      <c r="T550" s="68"/>
      <c r="U550" s="68"/>
      <c r="V550" s="68"/>
      <c r="W550" s="68"/>
      <c r="X550" s="251"/>
      <c r="Y550" s="68"/>
      <c r="Z550" s="250" t="s">
        <v>458</v>
      </c>
      <c r="AA550" s="736"/>
      <c r="AB550" s="736"/>
      <c r="AC550" s="250" t="s">
        <v>459</v>
      </c>
      <c r="AD550" s="251"/>
      <c r="AE550" s="97"/>
      <c r="AF550" s="97"/>
      <c r="AG550" s="97"/>
      <c r="AH550" s="97"/>
    </row>
    <row r="551" spans="1:34" ht="129.75" thickBot="1" x14ac:dyDescent="0.3">
      <c r="A551" s="97"/>
      <c r="B551" s="252"/>
      <c r="C551" s="253" t="s">
        <v>460</v>
      </c>
      <c r="D551" s="237"/>
      <c r="E551" s="237"/>
      <c r="F551" s="254">
        <f ca="1">IF(OFFSET($Z$8,B550-1,0)=0,1,0)</f>
        <v>0</v>
      </c>
      <c r="G551" s="792" t="s">
        <v>1130</v>
      </c>
      <c r="H551" s="793"/>
      <c r="I551" s="791" t="s">
        <v>438</v>
      </c>
      <c r="J551" s="791"/>
      <c r="K551" s="791" t="s">
        <v>439</v>
      </c>
      <c r="L551" s="791"/>
      <c r="M551" s="791" t="s">
        <v>1131</v>
      </c>
      <c r="N551" s="791"/>
      <c r="O551" s="791" t="s">
        <v>1132</v>
      </c>
      <c r="P551" s="363"/>
      <c r="Q551" s="237" t="s">
        <v>440</v>
      </c>
      <c r="R551" s="237"/>
      <c r="S551" s="237" t="s">
        <v>461</v>
      </c>
      <c r="T551" s="237"/>
      <c r="U551" s="237" t="s">
        <v>463</v>
      </c>
      <c r="V551" s="237"/>
      <c r="W551" s="237" t="s">
        <v>464</v>
      </c>
      <c r="X551" s="238"/>
      <c r="Y551" s="237"/>
      <c r="Z551" s="255">
        <f ca="1">OFFSET('Underwriting Risk'!$K$55,'Premium and Reserve Risk'!B550-1,0)</f>
        <v>0.19</v>
      </c>
      <c r="AA551" s="237"/>
      <c r="AB551" s="237"/>
      <c r="AC551" s="255">
        <f ca="1">OFFSET('Underwriting Risk'!$M$55,'Premium and Reserve Risk'!B550-1,0)</f>
        <v>0.17199999999999999</v>
      </c>
      <c r="AD551" s="238"/>
      <c r="AE551" s="97"/>
      <c r="AF551" s="97"/>
      <c r="AG551" s="97"/>
      <c r="AH551" s="97"/>
    </row>
    <row r="552" spans="1:34" ht="6" customHeight="1" x14ac:dyDescent="0.25">
      <c r="A552" s="97"/>
      <c r="B552" s="106"/>
      <c r="C552" s="80"/>
      <c r="D552" s="80"/>
      <c r="E552" s="80"/>
      <c r="F552" s="256">
        <f ca="1">IF(OFFSET($Z$8,B550-1,0)=0,1,0)</f>
        <v>0</v>
      </c>
      <c r="G552" s="85"/>
      <c r="H552" s="85"/>
      <c r="I552" s="85"/>
      <c r="J552" s="85"/>
      <c r="K552" s="85"/>
      <c r="L552" s="85"/>
      <c r="M552" s="85"/>
      <c r="N552" s="85"/>
      <c r="O552" s="85"/>
      <c r="P552" s="85"/>
      <c r="Q552" s="85"/>
      <c r="R552" s="85"/>
      <c r="S552" s="85"/>
      <c r="T552" s="85"/>
      <c r="U552" s="85"/>
      <c r="V552" s="85"/>
      <c r="W552" s="85"/>
      <c r="X552" s="81"/>
      <c r="Y552" s="80"/>
      <c r="Z552" s="80"/>
      <c r="AA552" s="80"/>
      <c r="AB552" s="80"/>
      <c r="AC552" s="80"/>
      <c r="AD552" s="81"/>
      <c r="AE552" s="97"/>
      <c r="AF552" s="97"/>
      <c r="AG552" s="97"/>
      <c r="AH552" s="97"/>
    </row>
    <row r="553" spans="1:34" ht="13.5" customHeight="1" x14ac:dyDescent="0.25">
      <c r="A553" s="97"/>
      <c r="B553" s="257">
        <v>1</v>
      </c>
      <c r="C553" s="652"/>
      <c r="D553" s="80"/>
      <c r="E553" s="80"/>
      <c r="F553" s="258">
        <f ca="1">IF(B553&lt;=OFFSET($Z$8,B$550-1,0),0,1)</f>
        <v>0</v>
      </c>
      <c r="G553" s="624"/>
      <c r="H553" s="85"/>
      <c r="I553" s="624"/>
      <c r="J553" s="85"/>
      <c r="K553" s="624"/>
      <c r="L553" s="85"/>
      <c r="M553" s="624"/>
      <c r="N553" s="85"/>
      <c r="O553" s="624"/>
      <c r="P553" s="85"/>
      <c r="Q553" s="626">
        <f t="shared" ref="Q553:Q652" si="19">MAX(G553,I553)+K553+M553+0.3*O553</f>
        <v>0</v>
      </c>
      <c r="R553" s="85"/>
      <c r="S553" s="624"/>
      <c r="T553" s="260"/>
      <c r="U553" s="624"/>
      <c r="V553" s="85"/>
      <c r="W553" s="624"/>
      <c r="X553" s="81"/>
      <c r="Y553" s="80"/>
      <c r="Z553" s="737">
        <f ca="1">MAX(0%,IF(Q553&lt;&gt;0,MIN((S553-Q553)/Q553/'Underwriting Risk'!$E$27,'Premium and Reserve Risk'!$Z$551),'Premium and Reserve Risk'!$Z$551))</f>
        <v>0.19</v>
      </c>
      <c r="AA553" s="80"/>
      <c r="AB553" s="80"/>
      <c r="AC553" s="737">
        <f ca="1">MAX(0%,IF(U553&lt;&gt;0,MIN((W553-U553)/U553/'Underwriting Risk'!$E$27,'Premium and Reserve Risk'!$AC$551),'Premium and Reserve Risk'!$AC$551))</f>
        <v>0.17199999999999999</v>
      </c>
      <c r="AD553" s="81"/>
      <c r="AE553" s="97"/>
      <c r="AF553" s="97"/>
      <c r="AG553" s="97"/>
      <c r="AH553" s="97"/>
    </row>
    <row r="554" spans="1:34" ht="13.5" customHeight="1" x14ac:dyDescent="0.25">
      <c r="A554" s="97"/>
      <c r="B554" s="257">
        <v>2</v>
      </c>
      <c r="C554" s="652"/>
      <c r="D554" s="80"/>
      <c r="E554" s="80"/>
      <c r="F554" s="258">
        <f t="shared" ref="F554:F617" ca="1" si="20">IF(B554&lt;=OFFSET($Z$8,B$550-1,0),0,1)</f>
        <v>0</v>
      </c>
      <c r="G554" s="624"/>
      <c r="H554" s="85"/>
      <c r="I554" s="624"/>
      <c r="J554" s="85"/>
      <c r="K554" s="624"/>
      <c r="L554" s="85"/>
      <c r="M554" s="624"/>
      <c r="N554" s="85"/>
      <c r="O554" s="624"/>
      <c r="P554" s="85"/>
      <c r="Q554" s="626">
        <f t="shared" si="19"/>
        <v>0</v>
      </c>
      <c r="R554" s="85"/>
      <c r="S554" s="624"/>
      <c r="T554" s="260"/>
      <c r="U554" s="624"/>
      <c r="V554" s="85"/>
      <c r="W554" s="624"/>
      <c r="X554" s="81"/>
      <c r="Y554" s="80"/>
      <c r="Z554" s="737">
        <f ca="1">MAX(0%,IF(Q554&lt;&gt;0,MIN((S554-Q554)/Q554/'Underwriting Risk'!$E$27,'Premium and Reserve Risk'!$Z$551),'Premium and Reserve Risk'!$Z$551))</f>
        <v>0.19</v>
      </c>
      <c r="AA554" s="80"/>
      <c r="AB554" s="80"/>
      <c r="AC554" s="737">
        <f ca="1">MAX(0%,IF(U554&lt;&gt;0,MIN((W554-U554)/U554/'Underwriting Risk'!$E$27,'Premium and Reserve Risk'!$AC$551),'Premium and Reserve Risk'!$AC$551))</f>
        <v>0.17199999999999999</v>
      </c>
      <c r="AD554" s="81"/>
      <c r="AE554" s="97"/>
      <c r="AF554" s="97"/>
      <c r="AG554" s="97"/>
      <c r="AH554" s="97"/>
    </row>
    <row r="555" spans="1:34" ht="13.5" customHeight="1" x14ac:dyDescent="0.25">
      <c r="A555" s="97"/>
      <c r="B555" s="257">
        <v>3</v>
      </c>
      <c r="C555" s="652"/>
      <c r="D555" s="80"/>
      <c r="E555" s="80"/>
      <c r="F555" s="258">
        <f t="shared" ca="1" si="20"/>
        <v>0</v>
      </c>
      <c r="G555" s="624"/>
      <c r="H555" s="85"/>
      <c r="I555" s="624"/>
      <c r="J555" s="85"/>
      <c r="K555" s="624"/>
      <c r="L555" s="85"/>
      <c r="M555" s="624"/>
      <c r="N555" s="85"/>
      <c r="O555" s="624"/>
      <c r="P555" s="85"/>
      <c r="Q555" s="626">
        <f t="shared" si="19"/>
        <v>0</v>
      </c>
      <c r="R555" s="85"/>
      <c r="S555" s="624"/>
      <c r="T555" s="260"/>
      <c r="U555" s="624"/>
      <c r="V555" s="85"/>
      <c r="W555" s="624"/>
      <c r="X555" s="81"/>
      <c r="Y555" s="80"/>
      <c r="Z555" s="737">
        <f ca="1">MAX(0%,IF(Q555&lt;&gt;0,MIN((S555-Q555)/Q555/'Underwriting Risk'!$E$27,'Premium and Reserve Risk'!$Z$551),'Premium and Reserve Risk'!$Z$551))</f>
        <v>0.19</v>
      </c>
      <c r="AA555" s="80"/>
      <c r="AB555" s="80"/>
      <c r="AC555" s="737">
        <f ca="1">MAX(0%,IF(U555&lt;&gt;0,MIN((W555-U555)/U555/'Underwriting Risk'!$E$27,'Premium and Reserve Risk'!$AC$551),'Premium and Reserve Risk'!$AC$551))</f>
        <v>0.17199999999999999</v>
      </c>
      <c r="AD555" s="81"/>
      <c r="AE555" s="97"/>
      <c r="AF555" s="97"/>
      <c r="AG555" s="97"/>
      <c r="AH555" s="97"/>
    </row>
    <row r="556" spans="1:34" ht="13.5" customHeight="1" x14ac:dyDescent="0.25">
      <c r="A556" s="97"/>
      <c r="B556" s="257">
        <v>4</v>
      </c>
      <c r="C556" s="652"/>
      <c r="D556" s="80"/>
      <c r="E556" s="80"/>
      <c r="F556" s="258">
        <f t="shared" ca="1" si="20"/>
        <v>0</v>
      </c>
      <c r="G556" s="624"/>
      <c r="H556" s="85"/>
      <c r="I556" s="624"/>
      <c r="J556" s="85"/>
      <c r="K556" s="624"/>
      <c r="L556" s="85"/>
      <c r="M556" s="624"/>
      <c r="N556" s="85"/>
      <c r="O556" s="624"/>
      <c r="P556" s="85"/>
      <c r="Q556" s="626">
        <f t="shared" si="19"/>
        <v>0</v>
      </c>
      <c r="R556" s="85"/>
      <c r="S556" s="624"/>
      <c r="T556" s="260"/>
      <c r="U556" s="624"/>
      <c r="V556" s="85"/>
      <c r="W556" s="624"/>
      <c r="X556" s="81"/>
      <c r="Y556" s="80"/>
      <c r="Z556" s="737">
        <f ca="1">MAX(0%,IF(Q556&lt;&gt;0,MIN((S556-Q556)/Q556/'Underwriting Risk'!$E$27,'Premium and Reserve Risk'!$Z$551),'Premium and Reserve Risk'!$Z$551))</f>
        <v>0.19</v>
      </c>
      <c r="AA556" s="80"/>
      <c r="AB556" s="80"/>
      <c r="AC556" s="737">
        <f ca="1">MAX(0%,IF(U556&lt;&gt;0,MIN((W556-U556)/U556/'Underwriting Risk'!$E$27,'Premium and Reserve Risk'!$AC$551),'Premium and Reserve Risk'!$AC$551))</f>
        <v>0.17199999999999999</v>
      </c>
      <c r="AD556" s="81"/>
      <c r="AE556" s="97"/>
      <c r="AF556" s="97"/>
      <c r="AG556" s="97"/>
      <c r="AH556" s="97"/>
    </row>
    <row r="557" spans="1:34" ht="13.5" customHeight="1" x14ac:dyDescent="0.25">
      <c r="A557" s="97"/>
      <c r="B557" s="257">
        <v>5</v>
      </c>
      <c r="C557" s="652"/>
      <c r="D557" s="80"/>
      <c r="E557" s="80"/>
      <c r="F557" s="258">
        <f t="shared" ca="1" si="20"/>
        <v>0</v>
      </c>
      <c r="G557" s="624"/>
      <c r="H557" s="85"/>
      <c r="I557" s="624"/>
      <c r="J557" s="85"/>
      <c r="K557" s="624"/>
      <c r="L557" s="85"/>
      <c r="M557" s="624"/>
      <c r="N557" s="85"/>
      <c r="O557" s="624"/>
      <c r="P557" s="85"/>
      <c r="Q557" s="626">
        <f t="shared" si="19"/>
        <v>0</v>
      </c>
      <c r="R557" s="85"/>
      <c r="S557" s="624"/>
      <c r="T557" s="260"/>
      <c r="U557" s="624"/>
      <c r="V557" s="85"/>
      <c r="W557" s="624"/>
      <c r="X557" s="81"/>
      <c r="Y557" s="80"/>
      <c r="Z557" s="737">
        <f ca="1">MAX(0%,IF(Q557&lt;&gt;0,MIN((S557-Q557)/Q557/'Underwriting Risk'!$E$27,'Premium and Reserve Risk'!$Z$551),'Premium and Reserve Risk'!$Z$551))</f>
        <v>0.19</v>
      </c>
      <c r="AA557" s="80"/>
      <c r="AB557" s="80"/>
      <c r="AC557" s="737">
        <f ca="1">MAX(0%,IF(U557&lt;&gt;0,MIN((W557-U557)/U557/'Underwriting Risk'!$E$27,'Premium and Reserve Risk'!$AC$551),'Premium and Reserve Risk'!$AC$551))</f>
        <v>0.17199999999999999</v>
      </c>
      <c r="AD557" s="81"/>
      <c r="AE557" s="97"/>
      <c r="AF557" s="97"/>
      <c r="AG557" s="97"/>
      <c r="AH557" s="97"/>
    </row>
    <row r="558" spans="1:34" ht="13.5" customHeight="1" x14ac:dyDescent="0.25">
      <c r="A558" s="97"/>
      <c r="B558" s="257">
        <v>6</v>
      </c>
      <c r="C558" s="652"/>
      <c r="D558" s="80"/>
      <c r="E558" s="80"/>
      <c r="F558" s="258">
        <f t="shared" ca="1" si="20"/>
        <v>0</v>
      </c>
      <c r="G558" s="624"/>
      <c r="H558" s="85"/>
      <c r="I558" s="624"/>
      <c r="J558" s="85"/>
      <c r="K558" s="624"/>
      <c r="L558" s="85"/>
      <c r="M558" s="624"/>
      <c r="N558" s="85"/>
      <c r="O558" s="624"/>
      <c r="P558" s="85"/>
      <c r="Q558" s="626">
        <f t="shared" si="19"/>
        <v>0</v>
      </c>
      <c r="R558" s="85"/>
      <c r="S558" s="624"/>
      <c r="T558" s="260"/>
      <c r="U558" s="624"/>
      <c r="V558" s="85"/>
      <c r="W558" s="624"/>
      <c r="X558" s="81"/>
      <c r="Y558" s="80"/>
      <c r="Z558" s="737">
        <f ca="1">MAX(0%,IF(Q558&lt;&gt;0,MIN((S558-Q558)/Q558/'Underwriting Risk'!$E$27,'Premium and Reserve Risk'!$Z$551),'Premium and Reserve Risk'!$Z$551))</f>
        <v>0.19</v>
      </c>
      <c r="AA558" s="80"/>
      <c r="AB558" s="80"/>
      <c r="AC558" s="737">
        <f ca="1">MAX(0%,IF(U558&lt;&gt;0,MIN((W558-U558)/U558/'Underwriting Risk'!$E$27,'Premium and Reserve Risk'!$AC$551),'Premium and Reserve Risk'!$AC$551))</f>
        <v>0.17199999999999999</v>
      </c>
      <c r="AD558" s="81"/>
      <c r="AE558" s="97"/>
      <c r="AF558" s="97"/>
      <c r="AG558" s="97"/>
      <c r="AH558" s="97"/>
    </row>
    <row r="559" spans="1:34" ht="13.5" customHeight="1" x14ac:dyDescent="0.25">
      <c r="A559" s="97"/>
      <c r="B559" s="257">
        <v>7</v>
      </c>
      <c r="C559" s="652"/>
      <c r="D559" s="80"/>
      <c r="E559" s="80"/>
      <c r="F559" s="258">
        <f t="shared" ca="1" si="20"/>
        <v>0</v>
      </c>
      <c r="G559" s="624"/>
      <c r="H559" s="85"/>
      <c r="I559" s="624"/>
      <c r="J559" s="85"/>
      <c r="K559" s="624"/>
      <c r="L559" s="85"/>
      <c r="M559" s="624"/>
      <c r="N559" s="85"/>
      <c r="O559" s="624"/>
      <c r="P559" s="85"/>
      <c r="Q559" s="626">
        <f t="shared" si="19"/>
        <v>0</v>
      </c>
      <c r="R559" s="85"/>
      <c r="S559" s="624"/>
      <c r="T559" s="260"/>
      <c r="U559" s="624"/>
      <c r="V559" s="85"/>
      <c r="W559" s="624"/>
      <c r="X559" s="81"/>
      <c r="Y559" s="80"/>
      <c r="Z559" s="737">
        <f ca="1">MAX(0%,IF(Q559&lt;&gt;0,MIN((S559-Q559)/Q559/'Underwriting Risk'!$E$27,'Premium and Reserve Risk'!$Z$551),'Premium and Reserve Risk'!$Z$551))</f>
        <v>0.19</v>
      </c>
      <c r="AA559" s="80"/>
      <c r="AB559" s="80"/>
      <c r="AC559" s="737">
        <f ca="1">MAX(0%,IF(U559&lt;&gt;0,MIN((W559-U559)/U559/'Underwriting Risk'!$E$27,'Premium and Reserve Risk'!$AC$551),'Premium and Reserve Risk'!$AC$551))</f>
        <v>0.17199999999999999</v>
      </c>
      <c r="AD559" s="81"/>
      <c r="AE559" s="97"/>
      <c r="AF559" s="97"/>
      <c r="AG559" s="97"/>
      <c r="AH559" s="97"/>
    </row>
    <row r="560" spans="1:34" ht="13.5" customHeight="1" x14ac:dyDescent="0.25">
      <c r="A560" s="97"/>
      <c r="B560" s="257">
        <v>8</v>
      </c>
      <c r="C560" s="652"/>
      <c r="D560" s="80"/>
      <c r="E560" s="80"/>
      <c r="F560" s="258">
        <f t="shared" ca="1" si="20"/>
        <v>0</v>
      </c>
      <c r="G560" s="624"/>
      <c r="H560" s="85"/>
      <c r="I560" s="624"/>
      <c r="J560" s="85"/>
      <c r="K560" s="624"/>
      <c r="L560" s="85"/>
      <c r="M560" s="624"/>
      <c r="N560" s="85"/>
      <c r="O560" s="624"/>
      <c r="P560" s="85"/>
      <c r="Q560" s="626">
        <f t="shared" si="19"/>
        <v>0</v>
      </c>
      <c r="R560" s="85"/>
      <c r="S560" s="624"/>
      <c r="T560" s="260"/>
      <c r="U560" s="624"/>
      <c r="V560" s="85"/>
      <c r="W560" s="624"/>
      <c r="X560" s="81"/>
      <c r="Y560" s="80"/>
      <c r="Z560" s="737">
        <f ca="1">MAX(0%,IF(Q560&lt;&gt;0,MIN((S560-Q560)/Q560/'Underwriting Risk'!$E$27,'Premium and Reserve Risk'!$Z$551),'Premium and Reserve Risk'!$Z$551))</f>
        <v>0.19</v>
      </c>
      <c r="AA560" s="80"/>
      <c r="AB560" s="80"/>
      <c r="AC560" s="737">
        <f ca="1">MAX(0%,IF(U560&lt;&gt;0,MIN((W560-U560)/U560/'Underwriting Risk'!$E$27,'Premium and Reserve Risk'!$AC$551),'Premium and Reserve Risk'!$AC$551))</f>
        <v>0.17199999999999999</v>
      </c>
      <c r="AD560" s="81"/>
      <c r="AE560" s="97"/>
      <c r="AF560" s="97"/>
      <c r="AG560" s="97"/>
      <c r="AH560" s="97"/>
    </row>
    <row r="561" spans="1:34" ht="13.5" customHeight="1" x14ac:dyDescent="0.25">
      <c r="A561" s="97"/>
      <c r="B561" s="257">
        <v>9</v>
      </c>
      <c r="C561" s="652"/>
      <c r="D561" s="80"/>
      <c r="E561" s="80"/>
      <c r="F561" s="258">
        <f t="shared" ca="1" si="20"/>
        <v>0</v>
      </c>
      <c r="G561" s="624"/>
      <c r="H561" s="85"/>
      <c r="I561" s="624"/>
      <c r="J561" s="85"/>
      <c r="K561" s="624"/>
      <c r="L561" s="85"/>
      <c r="M561" s="624"/>
      <c r="N561" s="85"/>
      <c r="O561" s="624"/>
      <c r="P561" s="85"/>
      <c r="Q561" s="626">
        <f t="shared" si="19"/>
        <v>0</v>
      </c>
      <c r="R561" s="85"/>
      <c r="S561" s="624"/>
      <c r="T561" s="260"/>
      <c r="U561" s="624"/>
      <c r="V561" s="85"/>
      <c r="W561" s="624"/>
      <c r="X561" s="81"/>
      <c r="Y561" s="80"/>
      <c r="Z561" s="737">
        <f ca="1">MAX(0%,IF(Q561&lt;&gt;0,MIN((S561-Q561)/Q561/'Underwriting Risk'!$E$27,'Premium and Reserve Risk'!$Z$551),'Premium and Reserve Risk'!$Z$551))</f>
        <v>0.19</v>
      </c>
      <c r="AA561" s="80"/>
      <c r="AB561" s="80"/>
      <c r="AC561" s="737">
        <f ca="1">MAX(0%,IF(U561&lt;&gt;0,MIN((W561-U561)/U561/'Underwriting Risk'!$E$27,'Premium and Reserve Risk'!$AC$551),'Premium and Reserve Risk'!$AC$551))</f>
        <v>0.17199999999999999</v>
      </c>
      <c r="AD561" s="81"/>
      <c r="AE561" s="97"/>
      <c r="AF561" s="97"/>
      <c r="AG561" s="97"/>
      <c r="AH561" s="97"/>
    </row>
    <row r="562" spans="1:34" ht="13.5" customHeight="1" x14ac:dyDescent="0.25">
      <c r="A562" s="97"/>
      <c r="B562" s="257">
        <v>10</v>
      </c>
      <c r="C562" s="652"/>
      <c r="D562" s="80"/>
      <c r="E562" s="80"/>
      <c r="F562" s="258">
        <f t="shared" ca="1" si="20"/>
        <v>0</v>
      </c>
      <c r="G562" s="624"/>
      <c r="H562" s="85"/>
      <c r="I562" s="624"/>
      <c r="J562" s="85"/>
      <c r="K562" s="624"/>
      <c r="L562" s="85"/>
      <c r="M562" s="624"/>
      <c r="N562" s="85"/>
      <c r="O562" s="624"/>
      <c r="P562" s="85"/>
      <c r="Q562" s="626">
        <f t="shared" si="19"/>
        <v>0</v>
      </c>
      <c r="R562" s="85"/>
      <c r="S562" s="624"/>
      <c r="T562" s="260"/>
      <c r="U562" s="624"/>
      <c r="V562" s="85"/>
      <c r="W562" s="624"/>
      <c r="X562" s="81"/>
      <c r="Y562" s="80"/>
      <c r="Z562" s="737">
        <f ca="1">MAX(0%,IF(Q562&lt;&gt;0,MIN((S562-Q562)/Q562/'Underwriting Risk'!$E$27,'Premium and Reserve Risk'!$Z$551),'Premium and Reserve Risk'!$Z$551))</f>
        <v>0.19</v>
      </c>
      <c r="AA562" s="80"/>
      <c r="AB562" s="80"/>
      <c r="AC562" s="737">
        <f ca="1">MAX(0%,IF(U562&lt;&gt;0,MIN((W562-U562)/U562/'Underwriting Risk'!$E$27,'Premium and Reserve Risk'!$AC$551),'Premium and Reserve Risk'!$AC$551))</f>
        <v>0.17199999999999999</v>
      </c>
      <c r="AD562" s="81"/>
      <c r="AE562" s="97"/>
      <c r="AF562" s="97"/>
      <c r="AG562" s="97"/>
      <c r="AH562" s="97"/>
    </row>
    <row r="563" spans="1:34" ht="13.5" customHeight="1" x14ac:dyDescent="0.25">
      <c r="A563" s="97"/>
      <c r="B563" s="257">
        <v>11</v>
      </c>
      <c r="C563" s="652"/>
      <c r="D563" s="80"/>
      <c r="E563" s="80"/>
      <c r="F563" s="258">
        <f t="shared" ca="1" si="20"/>
        <v>0</v>
      </c>
      <c r="G563" s="624"/>
      <c r="H563" s="85"/>
      <c r="I563" s="624"/>
      <c r="J563" s="85"/>
      <c r="K563" s="624"/>
      <c r="L563" s="85"/>
      <c r="M563" s="624"/>
      <c r="N563" s="85"/>
      <c r="O563" s="624"/>
      <c r="P563" s="85"/>
      <c r="Q563" s="626">
        <f t="shared" si="19"/>
        <v>0</v>
      </c>
      <c r="R563" s="85"/>
      <c r="S563" s="624"/>
      <c r="T563" s="260"/>
      <c r="U563" s="624"/>
      <c r="V563" s="85"/>
      <c r="W563" s="624"/>
      <c r="X563" s="81"/>
      <c r="Y563" s="80"/>
      <c r="Z563" s="737">
        <f ca="1">MAX(0%,IF(Q563&lt;&gt;0,MIN((S563-Q563)/Q563/'Underwriting Risk'!$E$27,'Premium and Reserve Risk'!$Z$551),'Premium and Reserve Risk'!$Z$551))</f>
        <v>0.19</v>
      </c>
      <c r="AA563" s="80"/>
      <c r="AB563" s="80"/>
      <c r="AC563" s="737">
        <f ca="1">MAX(0%,IF(U563&lt;&gt;0,MIN((W563-U563)/U563/'Underwriting Risk'!$E$27,'Premium and Reserve Risk'!$AC$551),'Premium and Reserve Risk'!$AC$551))</f>
        <v>0.17199999999999999</v>
      </c>
      <c r="AD563" s="81"/>
      <c r="AE563" s="97"/>
      <c r="AF563" s="97"/>
      <c r="AG563" s="97"/>
      <c r="AH563" s="97"/>
    </row>
    <row r="564" spans="1:34" ht="13.5" customHeight="1" x14ac:dyDescent="0.25">
      <c r="A564" s="97"/>
      <c r="B564" s="257">
        <v>12</v>
      </c>
      <c r="C564" s="652"/>
      <c r="D564" s="80"/>
      <c r="E564" s="80"/>
      <c r="F564" s="258">
        <f t="shared" ca="1" si="20"/>
        <v>0</v>
      </c>
      <c r="G564" s="624"/>
      <c r="H564" s="85"/>
      <c r="I564" s="624"/>
      <c r="J564" s="85"/>
      <c r="K564" s="624"/>
      <c r="L564" s="85"/>
      <c r="M564" s="624"/>
      <c r="N564" s="85"/>
      <c r="O564" s="624"/>
      <c r="P564" s="85"/>
      <c r="Q564" s="626">
        <f t="shared" si="19"/>
        <v>0</v>
      </c>
      <c r="R564" s="85"/>
      <c r="S564" s="624"/>
      <c r="T564" s="260"/>
      <c r="U564" s="624"/>
      <c r="V564" s="85"/>
      <c r="W564" s="624"/>
      <c r="X564" s="81"/>
      <c r="Y564" s="80"/>
      <c r="Z564" s="737">
        <f ca="1">MAX(0%,IF(Q564&lt;&gt;0,MIN((S564-Q564)/Q564/'Underwriting Risk'!$E$27,'Premium and Reserve Risk'!$Z$551),'Premium and Reserve Risk'!$Z$551))</f>
        <v>0.19</v>
      </c>
      <c r="AA564" s="80"/>
      <c r="AB564" s="80"/>
      <c r="AC564" s="737">
        <f ca="1">MAX(0%,IF(U564&lt;&gt;0,MIN((W564-U564)/U564/'Underwriting Risk'!$E$27,'Premium and Reserve Risk'!$AC$551),'Premium and Reserve Risk'!$AC$551))</f>
        <v>0.17199999999999999</v>
      </c>
      <c r="AD564" s="81"/>
      <c r="AE564" s="97"/>
      <c r="AF564" s="97"/>
      <c r="AG564" s="97"/>
      <c r="AH564" s="97"/>
    </row>
    <row r="565" spans="1:34" ht="13.5" customHeight="1" x14ac:dyDescent="0.25">
      <c r="A565" s="97"/>
      <c r="B565" s="257">
        <v>13</v>
      </c>
      <c r="C565" s="652"/>
      <c r="D565" s="80"/>
      <c r="E565" s="80"/>
      <c r="F565" s="258">
        <f t="shared" ca="1" si="20"/>
        <v>0</v>
      </c>
      <c r="G565" s="624"/>
      <c r="H565" s="85"/>
      <c r="I565" s="624"/>
      <c r="J565" s="85"/>
      <c r="K565" s="624"/>
      <c r="L565" s="85"/>
      <c r="M565" s="624"/>
      <c r="N565" s="85"/>
      <c r="O565" s="624"/>
      <c r="P565" s="85"/>
      <c r="Q565" s="626">
        <f t="shared" si="19"/>
        <v>0</v>
      </c>
      <c r="R565" s="85"/>
      <c r="S565" s="624"/>
      <c r="T565" s="260"/>
      <c r="U565" s="624"/>
      <c r="V565" s="85"/>
      <c r="W565" s="624"/>
      <c r="X565" s="81"/>
      <c r="Y565" s="80"/>
      <c r="Z565" s="737">
        <f ca="1">MAX(0%,IF(Q565&lt;&gt;0,MIN((S565-Q565)/Q565/'Underwriting Risk'!$E$27,'Premium and Reserve Risk'!$Z$551),'Premium and Reserve Risk'!$Z$551))</f>
        <v>0.19</v>
      </c>
      <c r="AA565" s="80"/>
      <c r="AB565" s="80"/>
      <c r="AC565" s="737">
        <f ca="1">MAX(0%,IF(U565&lt;&gt;0,MIN((W565-U565)/U565/'Underwriting Risk'!$E$27,'Premium and Reserve Risk'!$AC$551),'Premium and Reserve Risk'!$AC$551))</f>
        <v>0.17199999999999999</v>
      </c>
      <c r="AD565" s="81"/>
      <c r="AE565" s="97"/>
      <c r="AF565" s="97"/>
      <c r="AG565" s="97"/>
      <c r="AH565" s="97"/>
    </row>
    <row r="566" spans="1:34" ht="13.5" customHeight="1" x14ac:dyDescent="0.25">
      <c r="A566" s="97"/>
      <c r="B566" s="257">
        <v>14</v>
      </c>
      <c r="C566" s="652"/>
      <c r="D566" s="80"/>
      <c r="E566" s="80"/>
      <c r="F566" s="258">
        <f t="shared" ca="1" si="20"/>
        <v>0</v>
      </c>
      <c r="G566" s="624"/>
      <c r="H566" s="85"/>
      <c r="I566" s="624"/>
      <c r="J566" s="85"/>
      <c r="K566" s="624"/>
      <c r="L566" s="85"/>
      <c r="M566" s="624"/>
      <c r="N566" s="85"/>
      <c r="O566" s="624"/>
      <c r="P566" s="85"/>
      <c r="Q566" s="626">
        <f t="shared" si="19"/>
        <v>0</v>
      </c>
      <c r="R566" s="85"/>
      <c r="S566" s="624"/>
      <c r="T566" s="260"/>
      <c r="U566" s="624"/>
      <c r="V566" s="85"/>
      <c r="W566" s="624"/>
      <c r="X566" s="81"/>
      <c r="Y566" s="80"/>
      <c r="Z566" s="737">
        <f ca="1">MAX(0%,IF(Q566&lt;&gt;0,MIN((S566-Q566)/Q566/'Underwriting Risk'!$E$27,'Premium and Reserve Risk'!$Z$551),'Premium and Reserve Risk'!$Z$551))</f>
        <v>0.19</v>
      </c>
      <c r="AA566" s="80"/>
      <c r="AB566" s="80"/>
      <c r="AC566" s="737">
        <f ca="1">MAX(0%,IF(U566&lt;&gt;0,MIN((W566-U566)/U566/'Underwriting Risk'!$E$27,'Premium and Reserve Risk'!$AC$551),'Premium and Reserve Risk'!$AC$551))</f>
        <v>0.17199999999999999</v>
      </c>
      <c r="AD566" s="81"/>
      <c r="AE566" s="97"/>
      <c r="AF566" s="97"/>
      <c r="AG566" s="97"/>
      <c r="AH566" s="97"/>
    </row>
    <row r="567" spans="1:34" ht="13.5" customHeight="1" x14ac:dyDescent="0.25">
      <c r="A567" s="97"/>
      <c r="B567" s="257">
        <v>15</v>
      </c>
      <c r="C567" s="652"/>
      <c r="D567" s="80"/>
      <c r="E567" s="80"/>
      <c r="F567" s="258">
        <f t="shared" ca="1" si="20"/>
        <v>0</v>
      </c>
      <c r="G567" s="624"/>
      <c r="H567" s="85"/>
      <c r="I567" s="624"/>
      <c r="J567" s="85"/>
      <c r="K567" s="624"/>
      <c r="L567" s="85"/>
      <c r="M567" s="624"/>
      <c r="N567" s="85"/>
      <c r="O567" s="624"/>
      <c r="P567" s="85"/>
      <c r="Q567" s="626">
        <f t="shared" si="19"/>
        <v>0</v>
      </c>
      <c r="R567" s="85"/>
      <c r="S567" s="624"/>
      <c r="T567" s="260"/>
      <c r="U567" s="624"/>
      <c r="V567" s="85"/>
      <c r="W567" s="624"/>
      <c r="X567" s="81"/>
      <c r="Y567" s="80"/>
      <c r="Z567" s="737">
        <f ca="1">MAX(0%,IF(Q567&lt;&gt;0,MIN((S567-Q567)/Q567/'Underwriting Risk'!$E$27,'Premium and Reserve Risk'!$Z$551),'Premium and Reserve Risk'!$Z$551))</f>
        <v>0.19</v>
      </c>
      <c r="AA567" s="80"/>
      <c r="AB567" s="80"/>
      <c r="AC567" s="737">
        <f ca="1">MAX(0%,IF(U567&lt;&gt;0,MIN((W567-U567)/U567/'Underwriting Risk'!$E$27,'Premium and Reserve Risk'!$AC$551),'Premium and Reserve Risk'!$AC$551))</f>
        <v>0.17199999999999999</v>
      </c>
      <c r="AD567" s="81"/>
      <c r="AE567" s="97"/>
      <c r="AF567" s="97"/>
      <c r="AG567" s="97"/>
      <c r="AH567" s="97"/>
    </row>
    <row r="568" spans="1:34" ht="13.5" customHeight="1" x14ac:dyDescent="0.25">
      <c r="A568" s="97"/>
      <c r="B568" s="257">
        <v>16</v>
      </c>
      <c r="C568" s="652"/>
      <c r="D568" s="80"/>
      <c r="E568" s="80"/>
      <c r="F568" s="258">
        <f t="shared" ca="1" si="20"/>
        <v>0</v>
      </c>
      <c r="G568" s="624"/>
      <c r="H568" s="85"/>
      <c r="I568" s="624"/>
      <c r="J568" s="85"/>
      <c r="K568" s="624"/>
      <c r="L568" s="85"/>
      <c r="M568" s="624"/>
      <c r="N568" s="85"/>
      <c r="O568" s="624"/>
      <c r="P568" s="85"/>
      <c r="Q568" s="626">
        <f t="shared" si="19"/>
        <v>0</v>
      </c>
      <c r="R568" s="85"/>
      <c r="S568" s="624"/>
      <c r="T568" s="260"/>
      <c r="U568" s="624"/>
      <c r="V568" s="85"/>
      <c r="W568" s="624"/>
      <c r="X568" s="81"/>
      <c r="Y568" s="80"/>
      <c r="Z568" s="737">
        <f ca="1">MAX(0%,IF(Q568&lt;&gt;0,MIN((S568-Q568)/Q568/'Underwriting Risk'!$E$27,'Premium and Reserve Risk'!$Z$551),'Premium and Reserve Risk'!$Z$551))</f>
        <v>0.19</v>
      </c>
      <c r="AA568" s="80"/>
      <c r="AB568" s="80"/>
      <c r="AC568" s="737">
        <f ca="1">MAX(0%,IF(U568&lt;&gt;0,MIN((W568-U568)/U568/'Underwriting Risk'!$E$27,'Premium and Reserve Risk'!$AC$551),'Premium and Reserve Risk'!$AC$551))</f>
        <v>0.17199999999999999</v>
      </c>
      <c r="AD568" s="81"/>
      <c r="AE568" s="97"/>
      <c r="AF568" s="97"/>
      <c r="AG568" s="97"/>
      <c r="AH568" s="97"/>
    </row>
    <row r="569" spans="1:34" ht="13.5" customHeight="1" x14ac:dyDescent="0.25">
      <c r="A569" s="97"/>
      <c r="B569" s="257">
        <v>17</v>
      </c>
      <c r="C569" s="652"/>
      <c r="D569" s="80"/>
      <c r="E569" s="80"/>
      <c r="F569" s="258">
        <f t="shared" ca="1" si="20"/>
        <v>0</v>
      </c>
      <c r="G569" s="624"/>
      <c r="H569" s="85"/>
      <c r="I569" s="624"/>
      <c r="J569" s="85"/>
      <c r="K569" s="624"/>
      <c r="L569" s="85"/>
      <c r="M569" s="624"/>
      <c r="N569" s="85"/>
      <c r="O569" s="624"/>
      <c r="P569" s="85"/>
      <c r="Q569" s="626">
        <f t="shared" si="19"/>
        <v>0</v>
      </c>
      <c r="R569" s="85"/>
      <c r="S569" s="624"/>
      <c r="T569" s="260"/>
      <c r="U569" s="624"/>
      <c r="V569" s="85"/>
      <c r="W569" s="624"/>
      <c r="X569" s="81"/>
      <c r="Y569" s="80"/>
      <c r="Z569" s="737">
        <f ca="1">MAX(0%,IF(Q569&lt;&gt;0,MIN((S569-Q569)/Q569/'Underwriting Risk'!$E$27,'Premium and Reserve Risk'!$Z$551),'Premium and Reserve Risk'!$Z$551))</f>
        <v>0.19</v>
      </c>
      <c r="AA569" s="80"/>
      <c r="AB569" s="80"/>
      <c r="AC569" s="737">
        <f ca="1">MAX(0%,IF(U569&lt;&gt;0,MIN((W569-U569)/U569/'Underwriting Risk'!$E$27,'Premium and Reserve Risk'!$AC$551),'Premium and Reserve Risk'!$AC$551))</f>
        <v>0.17199999999999999</v>
      </c>
      <c r="AD569" s="81"/>
      <c r="AE569" s="97"/>
      <c r="AF569" s="97"/>
      <c r="AG569" s="97"/>
      <c r="AH569" s="97"/>
    </row>
    <row r="570" spans="1:34" ht="13.5" customHeight="1" x14ac:dyDescent="0.25">
      <c r="A570" s="97"/>
      <c r="B570" s="257">
        <v>18</v>
      </c>
      <c r="C570" s="652"/>
      <c r="D570" s="80"/>
      <c r="E570" s="80"/>
      <c r="F570" s="258">
        <f t="shared" ca="1" si="20"/>
        <v>0</v>
      </c>
      <c r="G570" s="624"/>
      <c r="H570" s="85"/>
      <c r="I570" s="624"/>
      <c r="J570" s="85"/>
      <c r="K570" s="624"/>
      <c r="L570" s="85"/>
      <c r="M570" s="624"/>
      <c r="N570" s="85"/>
      <c r="O570" s="624"/>
      <c r="P570" s="85"/>
      <c r="Q570" s="626">
        <f t="shared" si="19"/>
        <v>0</v>
      </c>
      <c r="R570" s="85"/>
      <c r="S570" s="624"/>
      <c r="T570" s="260"/>
      <c r="U570" s="624"/>
      <c r="V570" s="85"/>
      <c r="W570" s="624"/>
      <c r="X570" s="81"/>
      <c r="Y570" s="80"/>
      <c r="Z570" s="737">
        <f ca="1">MAX(0%,IF(Q570&lt;&gt;0,MIN((S570-Q570)/Q570/'Underwriting Risk'!$E$27,'Premium and Reserve Risk'!$Z$551),'Premium and Reserve Risk'!$Z$551))</f>
        <v>0.19</v>
      </c>
      <c r="AA570" s="80"/>
      <c r="AB570" s="80"/>
      <c r="AC570" s="737">
        <f ca="1">MAX(0%,IF(U570&lt;&gt;0,MIN((W570-U570)/U570/'Underwriting Risk'!$E$27,'Premium and Reserve Risk'!$AC$551),'Premium and Reserve Risk'!$AC$551))</f>
        <v>0.17199999999999999</v>
      </c>
      <c r="AD570" s="81"/>
      <c r="AE570" s="97"/>
      <c r="AF570" s="97"/>
      <c r="AG570" s="97"/>
      <c r="AH570" s="97"/>
    </row>
    <row r="571" spans="1:34" ht="13.5" customHeight="1" x14ac:dyDescent="0.25">
      <c r="A571" s="97"/>
      <c r="B571" s="257">
        <v>19</v>
      </c>
      <c r="C571" s="652"/>
      <c r="D571" s="80"/>
      <c r="E571" s="80"/>
      <c r="F571" s="258">
        <f t="shared" ca="1" si="20"/>
        <v>0</v>
      </c>
      <c r="G571" s="624"/>
      <c r="H571" s="85"/>
      <c r="I571" s="624"/>
      <c r="J571" s="85"/>
      <c r="K571" s="624"/>
      <c r="L571" s="85"/>
      <c r="M571" s="624"/>
      <c r="N571" s="85"/>
      <c r="O571" s="624"/>
      <c r="P571" s="85"/>
      <c r="Q571" s="626">
        <f t="shared" si="19"/>
        <v>0</v>
      </c>
      <c r="R571" s="85"/>
      <c r="S571" s="624"/>
      <c r="T571" s="260"/>
      <c r="U571" s="624"/>
      <c r="V571" s="85"/>
      <c r="W571" s="624"/>
      <c r="X571" s="81"/>
      <c r="Y571" s="80"/>
      <c r="Z571" s="737">
        <f ca="1">MAX(0%,IF(Q571&lt;&gt;0,MIN((S571-Q571)/Q571/'Underwriting Risk'!$E$27,'Premium and Reserve Risk'!$Z$551),'Premium and Reserve Risk'!$Z$551))</f>
        <v>0.19</v>
      </c>
      <c r="AA571" s="80"/>
      <c r="AB571" s="80"/>
      <c r="AC571" s="737">
        <f ca="1">MAX(0%,IF(U571&lt;&gt;0,MIN((W571-U571)/U571/'Underwriting Risk'!$E$27,'Premium and Reserve Risk'!$AC$551),'Premium and Reserve Risk'!$AC$551))</f>
        <v>0.17199999999999999</v>
      </c>
      <c r="AD571" s="81"/>
      <c r="AE571" s="97"/>
      <c r="AF571" s="97"/>
      <c r="AG571" s="97"/>
      <c r="AH571" s="97"/>
    </row>
    <row r="572" spans="1:34" ht="13.5" customHeight="1" x14ac:dyDescent="0.25">
      <c r="A572" s="97"/>
      <c r="B572" s="257">
        <v>20</v>
      </c>
      <c r="C572" s="652"/>
      <c r="D572" s="80"/>
      <c r="E572" s="80"/>
      <c r="F572" s="258">
        <f t="shared" ca="1" si="20"/>
        <v>0</v>
      </c>
      <c r="G572" s="624"/>
      <c r="H572" s="85"/>
      <c r="I572" s="624"/>
      <c r="J572" s="85"/>
      <c r="K572" s="624"/>
      <c r="L572" s="85"/>
      <c r="M572" s="624"/>
      <c r="N572" s="85"/>
      <c r="O572" s="624"/>
      <c r="P572" s="85"/>
      <c r="Q572" s="626">
        <f t="shared" si="19"/>
        <v>0</v>
      </c>
      <c r="R572" s="85"/>
      <c r="S572" s="624"/>
      <c r="T572" s="260"/>
      <c r="U572" s="624"/>
      <c r="V572" s="85"/>
      <c r="W572" s="624"/>
      <c r="X572" s="81"/>
      <c r="Y572" s="80"/>
      <c r="Z572" s="737">
        <f ca="1">MAX(0%,IF(Q572&lt;&gt;0,MIN((S572-Q572)/Q572/'Underwriting Risk'!$E$27,'Premium and Reserve Risk'!$Z$551),'Premium and Reserve Risk'!$Z$551))</f>
        <v>0.19</v>
      </c>
      <c r="AA572" s="80"/>
      <c r="AB572" s="80"/>
      <c r="AC572" s="737">
        <f ca="1">MAX(0%,IF(U572&lt;&gt;0,MIN((W572-U572)/U572/'Underwriting Risk'!$E$27,'Premium and Reserve Risk'!$AC$551),'Premium and Reserve Risk'!$AC$551))</f>
        <v>0.17199999999999999</v>
      </c>
      <c r="AD572" s="81"/>
      <c r="AE572" s="97"/>
      <c r="AF572" s="97"/>
      <c r="AG572" s="97"/>
      <c r="AH572" s="97"/>
    </row>
    <row r="573" spans="1:34" ht="13.5" customHeight="1" x14ac:dyDescent="0.25">
      <c r="A573" s="97"/>
      <c r="B573" s="257">
        <v>21</v>
      </c>
      <c r="C573" s="652"/>
      <c r="D573" s="80"/>
      <c r="E573" s="80"/>
      <c r="F573" s="258">
        <f t="shared" ca="1" si="20"/>
        <v>0</v>
      </c>
      <c r="G573" s="624"/>
      <c r="H573" s="85"/>
      <c r="I573" s="624"/>
      <c r="J573" s="85"/>
      <c r="K573" s="624"/>
      <c r="L573" s="85"/>
      <c r="M573" s="624"/>
      <c r="N573" s="85"/>
      <c r="O573" s="624"/>
      <c r="P573" s="85"/>
      <c r="Q573" s="626">
        <f t="shared" si="19"/>
        <v>0</v>
      </c>
      <c r="R573" s="85"/>
      <c r="S573" s="624"/>
      <c r="T573" s="260"/>
      <c r="U573" s="624"/>
      <c r="V573" s="85"/>
      <c r="W573" s="624"/>
      <c r="X573" s="81"/>
      <c r="Y573" s="80"/>
      <c r="Z573" s="737">
        <f ca="1">MAX(0%,IF(Q573&lt;&gt;0,MIN((S573-Q573)/Q573/'Underwriting Risk'!$E$27,'Premium and Reserve Risk'!$Z$551),'Premium and Reserve Risk'!$Z$551))</f>
        <v>0.19</v>
      </c>
      <c r="AA573" s="80"/>
      <c r="AB573" s="80"/>
      <c r="AC573" s="737">
        <f ca="1">MAX(0%,IF(U573&lt;&gt;0,MIN((W573-U573)/U573/'Underwriting Risk'!$E$27,'Premium and Reserve Risk'!$AC$551),'Premium and Reserve Risk'!$AC$551))</f>
        <v>0.17199999999999999</v>
      </c>
      <c r="AD573" s="81"/>
      <c r="AE573" s="97"/>
      <c r="AF573" s="97"/>
      <c r="AG573" s="97"/>
      <c r="AH573" s="97"/>
    </row>
    <row r="574" spans="1:34" ht="13.5" customHeight="1" x14ac:dyDescent="0.25">
      <c r="A574" s="97"/>
      <c r="B574" s="257">
        <v>22</v>
      </c>
      <c r="C574" s="652"/>
      <c r="D574" s="80"/>
      <c r="E574" s="80"/>
      <c r="F574" s="258">
        <f t="shared" ca="1" si="20"/>
        <v>0</v>
      </c>
      <c r="G574" s="624"/>
      <c r="H574" s="85"/>
      <c r="I574" s="624"/>
      <c r="J574" s="85"/>
      <c r="K574" s="624"/>
      <c r="L574" s="85"/>
      <c r="M574" s="624"/>
      <c r="N574" s="85"/>
      <c r="O574" s="624"/>
      <c r="P574" s="85"/>
      <c r="Q574" s="626">
        <f t="shared" si="19"/>
        <v>0</v>
      </c>
      <c r="R574" s="85"/>
      <c r="S574" s="624"/>
      <c r="T574" s="260"/>
      <c r="U574" s="624"/>
      <c r="V574" s="85"/>
      <c r="W574" s="624"/>
      <c r="X574" s="81"/>
      <c r="Y574" s="80"/>
      <c r="Z574" s="737">
        <f ca="1">MAX(0%,IF(Q574&lt;&gt;0,MIN((S574-Q574)/Q574/'Underwriting Risk'!$E$27,'Premium and Reserve Risk'!$Z$551),'Premium and Reserve Risk'!$Z$551))</f>
        <v>0.19</v>
      </c>
      <c r="AA574" s="80"/>
      <c r="AB574" s="80"/>
      <c r="AC574" s="737">
        <f ca="1">MAX(0%,IF(U574&lt;&gt;0,MIN((W574-U574)/U574/'Underwriting Risk'!$E$27,'Premium and Reserve Risk'!$AC$551),'Premium and Reserve Risk'!$AC$551))</f>
        <v>0.17199999999999999</v>
      </c>
      <c r="AD574" s="81"/>
      <c r="AE574" s="97"/>
      <c r="AF574" s="97"/>
      <c r="AG574" s="97"/>
      <c r="AH574" s="97"/>
    </row>
    <row r="575" spans="1:34" ht="13.5" customHeight="1" x14ac:dyDescent="0.25">
      <c r="A575" s="97"/>
      <c r="B575" s="257">
        <v>23</v>
      </c>
      <c r="C575" s="652"/>
      <c r="D575" s="80"/>
      <c r="E575" s="80"/>
      <c r="F575" s="258">
        <f t="shared" ca="1" si="20"/>
        <v>0</v>
      </c>
      <c r="G575" s="624"/>
      <c r="H575" s="85"/>
      <c r="I575" s="624"/>
      <c r="J575" s="85"/>
      <c r="K575" s="624"/>
      <c r="L575" s="85"/>
      <c r="M575" s="624"/>
      <c r="N575" s="85"/>
      <c r="O575" s="624"/>
      <c r="P575" s="85"/>
      <c r="Q575" s="626">
        <f t="shared" si="19"/>
        <v>0</v>
      </c>
      <c r="R575" s="85"/>
      <c r="S575" s="624"/>
      <c r="T575" s="260"/>
      <c r="U575" s="624"/>
      <c r="V575" s="85"/>
      <c r="W575" s="624"/>
      <c r="X575" s="81"/>
      <c r="Y575" s="80"/>
      <c r="Z575" s="737">
        <f ca="1">MAX(0%,IF(Q575&lt;&gt;0,MIN((S575-Q575)/Q575/'Underwriting Risk'!$E$27,'Premium and Reserve Risk'!$Z$551),'Premium and Reserve Risk'!$Z$551))</f>
        <v>0.19</v>
      </c>
      <c r="AA575" s="80"/>
      <c r="AB575" s="80"/>
      <c r="AC575" s="737">
        <f ca="1">MAX(0%,IF(U575&lt;&gt;0,MIN((W575-U575)/U575/'Underwriting Risk'!$E$27,'Premium and Reserve Risk'!$AC$551),'Premium and Reserve Risk'!$AC$551))</f>
        <v>0.17199999999999999</v>
      </c>
      <c r="AD575" s="81"/>
      <c r="AE575" s="97"/>
      <c r="AF575" s="97"/>
      <c r="AG575" s="97"/>
      <c r="AH575" s="97"/>
    </row>
    <row r="576" spans="1:34" ht="13.5" customHeight="1" x14ac:dyDescent="0.25">
      <c r="A576" s="97"/>
      <c r="B576" s="257">
        <v>24</v>
      </c>
      <c r="C576" s="652"/>
      <c r="D576" s="80"/>
      <c r="E576" s="80"/>
      <c r="F576" s="258">
        <f t="shared" ca="1" si="20"/>
        <v>0</v>
      </c>
      <c r="G576" s="624"/>
      <c r="H576" s="85"/>
      <c r="I576" s="624"/>
      <c r="J576" s="85"/>
      <c r="K576" s="624"/>
      <c r="L576" s="85"/>
      <c r="M576" s="624"/>
      <c r="N576" s="85"/>
      <c r="O576" s="624"/>
      <c r="P576" s="85"/>
      <c r="Q576" s="626">
        <f t="shared" si="19"/>
        <v>0</v>
      </c>
      <c r="R576" s="85"/>
      <c r="S576" s="624"/>
      <c r="T576" s="260"/>
      <c r="U576" s="624"/>
      <c r="V576" s="85"/>
      <c r="W576" s="624"/>
      <c r="X576" s="81"/>
      <c r="Y576" s="80"/>
      <c r="Z576" s="737">
        <f ca="1">MAX(0%,IF(Q576&lt;&gt;0,MIN((S576-Q576)/Q576/'Underwriting Risk'!$E$27,'Premium and Reserve Risk'!$Z$551),'Premium and Reserve Risk'!$Z$551))</f>
        <v>0.19</v>
      </c>
      <c r="AA576" s="80"/>
      <c r="AB576" s="80"/>
      <c r="AC576" s="737">
        <f ca="1">MAX(0%,IF(U576&lt;&gt;0,MIN((W576-U576)/U576/'Underwriting Risk'!$E$27,'Premium and Reserve Risk'!$AC$551),'Premium and Reserve Risk'!$AC$551))</f>
        <v>0.17199999999999999</v>
      </c>
      <c r="AD576" s="81"/>
      <c r="AE576" s="97"/>
      <c r="AF576" s="97"/>
      <c r="AG576" s="97"/>
      <c r="AH576" s="97"/>
    </row>
    <row r="577" spans="1:34" ht="13.5" customHeight="1" x14ac:dyDescent="0.25">
      <c r="A577" s="97"/>
      <c r="B577" s="257">
        <v>25</v>
      </c>
      <c r="C577" s="652"/>
      <c r="D577" s="80"/>
      <c r="E577" s="80"/>
      <c r="F577" s="258">
        <f t="shared" ca="1" si="20"/>
        <v>0</v>
      </c>
      <c r="G577" s="624"/>
      <c r="H577" s="85"/>
      <c r="I577" s="624"/>
      <c r="J577" s="85"/>
      <c r="K577" s="624"/>
      <c r="L577" s="85"/>
      <c r="M577" s="624"/>
      <c r="N577" s="85"/>
      <c r="O577" s="624"/>
      <c r="P577" s="85"/>
      <c r="Q577" s="626">
        <f t="shared" si="19"/>
        <v>0</v>
      </c>
      <c r="R577" s="85"/>
      <c r="S577" s="624"/>
      <c r="T577" s="260"/>
      <c r="U577" s="624"/>
      <c r="V577" s="85"/>
      <c r="W577" s="624"/>
      <c r="X577" s="81"/>
      <c r="Y577" s="80"/>
      <c r="Z577" s="737">
        <f ca="1">MAX(0%,IF(Q577&lt;&gt;0,MIN((S577-Q577)/Q577/'Underwriting Risk'!$E$27,'Premium and Reserve Risk'!$Z$551),'Premium and Reserve Risk'!$Z$551))</f>
        <v>0.19</v>
      </c>
      <c r="AA577" s="80"/>
      <c r="AB577" s="80"/>
      <c r="AC577" s="737">
        <f ca="1">MAX(0%,IF(U577&lt;&gt;0,MIN((W577-U577)/U577/'Underwriting Risk'!$E$27,'Premium and Reserve Risk'!$AC$551),'Premium and Reserve Risk'!$AC$551))</f>
        <v>0.17199999999999999</v>
      </c>
      <c r="AD577" s="81"/>
      <c r="AE577" s="97"/>
      <c r="AF577" s="97"/>
      <c r="AG577" s="97"/>
      <c r="AH577" s="97"/>
    </row>
    <row r="578" spans="1:34" ht="13.5" customHeight="1" x14ac:dyDescent="0.25">
      <c r="A578" s="97"/>
      <c r="B578" s="257">
        <v>26</v>
      </c>
      <c r="C578" s="652"/>
      <c r="D578" s="80"/>
      <c r="E578" s="80"/>
      <c r="F578" s="258">
        <f t="shared" ca="1" si="20"/>
        <v>0</v>
      </c>
      <c r="G578" s="624"/>
      <c r="H578" s="85"/>
      <c r="I578" s="624"/>
      <c r="J578" s="85"/>
      <c r="K578" s="624"/>
      <c r="L578" s="85"/>
      <c r="M578" s="624"/>
      <c r="N578" s="85"/>
      <c r="O578" s="624"/>
      <c r="P578" s="85"/>
      <c r="Q578" s="626">
        <f t="shared" si="19"/>
        <v>0</v>
      </c>
      <c r="R578" s="85"/>
      <c r="S578" s="624"/>
      <c r="T578" s="260"/>
      <c r="U578" s="624"/>
      <c r="V578" s="85"/>
      <c r="W578" s="624"/>
      <c r="X578" s="81"/>
      <c r="Y578" s="80"/>
      <c r="Z578" s="737">
        <f ca="1">MAX(0%,IF(Q578&lt;&gt;0,MIN((S578-Q578)/Q578/'Underwriting Risk'!$E$27,'Premium and Reserve Risk'!$Z$551),'Premium and Reserve Risk'!$Z$551))</f>
        <v>0.19</v>
      </c>
      <c r="AA578" s="80"/>
      <c r="AB578" s="80"/>
      <c r="AC578" s="737">
        <f ca="1">MAX(0%,IF(U578&lt;&gt;0,MIN((W578-U578)/U578/'Underwriting Risk'!$E$27,'Premium and Reserve Risk'!$AC$551),'Premium and Reserve Risk'!$AC$551))</f>
        <v>0.17199999999999999</v>
      </c>
      <c r="AD578" s="81"/>
      <c r="AE578" s="97"/>
      <c r="AF578" s="97"/>
      <c r="AG578" s="97"/>
      <c r="AH578" s="97"/>
    </row>
    <row r="579" spans="1:34" ht="13.5" customHeight="1" x14ac:dyDescent="0.25">
      <c r="A579" s="97"/>
      <c r="B579" s="257">
        <v>27</v>
      </c>
      <c r="C579" s="652"/>
      <c r="D579" s="80"/>
      <c r="E579" s="80"/>
      <c r="F579" s="258">
        <f t="shared" ca="1" si="20"/>
        <v>0</v>
      </c>
      <c r="G579" s="624"/>
      <c r="H579" s="85"/>
      <c r="I579" s="624"/>
      <c r="J579" s="85"/>
      <c r="K579" s="624"/>
      <c r="L579" s="85"/>
      <c r="M579" s="624"/>
      <c r="N579" s="85"/>
      <c r="O579" s="624"/>
      <c r="P579" s="85"/>
      <c r="Q579" s="626">
        <f t="shared" si="19"/>
        <v>0</v>
      </c>
      <c r="R579" s="85"/>
      <c r="S579" s="624"/>
      <c r="T579" s="260"/>
      <c r="U579" s="624"/>
      <c r="V579" s="85"/>
      <c r="W579" s="624"/>
      <c r="X579" s="81"/>
      <c r="Y579" s="80"/>
      <c r="Z579" s="737">
        <f ca="1">MAX(0%,IF(Q579&lt;&gt;0,MIN((S579-Q579)/Q579/'Underwriting Risk'!$E$27,'Premium and Reserve Risk'!$Z$551),'Premium and Reserve Risk'!$Z$551))</f>
        <v>0.19</v>
      </c>
      <c r="AA579" s="80"/>
      <c r="AB579" s="80"/>
      <c r="AC579" s="737">
        <f ca="1">MAX(0%,IF(U579&lt;&gt;0,MIN((W579-U579)/U579/'Underwriting Risk'!$E$27,'Premium and Reserve Risk'!$AC$551),'Premium and Reserve Risk'!$AC$551))</f>
        <v>0.17199999999999999</v>
      </c>
      <c r="AD579" s="81"/>
      <c r="AE579" s="97"/>
      <c r="AF579" s="97"/>
      <c r="AG579" s="97"/>
      <c r="AH579" s="97"/>
    </row>
    <row r="580" spans="1:34" ht="13.5" customHeight="1" x14ac:dyDescent="0.25">
      <c r="A580" s="97"/>
      <c r="B580" s="257">
        <v>28</v>
      </c>
      <c r="C580" s="652"/>
      <c r="D580" s="80"/>
      <c r="E580" s="80"/>
      <c r="F580" s="258">
        <f t="shared" ca="1" si="20"/>
        <v>0</v>
      </c>
      <c r="G580" s="624"/>
      <c r="H580" s="85"/>
      <c r="I580" s="624"/>
      <c r="J580" s="85"/>
      <c r="K580" s="624"/>
      <c r="L580" s="85"/>
      <c r="M580" s="624"/>
      <c r="N580" s="85"/>
      <c r="O580" s="624"/>
      <c r="P580" s="85"/>
      <c r="Q580" s="626">
        <f t="shared" si="19"/>
        <v>0</v>
      </c>
      <c r="R580" s="85"/>
      <c r="S580" s="624"/>
      <c r="T580" s="260"/>
      <c r="U580" s="624"/>
      <c r="V580" s="85"/>
      <c r="W580" s="624"/>
      <c r="X580" s="81"/>
      <c r="Y580" s="80"/>
      <c r="Z580" s="737">
        <f ca="1">MAX(0%,IF(Q580&lt;&gt;0,MIN((S580-Q580)/Q580/'Underwriting Risk'!$E$27,'Premium and Reserve Risk'!$Z$551),'Premium and Reserve Risk'!$Z$551))</f>
        <v>0.19</v>
      </c>
      <c r="AA580" s="80"/>
      <c r="AB580" s="80"/>
      <c r="AC580" s="737">
        <f ca="1">MAX(0%,IF(U580&lt;&gt;0,MIN((W580-U580)/U580/'Underwriting Risk'!$E$27,'Premium and Reserve Risk'!$AC$551),'Premium and Reserve Risk'!$AC$551))</f>
        <v>0.17199999999999999</v>
      </c>
      <c r="AD580" s="81"/>
      <c r="AE580" s="97"/>
      <c r="AF580" s="97"/>
      <c r="AG580" s="97"/>
      <c r="AH580" s="97"/>
    </row>
    <row r="581" spans="1:34" ht="13.5" customHeight="1" x14ac:dyDescent="0.25">
      <c r="A581" s="97"/>
      <c r="B581" s="257">
        <v>29</v>
      </c>
      <c r="C581" s="652"/>
      <c r="D581" s="80"/>
      <c r="E581" s="80"/>
      <c r="F581" s="258">
        <f t="shared" ca="1" si="20"/>
        <v>0</v>
      </c>
      <c r="G581" s="624"/>
      <c r="H581" s="85"/>
      <c r="I581" s="624"/>
      <c r="J581" s="85"/>
      <c r="K581" s="624"/>
      <c r="L581" s="85"/>
      <c r="M581" s="624"/>
      <c r="N581" s="85"/>
      <c r="O581" s="624"/>
      <c r="P581" s="85"/>
      <c r="Q581" s="626">
        <f t="shared" si="19"/>
        <v>0</v>
      </c>
      <c r="R581" s="85"/>
      <c r="S581" s="624"/>
      <c r="T581" s="260"/>
      <c r="U581" s="624"/>
      <c r="V581" s="85"/>
      <c r="W581" s="624"/>
      <c r="X581" s="81"/>
      <c r="Y581" s="80"/>
      <c r="Z581" s="737">
        <f ca="1">MAX(0%,IF(Q581&lt;&gt;0,MIN((S581-Q581)/Q581/'Underwriting Risk'!$E$27,'Premium and Reserve Risk'!$Z$551),'Premium and Reserve Risk'!$Z$551))</f>
        <v>0.19</v>
      </c>
      <c r="AA581" s="80"/>
      <c r="AB581" s="80"/>
      <c r="AC581" s="737">
        <f ca="1">MAX(0%,IF(U581&lt;&gt;0,MIN((W581-U581)/U581/'Underwriting Risk'!$E$27,'Premium and Reserve Risk'!$AC$551),'Premium and Reserve Risk'!$AC$551))</f>
        <v>0.17199999999999999</v>
      </c>
      <c r="AD581" s="81"/>
      <c r="AE581" s="97"/>
      <c r="AF581" s="97"/>
      <c r="AG581" s="97"/>
      <c r="AH581" s="97"/>
    </row>
    <row r="582" spans="1:34" ht="13.5" customHeight="1" x14ac:dyDescent="0.25">
      <c r="A582" s="97"/>
      <c r="B582" s="257">
        <v>30</v>
      </c>
      <c r="C582" s="652"/>
      <c r="D582" s="80"/>
      <c r="E582" s="80"/>
      <c r="F582" s="258">
        <f t="shared" ca="1" si="20"/>
        <v>0</v>
      </c>
      <c r="G582" s="624"/>
      <c r="H582" s="85"/>
      <c r="I582" s="624"/>
      <c r="J582" s="85"/>
      <c r="K582" s="624"/>
      <c r="L582" s="85"/>
      <c r="M582" s="624"/>
      <c r="N582" s="85"/>
      <c r="O582" s="624"/>
      <c r="P582" s="85"/>
      <c r="Q582" s="626">
        <f t="shared" si="19"/>
        <v>0</v>
      </c>
      <c r="R582" s="85"/>
      <c r="S582" s="624"/>
      <c r="T582" s="260"/>
      <c r="U582" s="624"/>
      <c r="V582" s="85"/>
      <c r="W582" s="624"/>
      <c r="X582" s="81"/>
      <c r="Y582" s="80"/>
      <c r="Z582" s="737">
        <f ca="1">MAX(0%,IF(Q582&lt;&gt;0,MIN((S582-Q582)/Q582/'Underwriting Risk'!$E$27,'Premium and Reserve Risk'!$Z$551),'Premium and Reserve Risk'!$Z$551))</f>
        <v>0.19</v>
      </c>
      <c r="AA582" s="80"/>
      <c r="AB582" s="80"/>
      <c r="AC582" s="737">
        <f ca="1">MAX(0%,IF(U582&lt;&gt;0,MIN((W582-U582)/U582/'Underwriting Risk'!$E$27,'Premium and Reserve Risk'!$AC$551),'Premium and Reserve Risk'!$AC$551))</f>
        <v>0.17199999999999999</v>
      </c>
      <c r="AD582" s="81"/>
      <c r="AE582" s="97"/>
      <c r="AF582" s="97"/>
      <c r="AG582" s="97"/>
      <c r="AH582" s="97"/>
    </row>
    <row r="583" spans="1:34" ht="13.5" customHeight="1" x14ac:dyDescent="0.25">
      <c r="A583" s="97"/>
      <c r="B583" s="257">
        <v>31</v>
      </c>
      <c r="C583" s="652"/>
      <c r="D583" s="80"/>
      <c r="E583" s="80"/>
      <c r="F583" s="258">
        <f t="shared" ca="1" si="20"/>
        <v>0</v>
      </c>
      <c r="G583" s="624"/>
      <c r="H583" s="85"/>
      <c r="I583" s="624"/>
      <c r="J583" s="85"/>
      <c r="K583" s="624"/>
      <c r="L583" s="85"/>
      <c r="M583" s="624"/>
      <c r="N583" s="85"/>
      <c r="O583" s="624"/>
      <c r="P583" s="85"/>
      <c r="Q583" s="626">
        <f t="shared" si="19"/>
        <v>0</v>
      </c>
      <c r="R583" s="85"/>
      <c r="S583" s="624"/>
      <c r="T583" s="260"/>
      <c r="U583" s="624"/>
      <c r="V583" s="85"/>
      <c r="W583" s="624"/>
      <c r="X583" s="81"/>
      <c r="Y583" s="80"/>
      <c r="Z583" s="737">
        <f ca="1">MAX(0%,IF(Q583&lt;&gt;0,MIN((S583-Q583)/Q583/'Underwriting Risk'!$E$27,'Premium and Reserve Risk'!$Z$551),'Premium and Reserve Risk'!$Z$551))</f>
        <v>0.19</v>
      </c>
      <c r="AA583" s="80"/>
      <c r="AB583" s="80"/>
      <c r="AC583" s="737">
        <f ca="1">MAX(0%,IF(U583&lt;&gt;0,MIN((W583-U583)/U583/'Underwriting Risk'!$E$27,'Premium and Reserve Risk'!$AC$551),'Premium and Reserve Risk'!$AC$551))</f>
        <v>0.17199999999999999</v>
      </c>
      <c r="AD583" s="81"/>
      <c r="AE583" s="97"/>
      <c r="AF583" s="97"/>
      <c r="AG583" s="97"/>
      <c r="AH583" s="97"/>
    </row>
    <row r="584" spans="1:34" ht="13.5" customHeight="1" x14ac:dyDescent="0.25">
      <c r="A584" s="97"/>
      <c r="B584" s="257">
        <v>32</v>
      </c>
      <c r="C584" s="652"/>
      <c r="D584" s="80"/>
      <c r="E584" s="80"/>
      <c r="F584" s="258">
        <f t="shared" ca="1" si="20"/>
        <v>0</v>
      </c>
      <c r="G584" s="624"/>
      <c r="H584" s="85"/>
      <c r="I584" s="624"/>
      <c r="J584" s="85"/>
      <c r="K584" s="624"/>
      <c r="L584" s="85"/>
      <c r="M584" s="624"/>
      <c r="N584" s="85"/>
      <c r="O584" s="624"/>
      <c r="P584" s="85"/>
      <c r="Q584" s="626">
        <f t="shared" si="19"/>
        <v>0</v>
      </c>
      <c r="R584" s="85"/>
      <c r="S584" s="624"/>
      <c r="T584" s="260"/>
      <c r="U584" s="624"/>
      <c r="V584" s="85"/>
      <c r="W584" s="624"/>
      <c r="X584" s="81"/>
      <c r="Y584" s="80"/>
      <c r="Z584" s="737">
        <f ca="1">MAX(0%,IF(Q584&lt;&gt;0,MIN((S584-Q584)/Q584/'Underwriting Risk'!$E$27,'Premium and Reserve Risk'!$Z$551),'Premium and Reserve Risk'!$Z$551))</f>
        <v>0.19</v>
      </c>
      <c r="AA584" s="80"/>
      <c r="AB584" s="80"/>
      <c r="AC584" s="737">
        <f ca="1">MAX(0%,IF(U584&lt;&gt;0,MIN((W584-U584)/U584/'Underwriting Risk'!$E$27,'Premium and Reserve Risk'!$AC$551),'Premium and Reserve Risk'!$AC$551))</f>
        <v>0.17199999999999999</v>
      </c>
      <c r="AD584" s="81"/>
      <c r="AE584" s="97"/>
      <c r="AF584" s="97"/>
      <c r="AG584" s="97"/>
      <c r="AH584" s="97"/>
    </row>
    <row r="585" spans="1:34" ht="13.5" customHeight="1" x14ac:dyDescent="0.25">
      <c r="A585" s="97"/>
      <c r="B585" s="257">
        <v>33</v>
      </c>
      <c r="C585" s="652"/>
      <c r="D585" s="80"/>
      <c r="E585" s="80"/>
      <c r="F585" s="258">
        <f t="shared" ca="1" si="20"/>
        <v>0</v>
      </c>
      <c r="G585" s="624"/>
      <c r="H585" s="85"/>
      <c r="I585" s="624"/>
      <c r="J585" s="85"/>
      <c r="K585" s="624"/>
      <c r="L585" s="85"/>
      <c r="M585" s="624"/>
      <c r="N585" s="85"/>
      <c r="O585" s="624"/>
      <c r="P585" s="85"/>
      <c r="Q585" s="626">
        <f t="shared" si="19"/>
        <v>0</v>
      </c>
      <c r="R585" s="85"/>
      <c r="S585" s="624"/>
      <c r="T585" s="260"/>
      <c r="U585" s="624"/>
      <c r="V585" s="85"/>
      <c r="W585" s="624"/>
      <c r="X585" s="81"/>
      <c r="Y585" s="80"/>
      <c r="Z585" s="737">
        <f ca="1">MAX(0%,IF(Q585&lt;&gt;0,MIN((S585-Q585)/Q585/'Underwriting Risk'!$E$27,'Premium and Reserve Risk'!$Z$551),'Premium and Reserve Risk'!$Z$551))</f>
        <v>0.19</v>
      </c>
      <c r="AA585" s="80"/>
      <c r="AB585" s="80"/>
      <c r="AC585" s="737">
        <f ca="1">MAX(0%,IF(U585&lt;&gt;0,MIN((W585-U585)/U585/'Underwriting Risk'!$E$27,'Premium and Reserve Risk'!$AC$551),'Premium and Reserve Risk'!$AC$551))</f>
        <v>0.17199999999999999</v>
      </c>
      <c r="AD585" s="81"/>
      <c r="AE585" s="97"/>
      <c r="AF585" s="97"/>
      <c r="AG585" s="97"/>
      <c r="AH585" s="97"/>
    </row>
    <row r="586" spans="1:34" ht="13.5" customHeight="1" x14ac:dyDescent="0.25">
      <c r="A586" s="97"/>
      <c r="B586" s="257">
        <v>34</v>
      </c>
      <c r="C586" s="652"/>
      <c r="D586" s="80"/>
      <c r="E586" s="80"/>
      <c r="F586" s="258">
        <f t="shared" ca="1" si="20"/>
        <v>0</v>
      </c>
      <c r="G586" s="624"/>
      <c r="H586" s="85"/>
      <c r="I586" s="624"/>
      <c r="J586" s="85"/>
      <c r="K586" s="624"/>
      <c r="L586" s="85"/>
      <c r="M586" s="624"/>
      <c r="N586" s="85"/>
      <c r="O586" s="624"/>
      <c r="P586" s="85"/>
      <c r="Q586" s="626">
        <f t="shared" si="19"/>
        <v>0</v>
      </c>
      <c r="R586" s="85"/>
      <c r="S586" s="624"/>
      <c r="T586" s="260"/>
      <c r="U586" s="624"/>
      <c r="V586" s="85"/>
      <c r="W586" s="624"/>
      <c r="X586" s="81"/>
      <c r="Y586" s="80"/>
      <c r="Z586" s="737">
        <f ca="1">MAX(0%,IF(Q586&lt;&gt;0,MIN((S586-Q586)/Q586/'Underwriting Risk'!$E$27,'Premium and Reserve Risk'!$Z$551),'Premium and Reserve Risk'!$Z$551))</f>
        <v>0.19</v>
      </c>
      <c r="AA586" s="80"/>
      <c r="AB586" s="80"/>
      <c r="AC586" s="737">
        <f ca="1">MAX(0%,IF(U586&lt;&gt;0,MIN((W586-U586)/U586/'Underwriting Risk'!$E$27,'Premium and Reserve Risk'!$AC$551),'Premium and Reserve Risk'!$AC$551))</f>
        <v>0.17199999999999999</v>
      </c>
      <c r="AD586" s="81"/>
      <c r="AE586" s="97"/>
      <c r="AF586" s="97"/>
      <c r="AG586" s="97"/>
      <c r="AH586" s="97"/>
    </row>
    <row r="587" spans="1:34" ht="13.5" customHeight="1" x14ac:dyDescent="0.25">
      <c r="A587" s="97"/>
      <c r="B587" s="257">
        <v>35</v>
      </c>
      <c r="C587" s="652"/>
      <c r="D587" s="80"/>
      <c r="E587" s="80"/>
      <c r="F587" s="258">
        <f t="shared" ca="1" si="20"/>
        <v>0</v>
      </c>
      <c r="G587" s="624"/>
      <c r="H587" s="85"/>
      <c r="I587" s="624"/>
      <c r="J587" s="85"/>
      <c r="K587" s="624"/>
      <c r="L587" s="85"/>
      <c r="M587" s="624"/>
      <c r="N587" s="85"/>
      <c r="O587" s="624"/>
      <c r="P587" s="85"/>
      <c r="Q587" s="626">
        <f t="shared" si="19"/>
        <v>0</v>
      </c>
      <c r="R587" s="85"/>
      <c r="S587" s="624"/>
      <c r="T587" s="260"/>
      <c r="U587" s="624"/>
      <c r="V587" s="85"/>
      <c r="W587" s="624"/>
      <c r="X587" s="81"/>
      <c r="Y587" s="80"/>
      <c r="Z587" s="737">
        <f ca="1">MAX(0%,IF(Q587&lt;&gt;0,MIN((S587-Q587)/Q587/'Underwriting Risk'!$E$27,'Premium and Reserve Risk'!$Z$551),'Premium and Reserve Risk'!$Z$551))</f>
        <v>0.19</v>
      </c>
      <c r="AA587" s="80"/>
      <c r="AB587" s="80"/>
      <c r="AC587" s="737">
        <f ca="1">MAX(0%,IF(U587&lt;&gt;0,MIN((W587-U587)/U587/'Underwriting Risk'!$E$27,'Premium and Reserve Risk'!$AC$551),'Premium and Reserve Risk'!$AC$551))</f>
        <v>0.17199999999999999</v>
      </c>
      <c r="AD587" s="81"/>
      <c r="AE587" s="97"/>
      <c r="AF587" s="97"/>
      <c r="AG587" s="97"/>
      <c r="AH587" s="97"/>
    </row>
    <row r="588" spans="1:34" ht="13.5" customHeight="1" x14ac:dyDescent="0.25">
      <c r="A588" s="97"/>
      <c r="B588" s="257">
        <v>36</v>
      </c>
      <c r="C588" s="652"/>
      <c r="D588" s="80"/>
      <c r="E588" s="80"/>
      <c r="F588" s="258">
        <f t="shared" ca="1" si="20"/>
        <v>0</v>
      </c>
      <c r="G588" s="624"/>
      <c r="H588" s="85"/>
      <c r="I588" s="624"/>
      <c r="J588" s="85"/>
      <c r="K588" s="624"/>
      <c r="L588" s="85"/>
      <c r="M588" s="624"/>
      <c r="N588" s="85"/>
      <c r="O588" s="624"/>
      <c r="P588" s="85"/>
      <c r="Q588" s="626">
        <f t="shared" si="19"/>
        <v>0</v>
      </c>
      <c r="R588" s="85"/>
      <c r="S588" s="624"/>
      <c r="T588" s="260"/>
      <c r="U588" s="624"/>
      <c r="V588" s="85"/>
      <c r="W588" s="624"/>
      <c r="X588" s="81"/>
      <c r="Y588" s="80"/>
      <c r="Z588" s="737">
        <f ca="1">MAX(0%,IF(Q588&lt;&gt;0,MIN((S588-Q588)/Q588/'Underwriting Risk'!$E$27,'Premium and Reserve Risk'!$Z$551),'Premium and Reserve Risk'!$Z$551))</f>
        <v>0.19</v>
      </c>
      <c r="AA588" s="80"/>
      <c r="AB588" s="80"/>
      <c r="AC588" s="737">
        <f ca="1">MAX(0%,IF(U588&lt;&gt;0,MIN((W588-U588)/U588/'Underwriting Risk'!$E$27,'Premium and Reserve Risk'!$AC$551),'Premium and Reserve Risk'!$AC$551))</f>
        <v>0.17199999999999999</v>
      </c>
      <c r="AD588" s="81"/>
      <c r="AE588" s="97"/>
      <c r="AF588" s="97"/>
      <c r="AG588" s="97"/>
      <c r="AH588" s="97"/>
    </row>
    <row r="589" spans="1:34" ht="13.5" customHeight="1" x14ac:dyDescent="0.25">
      <c r="A589" s="97"/>
      <c r="B589" s="257">
        <v>37</v>
      </c>
      <c r="C589" s="652"/>
      <c r="D589" s="80"/>
      <c r="E589" s="80"/>
      <c r="F589" s="258">
        <f t="shared" ca="1" si="20"/>
        <v>0</v>
      </c>
      <c r="G589" s="624"/>
      <c r="H589" s="85"/>
      <c r="I589" s="624"/>
      <c r="J589" s="85"/>
      <c r="K589" s="624"/>
      <c r="L589" s="85"/>
      <c r="M589" s="624"/>
      <c r="N589" s="85"/>
      <c r="O589" s="624"/>
      <c r="P589" s="85"/>
      <c r="Q589" s="626">
        <f t="shared" si="19"/>
        <v>0</v>
      </c>
      <c r="R589" s="85"/>
      <c r="S589" s="624"/>
      <c r="T589" s="260"/>
      <c r="U589" s="624"/>
      <c r="V589" s="85"/>
      <c r="W589" s="624"/>
      <c r="X589" s="81"/>
      <c r="Y589" s="80"/>
      <c r="Z589" s="737">
        <f ca="1">MAX(0%,IF(Q589&lt;&gt;0,MIN((S589-Q589)/Q589/'Underwriting Risk'!$E$27,'Premium and Reserve Risk'!$Z$551),'Premium and Reserve Risk'!$Z$551))</f>
        <v>0.19</v>
      </c>
      <c r="AA589" s="80"/>
      <c r="AB589" s="80"/>
      <c r="AC589" s="737">
        <f ca="1">MAX(0%,IF(U589&lt;&gt;0,MIN((W589-U589)/U589/'Underwriting Risk'!$E$27,'Premium and Reserve Risk'!$AC$551),'Premium and Reserve Risk'!$AC$551))</f>
        <v>0.17199999999999999</v>
      </c>
      <c r="AD589" s="81"/>
      <c r="AE589" s="97"/>
      <c r="AF589" s="97"/>
      <c r="AG589" s="97"/>
      <c r="AH589" s="97"/>
    </row>
    <row r="590" spans="1:34" ht="13.5" customHeight="1" x14ac:dyDescent="0.25">
      <c r="A590" s="97"/>
      <c r="B590" s="257">
        <v>38</v>
      </c>
      <c r="C590" s="652"/>
      <c r="D590" s="80"/>
      <c r="E590" s="80"/>
      <c r="F590" s="258">
        <f t="shared" ca="1" si="20"/>
        <v>0</v>
      </c>
      <c r="G590" s="624"/>
      <c r="H590" s="85"/>
      <c r="I590" s="624"/>
      <c r="J590" s="85"/>
      <c r="K590" s="624"/>
      <c r="L590" s="85"/>
      <c r="M590" s="624"/>
      <c r="N590" s="85"/>
      <c r="O590" s="624"/>
      <c r="P590" s="85"/>
      <c r="Q590" s="626">
        <f t="shared" si="19"/>
        <v>0</v>
      </c>
      <c r="R590" s="85"/>
      <c r="S590" s="624"/>
      <c r="T590" s="260"/>
      <c r="U590" s="624"/>
      <c r="V590" s="85"/>
      <c r="W590" s="624"/>
      <c r="X590" s="81"/>
      <c r="Y590" s="80"/>
      <c r="Z590" s="737">
        <f ca="1">MAX(0%,IF(Q590&lt;&gt;0,MIN((S590-Q590)/Q590/'Underwriting Risk'!$E$27,'Premium and Reserve Risk'!$Z$551),'Premium and Reserve Risk'!$Z$551))</f>
        <v>0.19</v>
      </c>
      <c r="AA590" s="80"/>
      <c r="AB590" s="80"/>
      <c r="AC590" s="737">
        <f ca="1">MAX(0%,IF(U590&lt;&gt;0,MIN((W590-U590)/U590/'Underwriting Risk'!$E$27,'Premium and Reserve Risk'!$AC$551),'Premium and Reserve Risk'!$AC$551))</f>
        <v>0.17199999999999999</v>
      </c>
      <c r="AD590" s="81"/>
      <c r="AE590" s="97"/>
      <c r="AF590" s="97"/>
      <c r="AG590" s="97"/>
      <c r="AH590" s="97"/>
    </row>
    <row r="591" spans="1:34" ht="13.5" customHeight="1" x14ac:dyDescent="0.25">
      <c r="A591" s="97"/>
      <c r="B591" s="257">
        <v>39</v>
      </c>
      <c r="C591" s="652"/>
      <c r="D591" s="80"/>
      <c r="E591" s="80"/>
      <c r="F591" s="258">
        <f t="shared" ca="1" si="20"/>
        <v>0</v>
      </c>
      <c r="G591" s="624"/>
      <c r="H591" s="85"/>
      <c r="I591" s="624"/>
      <c r="J591" s="85"/>
      <c r="K591" s="624"/>
      <c r="L591" s="85"/>
      <c r="M591" s="624"/>
      <c r="N591" s="85"/>
      <c r="O591" s="624"/>
      <c r="P591" s="85"/>
      <c r="Q591" s="626">
        <f t="shared" si="19"/>
        <v>0</v>
      </c>
      <c r="R591" s="85"/>
      <c r="S591" s="624"/>
      <c r="T591" s="260"/>
      <c r="U591" s="624"/>
      <c r="V591" s="85"/>
      <c r="W591" s="624"/>
      <c r="X591" s="81"/>
      <c r="Y591" s="80"/>
      <c r="Z591" s="737">
        <f ca="1">MAX(0%,IF(Q591&lt;&gt;0,MIN((S591-Q591)/Q591/'Underwriting Risk'!$E$27,'Premium and Reserve Risk'!$Z$551),'Premium and Reserve Risk'!$Z$551))</f>
        <v>0.19</v>
      </c>
      <c r="AA591" s="80"/>
      <c r="AB591" s="80"/>
      <c r="AC591" s="737">
        <f ca="1">MAX(0%,IF(U591&lt;&gt;0,MIN((W591-U591)/U591/'Underwriting Risk'!$E$27,'Premium and Reserve Risk'!$AC$551),'Premium and Reserve Risk'!$AC$551))</f>
        <v>0.17199999999999999</v>
      </c>
      <c r="AD591" s="81"/>
      <c r="AE591" s="97"/>
      <c r="AF591" s="97"/>
      <c r="AG591" s="97"/>
      <c r="AH591" s="97"/>
    </row>
    <row r="592" spans="1:34" ht="13.5" customHeight="1" x14ac:dyDescent="0.25">
      <c r="A592" s="97"/>
      <c r="B592" s="257">
        <v>40</v>
      </c>
      <c r="C592" s="652"/>
      <c r="D592" s="80"/>
      <c r="E592" s="80"/>
      <c r="F592" s="258">
        <f t="shared" ca="1" si="20"/>
        <v>0</v>
      </c>
      <c r="G592" s="624"/>
      <c r="H592" s="85"/>
      <c r="I592" s="624"/>
      <c r="J592" s="85"/>
      <c r="K592" s="624"/>
      <c r="L592" s="85"/>
      <c r="M592" s="624"/>
      <c r="N592" s="85"/>
      <c r="O592" s="624"/>
      <c r="P592" s="85"/>
      <c r="Q592" s="626">
        <f t="shared" si="19"/>
        <v>0</v>
      </c>
      <c r="R592" s="85"/>
      <c r="S592" s="624"/>
      <c r="T592" s="260"/>
      <c r="U592" s="624"/>
      <c r="V592" s="85"/>
      <c r="W592" s="624"/>
      <c r="X592" s="81"/>
      <c r="Y592" s="80"/>
      <c r="Z592" s="737">
        <f ca="1">MAX(0%,IF(Q592&lt;&gt;0,MIN((S592-Q592)/Q592/'Underwriting Risk'!$E$27,'Premium and Reserve Risk'!$Z$551),'Premium and Reserve Risk'!$Z$551))</f>
        <v>0.19</v>
      </c>
      <c r="AA592" s="80"/>
      <c r="AB592" s="80"/>
      <c r="AC592" s="737">
        <f ca="1">MAX(0%,IF(U592&lt;&gt;0,MIN((W592-U592)/U592/'Underwriting Risk'!$E$27,'Premium and Reserve Risk'!$AC$551),'Premium and Reserve Risk'!$AC$551))</f>
        <v>0.17199999999999999</v>
      </c>
      <c r="AD592" s="81"/>
      <c r="AE592" s="97"/>
      <c r="AF592" s="97"/>
      <c r="AG592" s="97"/>
      <c r="AH592" s="97"/>
    </row>
    <row r="593" spans="1:34" ht="13.5" customHeight="1" x14ac:dyDescent="0.25">
      <c r="A593" s="97"/>
      <c r="B593" s="257">
        <v>41</v>
      </c>
      <c r="C593" s="652"/>
      <c r="D593" s="80"/>
      <c r="E593" s="80"/>
      <c r="F593" s="258">
        <f t="shared" ca="1" si="20"/>
        <v>0</v>
      </c>
      <c r="G593" s="624"/>
      <c r="H593" s="85"/>
      <c r="I593" s="624"/>
      <c r="J593" s="85"/>
      <c r="K593" s="624"/>
      <c r="L593" s="85"/>
      <c r="M593" s="624"/>
      <c r="N593" s="85"/>
      <c r="O593" s="624"/>
      <c r="P593" s="85"/>
      <c r="Q593" s="626">
        <f t="shared" si="19"/>
        <v>0</v>
      </c>
      <c r="R593" s="85"/>
      <c r="S593" s="624"/>
      <c r="T593" s="260"/>
      <c r="U593" s="624"/>
      <c r="V593" s="85"/>
      <c r="W593" s="624"/>
      <c r="X593" s="81"/>
      <c r="Y593" s="80"/>
      <c r="Z593" s="737">
        <f ca="1">MAX(0%,IF(Q593&lt;&gt;0,MIN((S593-Q593)/Q593/'Underwriting Risk'!$E$27,'Premium and Reserve Risk'!$Z$551),'Premium and Reserve Risk'!$Z$551))</f>
        <v>0.19</v>
      </c>
      <c r="AA593" s="80"/>
      <c r="AB593" s="80"/>
      <c r="AC593" s="737">
        <f ca="1">MAX(0%,IF(U593&lt;&gt;0,MIN((W593-U593)/U593/'Underwriting Risk'!$E$27,'Premium and Reserve Risk'!$AC$551),'Premium and Reserve Risk'!$AC$551))</f>
        <v>0.17199999999999999</v>
      </c>
      <c r="AD593" s="81"/>
      <c r="AE593" s="97"/>
      <c r="AF593" s="97"/>
      <c r="AG593" s="97"/>
      <c r="AH593" s="97"/>
    </row>
    <row r="594" spans="1:34" ht="13.5" customHeight="1" x14ac:dyDescent="0.25">
      <c r="A594" s="97"/>
      <c r="B594" s="257">
        <v>42</v>
      </c>
      <c r="C594" s="652"/>
      <c r="D594" s="80"/>
      <c r="E594" s="80"/>
      <c r="F594" s="258">
        <f t="shared" ca="1" si="20"/>
        <v>0</v>
      </c>
      <c r="G594" s="624"/>
      <c r="H594" s="85"/>
      <c r="I594" s="624"/>
      <c r="J594" s="85"/>
      <c r="K594" s="624"/>
      <c r="L594" s="85"/>
      <c r="M594" s="624"/>
      <c r="N594" s="85"/>
      <c r="O594" s="624"/>
      <c r="P594" s="85"/>
      <c r="Q594" s="626">
        <f t="shared" si="19"/>
        <v>0</v>
      </c>
      <c r="R594" s="85"/>
      <c r="S594" s="624"/>
      <c r="T594" s="260"/>
      <c r="U594" s="624"/>
      <c r="V594" s="85"/>
      <c r="W594" s="624"/>
      <c r="X594" s="81"/>
      <c r="Y594" s="80"/>
      <c r="Z594" s="737">
        <f ca="1">MAX(0%,IF(Q594&lt;&gt;0,MIN((S594-Q594)/Q594/'Underwriting Risk'!$E$27,'Premium and Reserve Risk'!$Z$551),'Premium and Reserve Risk'!$Z$551))</f>
        <v>0.19</v>
      </c>
      <c r="AA594" s="80"/>
      <c r="AB594" s="80"/>
      <c r="AC594" s="737">
        <f ca="1">MAX(0%,IF(U594&lt;&gt;0,MIN((W594-U594)/U594/'Underwriting Risk'!$E$27,'Premium and Reserve Risk'!$AC$551),'Premium and Reserve Risk'!$AC$551))</f>
        <v>0.17199999999999999</v>
      </c>
      <c r="AD594" s="81"/>
      <c r="AE594" s="97"/>
      <c r="AF594" s="97"/>
      <c r="AG594" s="97"/>
      <c r="AH594" s="97"/>
    </row>
    <row r="595" spans="1:34" ht="13.5" customHeight="1" x14ac:dyDescent="0.25">
      <c r="A595" s="97"/>
      <c r="B595" s="257">
        <v>43</v>
      </c>
      <c r="C595" s="652"/>
      <c r="D595" s="80"/>
      <c r="E595" s="80"/>
      <c r="F595" s="258">
        <f t="shared" ca="1" si="20"/>
        <v>0</v>
      </c>
      <c r="G595" s="624"/>
      <c r="H595" s="85"/>
      <c r="I595" s="624"/>
      <c r="J595" s="85"/>
      <c r="K595" s="624"/>
      <c r="L595" s="85"/>
      <c r="M595" s="624"/>
      <c r="N595" s="85"/>
      <c r="O595" s="624"/>
      <c r="P595" s="85"/>
      <c r="Q595" s="626">
        <f t="shared" si="19"/>
        <v>0</v>
      </c>
      <c r="R595" s="85"/>
      <c r="S595" s="624"/>
      <c r="T595" s="260"/>
      <c r="U595" s="624"/>
      <c r="V595" s="85"/>
      <c r="W595" s="624"/>
      <c r="X595" s="81"/>
      <c r="Y595" s="80"/>
      <c r="Z595" s="737">
        <f ca="1">MAX(0%,IF(Q595&lt;&gt;0,MIN((S595-Q595)/Q595/'Underwriting Risk'!$E$27,'Premium and Reserve Risk'!$Z$551),'Premium and Reserve Risk'!$Z$551))</f>
        <v>0.19</v>
      </c>
      <c r="AA595" s="80"/>
      <c r="AB595" s="80"/>
      <c r="AC595" s="737">
        <f ca="1">MAX(0%,IF(U595&lt;&gt;0,MIN((W595-U595)/U595/'Underwriting Risk'!$E$27,'Premium and Reserve Risk'!$AC$551),'Premium and Reserve Risk'!$AC$551))</f>
        <v>0.17199999999999999</v>
      </c>
      <c r="AD595" s="81"/>
      <c r="AE595" s="97"/>
      <c r="AF595" s="97"/>
      <c r="AG595" s="97"/>
      <c r="AH595" s="97"/>
    </row>
    <row r="596" spans="1:34" ht="13.5" customHeight="1" x14ac:dyDescent="0.25">
      <c r="A596" s="97"/>
      <c r="B596" s="257">
        <v>44</v>
      </c>
      <c r="C596" s="652"/>
      <c r="D596" s="80"/>
      <c r="E596" s="80"/>
      <c r="F596" s="258">
        <f t="shared" ca="1" si="20"/>
        <v>0</v>
      </c>
      <c r="G596" s="624"/>
      <c r="H596" s="85"/>
      <c r="I596" s="624"/>
      <c r="J596" s="85"/>
      <c r="K596" s="624"/>
      <c r="L596" s="85"/>
      <c r="M596" s="624"/>
      <c r="N596" s="85"/>
      <c r="O596" s="624"/>
      <c r="P596" s="85"/>
      <c r="Q596" s="626">
        <f t="shared" si="19"/>
        <v>0</v>
      </c>
      <c r="R596" s="85"/>
      <c r="S596" s="624"/>
      <c r="T596" s="260"/>
      <c r="U596" s="624"/>
      <c r="V596" s="85"/>
      <c r="W596" s="624"/>
      <c r="X596" s="81"/>
      <c r="Y596" s="80"/>
      <c r="Z596" s="737">
        <f ca="1">MAX(0%,IF(Q596&lt;&gt;0,MIN((S596-Q596)/Q596/'Underwriting Risk'!$E$27,'Premium and Reserve Risk'!$Z$551),'Premium and Reserve Risk'!$Z$551))</f>
        <v>0.19</v>
      </c>
      <c r="AA596" s="80"/>
      <c r="AB596" s="80"/>
      <c r="AC596" s="737">
        <f ca="1">MAX(0%,IF(U596&lt;&gt;0,MIN((W596-U596)/U596/'Underwriting Risk'!$E$27,'Premium and Reserve Risk'!$AC$551),'Premium and Reserve Risk'!$AC$551))</f>
        <v>0.17199999999999999</v>
      </c>
      <c r="AD596" s="81"/>
      <c r="AE596" s="97"/>
      <c r="AF596" s="97"/>
      <c r="AG596" s="97"/>
      <c r="AH596" s="97"/>
    </row>
    <row r="597" spans="1:34" ht="13.5" customHeight="1" x14ac:dyDescent="0.25">
      <c r="A597" s="97"/>
      <c r="B597" s="257">
        <v>45</v>
      </c>
      <c r="C597" s="652"/>
      <c r="D597" s="80"/>
      <c r="E597" s="80"/>
      <c r="F597" s="258">
        <f t="shared" ca="1" si="20"/>
        <v>0</v>
      </c>
      <c r="G597" s="624"/>
      <c r="H597" s="85"/>
      <c r="I597" s="624"/>
      <c r="J597" s="85"/>
      <c r="K597" s="624"/>
      <c r="L597" s="85"/>
      <c r="M597" s="624"/>
      <c r="N597" s="85"/>
      <c r="O597" s="624"/>
      <c r="P597" s="85"/>
      <c r="Q597" s="626">
        <f t="shared" si="19"/>
        <v>0</v>
      </c>
      <c r="R597" s="85"/>
      <c r="S597" s="624"/>
      <c r="T597" s="260"/>
      <c r="U597" s="624"/>
      <c r="V597" s="85"/>
      <c r="W597" s="624"/>
      <c r="X597" s="81"/>
      <c r="Y597" s="80"/>
      <c r="Z597" s="737">
        <f ca="1">MAX(0%,IF(Q597&lt;&gt;0,MIN((S597-Q597)/Q597/'Underwriting Risk'!$E$27,'Premium and Reserve Risk'!$Z$551),'Premium and Reserve Risk'!$Z$551))</f>
        <v>0.19</v>
      </c>
      <c r="AA597" s="80"/>
      <c r="AB597" s="80"/>
      <c r="AC597" s="737">
        <f ca="1">MAX(0%,IF(U597&lt;&gt;0,MIN((W597-U597)/U597/'Underwriting Risk'!$E$27,'Premium and Reserve Risk'!$AC$551),'Premium and Reserve Risk'!$AC$551))</f>
        <v>0.17199999999999999</v>
      </c>
      <c r="AD597" s="81"/>
      <c r="AE597" s="97"/>
      <c r="AF597" s="97"/>
      <c r="AG597" s="97"/>
      <c r="AH597" s="97"/>
    </row>
    <row r="598" spans="1:34" ht="13.5" customHeight="1" x14ac:dyDescent="0.25">
      <c r="A598" s="97"/>
      <c r="B598" s="257">
        <v>46</v>
      </c>
      <c r="C598" s="652"/>
      <c r="D598" s="80"/>
      <c r="E598" s="80"/>
      <c r="F598" s="258">
        <f t="shared" ca="1" si="20"/>
        <v>0</v>
      </c>
      <c r="G598" s="624"/>
      <c r="H598" s="85"/>
      <c r="I598" s="624"/>
      <c r="J598" s="85"/>
      <c r="K598" s="624"/>
      <c r="L598" s="85"/>
      <c r="M598" s="624"/>
      <c r="N598" s="85"/>
      <c r="O598" s="624"/>
      <c r="P598" s="85"/>
      <c r="Q598" s="626">
        <f t="shared" si="19"/>
        <v>0</v>
      </c>
      <c r="R598" s="85"/>
      <c r="S598" s="624"/>
      <c r="T598" s="260"/>
      <c r="U598" s="624"/>
      <c r="V598" s="85"/>
      <c r="W598" s="624"/>
      <c r="X598" s="81"/>
      <c r="Y598" s="80"/>
      <c r="Z598" s="737">
        <f ca="1">MAX(0%,IF(Q598&lt;&gt;0,MIN((S598-Q598)/Q598/'Underwriting Risk'!$E$27,'Premium and Reserve Risk'!$Z$551),'Premium and Reserve Risk'!$Z$551))</f>
        <v>0.19</v>
      </c>
      <c r="AA598" s="80"/>
      <c r="AB598" s="80"/>
      <c r="AC598" s="737">
        <f ca="1">MAX(0%,IF(U598&lt;&gt;0,MIN((W598-U598)/U598/'Underwriting Risk'!$E$27,'Premium and Reserve Risk'!$AC$551),'Premium and Reserve Risk'!$AC$551))</f>
        <v>0.17199999999999999</v>
      </c>
      <c r="AD598" s="81"/>
      <c r="AE598" s="97"/>
      <c r="AF598" s="97"/>
      <c r="AG598" s="97"/>
      <c r="AH598" s="97"/>
    </row>
    <row r="599" spans="1:34" ht="13.5" customHeight="1" x14ac:dyDescent="0.25">
      <c r="A599" s="97"/>
      <c r="B599" s="257">
        <v>47</v>
      </c>
      <c r="C599" s="652"/>
      <c r="D599" s="80"/>
      <c r="E599" s="80"/>
      <c r="F599" s="258">
        <f t="shared" ca="1" si="20"/>
        <v>0</v>
      </c>
      <c r="G599" s="624"/>
      <c r="H599" s="85"/>
      <c r="I599" s="624"/>
      <c r="J599" s="85"/>
      <c r="K599" s="624"/>
      <c r="L599" s="85"/>
      <c r="M599" s="624"/>
      <c r="N599" s="85"/>
      <c r="O599" s="624"/>
      <c r="P599" s="85"/>
      <c r="Q599" s="626">
        <f t="shared" si="19"/>
        <v>0</v>
      </c>
      <c r="R599" s="85"/>
      <c r="S599" s="624"/>
      <c r="T599" s="260"/>
      <c r="U599" s="624"/>
      <c r="V599" s="85"/>
      <c r="W599" s="624"/>
      <c r="X599" s="81"/>
      <c r="Y599" s="80"/>
      <c r="Z599" s="737">
        <f ca="1">MAX(0%,IF(Q599&lt;&gt;0,MIN((S599-Q599)/Q599/'Underwriting Risk'!$E$27,'Premium and Reserve Risk'!$Z$551),'Premium and Reserve Risk'!$Z$551))</f>
        <v>0.19</v>
      </c>
      <c r="AA599" s="80"/>
      <c r="AB599" s="80"/>
      <c r="AC599" s="737">
        <f ca="1">MAX(0%,IF(U599&lt;&gt;0,MIN((W599-U599)/U599/'Underwriting Risk'!$E$27,'Premium and Reserve Risk'!$AC$551),'Premium and Reserve Risk'!$AC$551))</f>
        <v>0.17199999999999999</v>
      </c>
      <c r="AD599" s="81"/>
      <c r="AE599" s="97"/>
      <c r="AF599" s="97"/>
      <c r="AG599" s="97"/>
      <c r="AH599" s="97"/>
    </row>
    <row r="600" spans="1:34" ht="13.5" customHeight="1" x14ac:dyDescent="0.25">
      <c r="A600" s="97"/>
      <c r="B600" s="257">
        <v>48</v>
      </c>
      <c r="C600" s="652"/>
      <c r="D600" s="80"/>
      <c r="E600" s="80"/>
      <c r="F600" s="258">
        <f t="shared" ca="1" si="20"/>
        <v>0</v>
      </c>
      <c r="G600" s="624"/>
      <c r="H600" s="85"/>
      <c r="I600" s="624"/>
      <c r="J600" s="85"/>
      <c r="K600" s="624"/>
      <c r="L600" s="85"/>
      <c r="M600" s="624"/>
      <c r="N600" s="85"/>
      <c r="O600" s="624"/>
      <c r="P600" s="85"/>
      <c r="Q600" s="626">
        <f t="shared" si="19"/>
        <v>0</v>
      </c>
      <c r="R600" s="85"/>
      <c r="S600" s="624"/>
      <c r="T600" s="260"/>
      <c r="U600" s="624"/>
      <c r="V600" s="85"/>
      <c r="W600" s="624"/>
      <c r="X600" s="81"/>
      <c r="Y600" s="80"/>
      <c r="Z600" s="737">
        <f ca="1">MAX(0%,IF(Q600&lt;&gt;0,MIN((S600-Q600)/Q600/'Underwriting Risk'!$E$27,'Premium and Reserve Risk'!$Z$551),'Premium and Reserve Risk'!$Z$551))</f>
        <v>0.19</v>
      </c>
      <c r="AA600" s="80"/>
      <c r="AB600" s="80"/>
      <c r="AC600" s="737">
        <f ca="1">MAX(0%,IF(U600&lt;&gt;0,MIN((W600-U600)/U600/'Underwriting Risk'!$E$27,'Premium and Reserve Risk'!$AC$551),'Premium and Reserve Risk'!$AC$551))</f>
        <v>0.17199999999999999</v>
      </c>
      <c r="AD600" s="81"/>
      <c r="AE600" s="97"/>
      <c r="AF600" s="97"/>
      <c r="AG600" s="97"/>
      <c r="AH600" s="97"/>
    </row>
    <row r="601" spans="1:34" ht="13.5" customHeight="1" x14ac:dyDescent="0.25">
      <c r="A601" s="97"/>
      <c r="B601" s="257">
        <v>49</v>
      </c>
      <c r="C601" s="652"/>
      <c r="D601" s="80"/>
      <c r="E601" s="80"/>
      <c r="F601" s="258">
        <f t="shared" ca="1" si="20"/>
        <v>0</v>
      </c>
      <c r="G601" s="624"/>
      <c r="H601" s="85"/>
      <c r="I601" s="624"/>
      <c r="J601" s="85"/>
      <c r="K601" s="624"/>
      <c r="L601" s="85"/>
      <c r="M601" s="624"/>
      <c r="N601" s="85"/>
      <c r="O601" s="624"/>
      <c r="P601" s="85"/>
      <c r="Q601" s="626">
        <f t="shared" si="19"/>
        <v>0</v>
      </c>
      <c r="R601" s="85"/>
      <c r="S601" s="624"/>
      <c r="T601" s="260"/>
      <c r="U601" s="624"/>
      <c r="V601" s="85"/>
      <c r="W601" s="624"/>
      <c r="X601" s="81"/>
      <c r="Y601" s="80"/>
      <c r="Z601" s="737">
        <f ca="1">MAX(0%,IF(Q601&lt;&gt;0,MIN((S601-Q601)/Q601/'Underwriting Risk'!$E$27,'Premium and Reserve Risk'!$Z$551),'Premium and Reserve Risk'!$Z$551))</f>
        <v>0.19</v>
      </c>
      <c r="AA601" s="80"/>
      <c r="AB601" s="80"/>
      <c r="AC601" s="737">
        <f ca="1">MAX(0%,IF(U601&lt;&gt;0,MIN((W601-U601)/U601/'Underwriting Risk'!$E$27,'Premium and Reserve Risk'!$AC$551),'Premium and Reserve Risk'!$AC$551))</f>
        <v>0.17199999999999999</v>
      </c>
      <c r="AD601" s="81"/>
      <c r="AE601" s="97"/>
      <c r="AF601" s="97"/>
      <c r="AG601" s="97"/>
      <c r="AH601" s="97"/>
    </row>
    <row r="602" spans="1:34" ht="13.5" customHeight="1" x14ac:dyDescent="0.25">
      <c r="A602" s="97"/>
      <c r="B602" s="257">
        <v>50</v>
      </c>
      <c r="C602" s="652"/>
      <c r="D602" s="80"/>
      <c r="E602" s="80"/>
      <c r="F602" s="258">
        <f t="shared" ca="1" si="20"/>
        <v>0</v>
      </c>
      <c r="G602" s="624"/>
      <c r="H602" s="85"/>
      <c r="I602" s="624"/>
      <c r="J602" s="85"/>
      <c r="K602" s="624"/>
      <c r="L602" s="85"/>
      <c r="M602" s="624"/>
      <c r="N602" s="85"/>
      <c r="O602" s="624"/>
      <c r="P602" s="85"/>
      <c r="Q602" s="626">
        <f t="shared" si="19"/>
        <v>0</v>
      </c>
      <c r="R602" s="85"/>
      <c r="S602" s="624"/>
      <c r="T602" s="260"/>
      <c r="U602" s="624"/>
      <c r="V602" s="85"/>
      <c r="W602" s="624"/>
      <c r="X602" s="81"/>
      <c r="Y602" s="80"/>
      <c r="Z602" s="737">
        <f ca="1">MAX(0%,IF(Q602&lt;&gt;0,MIN((S602-Q602)/Q602/'Underwriting Risk'!$E$27,'Premium and Reserve Risk'!$Z$551),'Premium and Reserve Risk'!$Z$551))</f>
        <v>0.19</v>
      </c>
      <c r="AA602" s="80"/>
      <c r="AB602" s="80"/>
      <c r="AC602" s="737">
        <f ca="1">MAX(0%,IF(U602&lt;&gt;0,MIN((W602-U602)/U602/'Underwriting Risk'!$E$27,'Premium and Reserve Risk'!$AC$551),'Premium and Reserve Risk'!$AC$551))</f>
        <v>0.17199999999999999</v>
      </c>
      <c r="AD602" s="81"/>
      <c r="AE602" s="97"/>
      <c r="AF602" s="97"/>
      <c r="AG602" s="97"/>
      <c r="AH602" s="97"/>
    </row>
    <row r="603" spans="1:34" ht="13.5" customHeight="1" x14ac:dyDescent="0.25">
      <c r="A603" s="97"/>
      <c r="B603" s="257">
        <v>51</v>
      </c>
      <c r="C603" s="652"/>
      <c r="D603" s="80"/>
      <c r="E603" s="80"/>
      <c r="F603" s="258">
        <f t="shared" ca="1" si="20"/>
        <v>0</v>
      </c>
      <c r="G603" s="624"/>
      <c r="H603" s="85"/>
      <c r="I603" s="624"/>
      <c r="J603" s="85"/>
      <c r="K603" s="624"/>
      <c r="L603" s="85"/>
      <c r="M603" s="624"/>
      <c r="N603" s="85"/>
      <c r="O603" s="624"/>
      <c r="P603" s="85"/>
      <c r="Q603" s="626">
        <f t="shared" si="19"/>
        <v>0</v>
      </c>
      <c r="R603" s="85"/>
      <c r="S603" s="624"/>
      <c r="T603" s="260"/>
      <c r="U603" s="624"/>
      <c r="V603" s="85"/>
      <c r="W603" s="624"/>
      <c r="X603" s="81"/>
      <c r="Y603" s="80"/>
      <c r="Z603" s="737">
        <f ca="1">MAX(0%,IF(Q603&lt;&gt;0,MIN((S603-Q603)/Q603/'Underwriting Risk'!$E$27,'Premium and Reserve Risk'!$Z$551),'Premium and Reserve Risk'!$Z$551))</f>
        <v>0.19</v>
      </c>
      <c r="AA603" s="80"/>
      <c r="AB603" s="80"/>
      <c r="AC603" s="737">
        <f ca="1">MAX(0%,IF(U603&lt;&gt;0,MIN((W603-U603)/U603/'Underwriting Risk'!$E$27,'Premium and Reserve Risk'!$AC$551),'Premium and Reserve Risk'!$AC$551))</f>
        <v>0.17199999999999999</v>
      </c>
      <c r="AD603" s="81"/>
      <c r="AE603" s="97"/>
      <c r="AF603" s="97"/>
      <c r="AG603" s="97"/>
      <c r="AH603" s="97"/>
    </row>
    <row r="604" spans="1:34" ht="13.5" customHeight="1" x14ac:dyDescent="0.25">
      <c r="A604" s="97"/>
      <c r="B604" s="257">
        <v>52</v>
      </c>
      <c r="C604" s="652"/>
      <c r="D604" s="80"/>
      <c r="E604" s="80"/>
      <c r="F604" s="258">
        <f t="shared" ca="1" si="20"/>
        <v>0</v>
      </c>
      <c r="G604" s="624"/>
      <c r="H604" s="85"/>
      <c r="I604" s="624"/>
      <c r="J604" s="85"/>
      <c r="K604" s="624"/>
      <c r="L604" s="85"/>
      <c r="M604" s="624"/>
      <c r="N604" s="85"/>
      <c r="O604" s="624"/>
      <c r="P604" s="85"/>
      <c r="Q604" s="626">
        <f t="shared" si="19"/>
        <v>0</v>
      </c>
      <c r="R604" s="85"/>
      <c r="S604" s="624"/>
      <c r="T604" s="260"/>
      <c r="U604" s="624"/>
      <c r="V604" s="85"/>
      <c r="W604" s="624"/>
      <c r="X604" s="81"/>
      <c r="Y604" s="80"/>
      <c r="Z604" s="737">
        <f ca="1">MAX(0%,IF(Q604&lt;&gt;0,MIN((S604-Q604)/Q604/'Underwriting Risk'!$E$27,'Premium and Reserve Risk'!$Z$551),'Premium and Reserve Risk'!$Z$551))</f>
        <v>0.19</v>
      </c>
      <c r="AA604" s="80"/>
      <c r="AB604" s="80"/>
      <c r="AC604" s="737">
        <f ca="1">MAX(0%,IF(U604&lt;&gt;0,MIN((W604-U604)/U604/'Underwriting Risk'!$E$27,'Premium and Reserve Risk'!$AC$551),'Premium and Reserve Risk'!$AC$551))</f>
        <v>0.17199999999999999</v>
      </c>
      <c r="AD604" s="81"/>
      <c r="AE604" s="97"/>
      <c r="AF604" s="97"/>
      <c r="AG604" s="97"/>
      <c r="AH604" s="97"/>
    </row>
    <row r="605" spans="1:34" ht="13.5" customHeight="1" x14ac:dyDescent="0.25">
      <c r="A605" s="97"/>
      <c r="B605" s="257">
        <v>53</v>
      </c>
      <c r="C605" s="652"/>
      <c r="D605" s="80"/>
      <c r="E605" s="80"/>
      <c r="F605" s="258">
        <f t="shared" ca="1" si="20"/>
        <v>0</v>
      </c>
      <c r="G605" s="624"/>
      <c r="H605" s="85"/>
      <c r="I605" s="624"/>
      <c r="J605" s="85"/>
      <c r="K605" s="624"/>
      <c r="L605" s="85"/>
      <c r="M605" s="624"/>
      <c r="N605" s="85"/>
      <c r="O605" s="624"/>
      <c r="P605" s="85"/>
      <c r="Q605" s="626">
        <f t="shared" si="19"/>
        <v>0</v>
      </c>
      <c r="R605" s="85"/>
      <c r="S605" s="624"/>
      <c r="T605" s="260"/>
      <c r="U605" s="624"/>
      <c r="V605" s="85"/>
      <c r="W605" s="624"/>
      <c r="X605" s="81"/>
      <c r="Y605" s="80"/>
      <c r="Z605" s="737">
        <f ca="1">MAX(0%,IF(Q605&lt;&gt;0,MIN((S605-Q605)/Q605/'Underwriting Risk'!$E$27,'Premium and Reserve Risk'!$Z$551),'Premium and Reserve Risk'!$Z$551))</f>
        <v>0.19</v>
      </c>
      <c r="AA605" s="80"/>
      <c r="AB605" s="80"/>
      <c r="AC605" s="737">
        <f ca="1">MAX(0%,IF(U605&lt;&gt;0,MIN((W605-U605)/U605/'Underwriting Risk'!$E$27,'Premium and Reserve Risk'!$AC$551),'Premium and Reserve Risk'!$AC$551))</f>
        <v>0.17199999999999999</v>
      </c>
      <c r="AD605" s="81"/>
      <c r="AE605" s="97"/>
      <c r="AF605" s="97"/>
      <c r="AG605" s="97"/>
      <c r="AH605" s="97"/>
    </row>
    <row r="606" spans="1:34" ht="13.5" customHeight="1" x14ac:dyDescent="0.25">
      <c r="A606" s="97"/>
      <c r="B606" s="257">
        <v>54</v>
      </c>
      <c r="C606" s="652"/>
      <c r="D606" s="80"/>
      <c r="E606" s="80"/>
      <c r="F606" s="258">
        <f t="shared" ca="1" si="20"/>
        <v>0</v>
      </c>
      <c r="G606" s="624"/>
      <c r="H606" s="85"/>
      <c r="I606" s="624"/>
      <c r="J606" s="85"/>
      <c r="K606" s="624"/>
      <c r="L606" s="85"/>
      <c r="M606" s="624"/>
      <c r="N606" s="85"/>
      <c r="O606" s="624"/>
      <c r="P606" s="85"/>
      <c r="Q606" s="626">
        <f t="shared" si="19"/>
        <v>0</v>
      </c>
      <c r="R606" s="85"/>
      <c r="S606" s="624"/>
      <c r="T606" s="260"/>
      <c r="U606" s="624"/>
      <c r="V606" s="85"/>
      <c r="W606" s="624"/>
      <c r="X606" s="81"/>
      <c r="Y606" s="80"/>
      <c r="Z606" s="737">
        <f ca="1">MAX(0%,IF(Q606&lt;&gt;0,MIN((S606-Q606)/Q606/'Underwriting Risk'!$E$27,'Premium and Reserve Risk'!$Z$551),'Premium and Reserve Risk'!$Z$551))</f>
        <v>0.19</v>
      </c>
      <c r="AA606" s="80"/>
      <c r="AB606" s="80"/>
      <c r="AC606" s="737">
        <f ca="1">MAX(0%,IF(U606&lt;&gt;0,MIN((W606-U606)/U606/'Underwriting Risk'!$E$27,'Premium and Reserve Risk'!$AC$551),'Premium and Reserve Risk'!$AC$551))</f>
        <v>0.17199999999999999</v>
      </c>
      <c r="AD606" s="81"/>
      <c r="AE606" s="97"/>
      <c r="AF606" s="97"/>
      <c r="AG606" s="97"/>
      <c r="AH606" s="97"/>
    </row>
    <row r="607" spans="1:34" ht="13.5" customHeight="1" x14ac:dyDescent="0.25">
      <c r="A607" s="97"/>
      <c r="B607" s="257">
        <v>55</v>
      </c>
      <c r="C607" s="652"/>
      <c r="D607" s="80"/>
      <c r="E607" s="80"/>
      <c r="F607" s="258">
        <f t="shared" ca="1" si="20"/>
        <v>0</v>
      </c>
      <c r="G607" s="624"/>
      <c r="H607" s="85"/>
      <c r="I607" s="624"/>
      <c r="J607" s="85"/>
      <c r="K607" s="624"/>
      <c r="L607" s="85"/>
      <c r="M607" s="624"/>
      <c r="N607" s="85"/>
      <c r="O607" s="624"/>
      <c r="P607" s="85"/>
      <c r="Q607" s="626">
        <f t="shared" si="19"/>
        <v>0</v>
      </c>
      <c r="R607" s="85"/>
      <c r="S607" s="624"/>
      <c r="T607" s="260"/>
      <c r="U607" s="624"/>
      <c r="V607" s="85"/>
      <c r="W607" s="624"/>
      <c r="X607" s="81"/>
      <c r="Y607" s="80"/>
      <c r="Z607" s="737">
        <f ca="1">MAX(0%,IF(Q607&lt;&gt;0,MIN((S607-Q607)/Q607/'Underwriting Risk'!$E$27,'Premium and Reserve Risk'!$Z$551),'Premium and Reserve Risk'!$Z$551))</f>
        <v>0.19</v>
      </c>
      <c r="AA607" s="80"/>
      <c r="AB607" s="80"/>
      <c r="AC607" s="737">
        <f ca="1">MAX(0%,IF(U607&lt;&gt;0,MIN((W607-U607)/U607/'Underwriting Risk'!$E$27,'Premium and Reserve Risk'!$AC$551),'Premium and Reserve Risk'!$AC$551))</f>
        <v>0.17199999999999999</v>
      </c>
      <c r="AD607" s="81"/>
      <c r="AE607" s="97"/>
      <c r="AF607" s="97"/>
      <c r="AG607" s="97"/>
      <c r="AH607" s="97"/>
    </row>
    <row r="608" spans="1:34" ht="13.5" customHeight="1" x14ac:dyDescent="0.25">
      <c r="A608" s="97"/>
      <c r="B608" s="257">
        <v>56</v>
      </c>
      <c r="C608" s="652"/>
      <c r="D608" s="80"/>
      <c r="E608" s="80"/>
      <c r="F608" s="258">
        <f t="shared" ca="1" si="20"/>
        <v>0</v>
      </c>
      <c r="G608" s="624"/>
      <c r="H608" s="85"/>
      <c r="I608" s="624"/>
      <c r="J608" s="85"/>
      <c r="K608" s="624"/>
      <c r="L608" s="85"/>
      <c r="M608" s="624"/>
      <c r="N608" s="85"/>
      <c r="O608" s="624"/>
      <c r="P608" s="85"/>
      <c r="Q608" s="626">
        <f t="shared" si="19"/>
        <v>0</v>
      </c>
      <c r="R608" s="85"/>
      <c r="S608" s="624"/>
      <c r="T608" s="260"/>
      <c r="U608" s="624"/>
      <c r="V608" s="85"/>
      <c r="W608" s="624"/>
      <c r="X608" s="81"/>
      <c r="Y608" s="80"/>
      <c r="Z608" s="737">
        <f ca="1">MAX(0%,IF(Q608&lt;&gt;0,MIN((S608-Q608)/Q608/'Underwriting Risk'!$E$27,'Premium and Reserve Risk'!$Z$551),'Premium and Reserve Risk'!$Z$551))</f>
        <v>0.19</v>
      </c>
      <c r="AA608" s="80"/>
      <c r="AB608" s="80"/>
      <c r="AC608" s="737">
        <f ca="1">MAX(0%,IF(U608&lt;&gt;0,MIN((W608-U608)/U608/'Underwriting Risk'!$E$27,'Premium and Reserve Risk'!$AC$551),'Premium and Reserve Risk'!$AC$551))</f>
        <v>0.17199999999999999</v>
      </c>
      <c r="AD608" s="81"/>
      <c r="AE608" s="97"/>
      <c r="AF608" s="97"/>
      <c r="AG608" s="97"/>
      <c r="AH608" s="97"/>
    </row>
    <row r="609" spans="1:34" ht="13.5" customHeight="1" x14ac:dyDescent="0.25">
      <c r="A609" s="97"/>
      <c r="B609" s="257">
        <v>57</v>
      </c>
      <c r="C609" s="652"/>
      <c r="D609" s="80"/>
      <c r="E609" s="80"/>
      <c r="F609" s="258">
        <f t="shared" ca="1" si="20"/>
        <v>0</v>
      </c>
      <c r="G609" s="624"/>
      <c r="H609" s="85"/>
      <c r="I609" s="624"/>
      <c r="J609" s="85"/>
      <c r="K609" s="624"/>
      <c r="L609" s="85"/>
      <c r="M609" s="624"/>
      <c r="N609" s="85"/>
      <c r="O609" s="624"/>
      <c r="P609" s="85"/>
      <c r="Q609" s="626">
        <f t="shared" si="19"/>
        <v>0</v>
      </c>
      <c r="R609" s="85"/>
      <c r="S609" s="624"/>
      <c r="T609" s="260"/>
      <c r="U609" s="624"/>
      <c r="V609" s="85"/>
      <c r="W609" s="624"/>
      <c r="X609" s="81"/>
      <c r="Y609" s="80"/>
      <c r="Z609" s="737">
        <f ca="1">MAX(0%,IF(Q609&lt;&gt;0,MIN((S609-Q609)/Q609/'Underwriting Risk'!$E$27,'Premium and Reserve Risk'!$Z$551),'Premium and Reserve Risk'!$Z$551))</f>
        <v>0.19</v>
      </c>
      <c r="AA609" s="80"/>
      <c r="AB609" s="80"/>
      <c r="AC609" s="737">
        <f ca="1">MAX(0%,IF(U609&lt;&gt;0,MIN((W609-U609)/U609/'Underwriting Risk'!$E$27,'Premium and Reserve Risk'!$AC$551),'Premium and Reserve Risk'!$AC$551))</f>
        <v>0.17199999999999999</v>
      </c>
      <c r="AD609" s="81"/>
      <c r="AE609" s="97"/>
      <c r="AF609" s="97"/>
      <c r="AG609" s="97"/>
      <c r="AH609" s="97"/>
    </row>
    <row r="610" spans="1:34" ht="13.5" customHeight="1" x14ac:dyDescent="0.25">
      <c r="A610" s="97"/>
      <c r="B610" s="257">
        <v>58</v>
      </c>
      <c r="C610" s="652"/>
      <c r="D610" s="80"/>
      <c r="E610" s="80"/>
      <c r="F610" s="258">
        <f t="shared" ca="1" si="20"/>
        <v>0</v>
      </c>
      <c r="G610" s="624"/>
      <c r="H610" s="85"/>
      <c r="I610" s="624"/>
      <c r="J610" s="85"/>
      <c r="K610" s="624"/>
      <c r="L610" s="85"/>
      <c r="M610" s="624"/>
      <c r="N610" s="85"/>
      <c r="O610" s="624"/>
      <c r="P610" s="85"/>
      <c r="Q610" s="626">
        <f t="shared" si="19"/>
        <v>0</v>
      </c>
      <c r="R610" s="85"/>
      <c r="S610" s="624"/>
      <c r="T610" s="260"/>
      <c r="U610" s="624"/>
      <c r="V610" s="85"/>
      <c r="W610" s="624"/>
      <c r="X610" s="81"/>
      <c r="Y610" s="80"/>
      <c r="Z610" s="737">
        <f ca="1">MAX(0%,IF(Q610&lt;&gt;0,MIN((S610-Q610)/Q610/'Underwriting Risk'!$E$27,'Premium and Reserve Risk'!$Z$551),'Premium and Reserve Risk'!$Z$551))</f>
        <v>0.19</v>
      </c>
      <c r="AA610" s="80"/>
      <c r="AB610" s="80"/>
      <c r="AC610" s="737">
        <f ca="1">MAX(0%,IF(U610&lt;&gt;0,MIN((W610-U610)/U610/'Underwriting Risk'!$E$27,'Premium and Reserve Risk'!$AC$551),'Premium and Reserve Risk'!$AC$551))</f>
        <v>0.17199999999999999</v>
      </c>
      <c r="AD610" s="81"/>
      <c r="AE610" s="97"/>
      <c r="AF610" s="97"/>
      <c r="AG610" s="97"/>
      <c r="AH610" s="97"/>
    </row>
    <row r="611" spans="1:34" ht="13.5" customHeight="1" x14ac:dyDescent="0.25">
      <c r="A611" s="97"/>
      <c r="B611" s="257">
        <v>59</v>
      </c>
      <c r="C611" s="652"/>
      <c r="D611" s="80"/>
      <c r="E611" s="80"/>
      <c r="F611" s="258">
        <f t="shared" ca="1" si="20"/>
        <v>0</v>
      </c>
      <c r="G611" s="624"/>
      <c r="H611" s="85"/>
      <c r="I611" s="624"/>
      <c r="J611" s="85"/>
      <c r="K611" s="624"/>
      <c r="L611" s="85"/>
      <c r="M611" s="624"/>
      <c r="N611" s="85"/>
      <c r="O611" s="624"/>
      <c r="P611" s="85"/>
      <c r="Q611" s="626">
        <f t="shared" si="19"/>
        <v>0</v>
      </c>
      <c r="R611" s="85"/>
      <c r="S611" s="624"/>
      <c r="T611" s="260"/>
      <c r="U611" s="624"/>
      <c r="V611" s="85"/>
      <c r="W611" s="624"/>
      <c r="X611" s="81"/>
      <c r="Y611" s="80"/>
      <c r="Z611" s="737">
        <f ca="1">MAX(0%,IF(Q611&lt;&gt;0,MIN((S611-Q611)/Q611/'Underwriting Risk'!$E$27,'Premium and Reserve Risk'!$Z$551),'Premium and Reserve Risk'!$Z$551))</f>
        <v>0.19</v>
      </c>
      <c r="AA611" s="80"/>
      <c r="AB611" s="80"/>
      <c r="AC611" s="737">
        <f ca="1">MAX(0%,IF(U611&lt;&gt;0,MIN((W611-U611)/U611/'Underwriting Risk'!$E$27,'Premium and Reserve Risk'!$AC$551),'Premium and Reserve Risk'!$AC$551))</f>
        <v>0.17199999999999999</v>
      </c>
      <c r="AD611" s="81"/>
      <c r="AE611" s="97"/>
      <c r="AF611" s="97"/>
      <c r="AG611" s="97"/>
      <c r="AH611" s="97"/>
    </row>
    <row r="612" spans="1:34" ht="13.5" customHeight="1" x14ac:dyDescent="0.25">
      <c r="A612" s="97"/>
      <c r="B612" s="257">
        <v>60</v>
      </c>
      <c r="C612" s="652"/>
      <c r="D612" s="80"/>
      <c r="E612" s="80"/>
      <c r="F612" s="258">
        <f t="shared" ca="1" si="20"/>
        <v>0</v>
      </c>
      <c r="G612" s="624"/>
      <c r="H612" s="85"/>
      <c r="I612" s="624"/>
      <c r="J612" s="85"/>
      <c r="K612" s="624"/>
      <c r="L612" s="85"/>
      <c r="M612" s="624"/>
      <c r="N612" s="85"/>
      <c r="O612" s="624"/>
      <c r="P612" s="85"/>
      <c r="Q612" s="626">
        <f t="shared" si="19"/>
        <v>0</v>
      </c>
      <c r="R612" s="85"/>
      <c r="S612" s="624"/>
      <c r="T612" s="260"/>
      <c r="U612" s="624"/>
      <c r="V612" s="85"/>
      <c r="W612" s="624"/>
      <c r="X612" s="81"/>
      <c r="Y612" s="80"/>
      <c r="Z612" s="737">
        <f ca="1">MAX(0%,IF(Q612&lt;&gt;0,MIN((S612-Q612)/Q612/'Underwriting Risk'!$E$27,'Premium and Reserve Risk'!$Z$551),'Premium and Reserve Risk'!$Z$551))</f>
        <v>0.19</v>
      </c>
      <c r="AA612" s="80"/>
      <c r="AB612" s="80"/>
      <c r="AC612" s="737">
        <f ca="1">MAX(0%,IF(U612&lt;&gt;0,MIN((W612-U612)/U612/'Underwriting Risk'!$E$27,'Premium and Reserve Risk'!$AC$551),'Premium and Reserve Risk'!$AC$551))</f>
        <v>0.17199999999999999</v>
      </c>
      <c r="AD612" s="81"/>
      <c r="AE612" s="97"/>
      <c r="AF612" s="97"/>
      <c r="AG612" s="97"/>
      <c r="AH612" s="97"/>
    </row>
    <row r="613" spans="1:34" ht="13.5" customHeight="1" x14ac:dyDescent="0.25">
      <c r="A613" s="97"/>
      <c r="B613" s="257">
        <v>61</v>
      </c>
      <c r="C613" s="652"/>
      <c r="D613" s="80"/>
      <c r="E613" s="80"/>
      <c r="F613" s="258">
        <f t="shared" ca="1" si="20"/>
        <v>0</v>
      </c>
      <c r="G613" s="624"/>
      <c r="H613" s="85"/>
      <c r="I613" s="624"/>
      <c r="J613" s="85"/>
      <c r="K613" s="624"/>
      <c r="L613" s="85"/>
      <c r="M613" s="624"/>
      <c r="N613" s="85"/>
      <c r="O613" s="624"/>
      <c r="P613" s="85"/>
      <c r="Q613" s="626">
        <f t="shared" si="19"/>
        <v>0</v>
      </c>
      <c r="R613" s="85"/>
      <c r="S613" s="624"/>
      <c r="T613" s="260"/>
      <c r="U613" s="624"/>
      <c r="V613" s="85"/>
      <c r="W613" s="624"/>
      <c r="X613" s="81"/>
      <c r="Y613" s="80"/>
      <c r="Z613" s="737">
        <f ca="1">MAX(0%,IF(Q613&lt;&gt;0,MIN((S613-Q613)/Q613/'Underwriting Risk'!$E$27,'Premium and Reserve Risk'!$Z$551),'Premium and Reserve Risk'!$Z$551))</f>
        <v>0.19</v>
      </c>
      <c r="AA613" s="80"/>
      <c r="AB613" s="80"/>
      <c r="AC613" s="737">
        <f ca="1">MAX(0%,IF(U613&lt;&gt;0,MIN((W613-U613)/U613/'Underwriting Risk'!$E$27,'Premium and Reserve Risk'!$AC$551),'Premium and Reserve Risk'!$AC$551))</f>
        <v>0.17199999999999999</v>
      </c>
      <c r="AD613" s="81"/>
      <c r="AE613" s="97"/>
      <c r="AF613" s="97"/>
      <c r="AG613" s="97"/>
      <c r="AH613" s="97"/>
    </row>
    <row r="614" spans="1:34" ht="13.5" customHeight="1" x14ac:dyDescent="0.25">
      <c r="A614" s="97"/>
      <c r="B614" s="257">
        <v>62</v>
      </c>
      <c r="C614" s="652"/>
      <c r="D614" s="80"/>
      <c r="E614" s="80"/>
      <c r="F614" s="258">
        <f t="shared" ca="1" si="20"/>
        <v>0</v>
      </c>
      <c r="G614" s="624"/>
      <c r="H614" s="85"/>
      <c r="I614" s="624"/>
      <c r="J614" s="85"/>
      <c r="K614" s="624"/>
      <c r="L614" s="85"/>
      <c r="M614" s="624"/>
      <c r="N614" s="85"/>
      <c r="O614" s="624"/>
      <c r="P614" s="85"/>
      <c r="Q614" s="626">
        <f t="shared" si="19"/>
        <v>0</v>
      </c>
      <c r="R614" s="85"/>
      <c r="S614" s="624"/>
      <c r="T614" s="260"/>
      <c r="U614" s="624"/>
      <c r="V614" s="85"/>
      <c r="W614" s="624"/>
      <c r="X614" s="81"/>
      <c r="Y614" s="80"/>
      <c r="Z614" s="737">
        <f ca="1">MAX(0%,IF(Q614&lt;&gt;0,MIN((S614-Q614)/Q614/'Underwriting Risk'!$E$27,'Premium and Reserve Risk'!$Z$551),'Premium and Reserve Risk'!$Z$551))</f>
        <v>0.19</v>
      </c>
      <c r="AA614" s="80"/>
      <c r="AB614" s="80"/>
      <c r="AC614" s="737">
        <f ca="1">MAX(0%,IF(U614&lt;&gt;0,MIN((W614-U614)/U614/'Underwriting Risk'!$E$27,'Premium and Reserve Risk'!$AC$551),'Premium and Reserve Risk'!$AC$551))</f>
        <v>0.17199999999999999</v>
      </c>
      <c r="AD614" s="81"/>
      <c r="AE614" s="97"/>
      <c r="AF614" s="97"/>
      <c r="AG614" s="97"/>
      <c r="AH614" s="97"/>
    </row>
    <row r="615" spans="1:34" ht="13.5" customHeight="1" x14ac:dyDescent="0.25">
      <c r="A615" s="97"/>
      <c r="B615" s="257">
        <v>63</v>
      </c>
      <c r="C615" s="652"/>
      <c r="D615" s="80"/>
      <c r="E615" s="80"/>
      <c r="F615" s="258">
        <f t="shared" ca="1" si="20"/>
        <v>0</v>
      </c>
      <c r="G615" s="624"/>
      <c r="H615" s="85"/>
      <c r="I615" s="624"/>
      <c r="J615" s="85"/>
      <c r="K615" s="624"/>
      <c r="L615" s="85"/>
      <c r="M615" s="624"/>
      <c r="N615" s="85"/>
      <c r="O615" s="624"/>
      <c r="P615" s="85"/>
      <c r="Q615" s="626">
        <f t="shared" si="19"/>
        <v>0</v>
      </c>
      <c r="R615" s="85"/>
      <c r="S615" s="624"/>
      <c r="T615" s="260"/>
      <c r="U615" s="624"/>
      <c r="V615" s="85"/>
      <c r="W615" s="624"/>
      <c r="X615" s="81"/>
      <c r="Y615" s="80"/>
      <c r="Z615" s="737">
        <f ca="1">MAX(0%,IF(Q615&lt;&gt;0,MIN((S615-Q615)/Q615/'Underwriting Risk'!$E$27,'Premium and Reserve Risk'!$Z$551),'Premium and Reserve Risk'!$Z$551))</f>
        <v>0.19</v>
      </c>
      <c r="AA615" s="80"/>
      <c r="AB615" s="80"/>
      <c r="AC615" s="737">
        <f ca="1">MAX(0%,IF(U615&lt;&gt;0,MIN((W615-U615)/U615/'Underwriting Risk'!$E$27,'Premium and Reserve Risk'!$AC$551),'Premium and Reserve Risk'!$AC$551))</f>
        <v>0.17199999999999999</v>
      </c>
      <c r="AD615" s="81"/>
      <c r="AE615" s="97"/>
      <c r="AF615" s="97"/>
      <c r="AG615" s="97"/>
      <c r="AH615" s="97"/>
    </row>
    <row r="616" spans="1:34" ht="13.5" customHeight="1" x14ac:dyDescent="0.25">
      <c r="A616" s="97"/>
      <c r="B616" s="257">
        <v>64</v>
      </c>
      <c r="C616" s="652"/>
      <c r="D616" s="80"/>
      <c r="E616" s="80"/>
      <c r="F616" s="258">
        <f t="shared" ca="1" si="20"/>
        <v>0</v>
      </c>
      <c r="G616" s="624"/>
      <c r="H616" s="85"/>
      <c r="I616" s="624"/>
      <c r="J616" s="85"/>
      <c r="K616" s="624"/>
      <c r="L616" s="85"/>
      <c r="M616" s="624"/>
      <c r="N616" s="85"/>
      <c r="O616" s="624"/>
      <c r="P616" s="85"/>
      <c r="Q616" s="626">
        <f t="shared" si="19"/>
        <v>0</v>
      </c>
      <c r="R616" s="85"/>
      <c r="S616" s="624"/>
      <c r="T616" s="260"/>
      <c r="U616" s="624"/>
      <c r="V616" s="85"/>
      <c r="W616" s="624"/>
      <c r="X616" s="81"/>
      <c r="Y616" s="80"/>
      <c r="Z616" s="737">
        <f ca="1">MAX(0%,IF(Q616&lt;&gt;0,MIN((S616-Q616)/Q616/'Underwriting Risk'!$E$27,'Premium and Reserve Risk'!$Z$551),'Premium and Reserve Risk'!$Z$551))</f>
        <v>0.19</v>
      </c>
      <c r="AA616" s="80"/>
      <c r="AB616" s="80"/>
      <c r="AC616" s="737">
        <f ca="1">MAX(0%,IF(U616&lt;&gt;0,MIN((W616-U616)/U616/'Underwriting Risk'!$E$27,'Premium and Reserve Risk'!$AC$551),'Premium and Reserve Risk'!$AC$551))</f>
        <v>0.17199999999999999</v>
      </c>
      <c r="AD616" s="81"/>
      <c r="AE616" s="97"/>
      <c r="AF616" s="97"/>
      <c r="AG616" s="97"/>
      <c r="AH616" s="97"/>
    </row>
    <row r="617" spans="1:34" ht="13.5" customHeight="1" x14ac:dyDescent="0.25">
      <c r="A617" s="97"/>
      <c r="B617" s="257">
        <v>65</v>
      </c>
      <c r="C617" s="652"/>
      <c r="D617" s="80"/>
      <c r="E617" s="80"/>
      <c r="F617" s="258">
        <f t="shared" ca="1" si="20"/>
        <v>0</v>
      </c>
      <c r="G617" s="624"/>
      <c r="H617" s="85"/>
      <c r="I617" s="624"/>
      <c r="J617" s="85"/>
      <c r="K617" s="624"/>
      <c r="L617" s="85"/>
      <c r="M617" s="624"/>
      <c r="N617" s="85"/>
      <c r="O617" s="624"/>
      <c r="P617" s="85"/>
      <c r="Q617" s="626">
        <f t="shared" si="19"/>
        <v>0</v>
      </c>
      <c r="R617" s="85"/>
      <c r="S617" s="624"/>
      <c r="T617" s="260"/>
      <c r="U617" s="624"/>
      <c r="V617" s="85"/>
      <c r="W617" s="624"/>
      <c r="X617" s="81"/>
      <c r="Y617" s="80"/>
      <c r="Z617" s="737">
        <f ca="1">MAX(0%,IF(Q617&lt;&gt;0,MIN((S617-Q617)/Q617/'Underwriting Risk'!$E$27,'Premium and Reserve Risk'!$Z$551),'Premium and Reserve Risk'!$Z$551))</f>
        <v>0.19</v>
      </c>
      <c r="AA617" s="80"/>
      <c r="AB617" s="80"/>
      <c r="AC617" s="737">
        <f ca="1">MAX(0%,IF(U617&lt;&gt;0,MIN((W617-U617)/U617/'Underwriting Risk'!$E$27,'Premium and Reserve Risk'!$AC$551),'Premium and Reserve Risk'!$AC$551))</f>
        <v>0.17199999999999999</v>
      </c>
      <c r="AD617" s="81"/>
      <c r="AE617" s="97"/>
      <c r="AF617" s="97"/>
      <c r="AG617" s="97"/>
      <c r="AH617" s="97"/>
    </row>
    <row r="618" spans="1:34" ht="13.5" customHeight="1" x14ac:dyDescent="0.25">
      <c r="A618" s="97"/>
      <c r="B618" s="257">
        <v>66</v>
      </c>
      <c r="C618" s="652"/>
      <c r="D618" s="80"/>
      <c r="E618" s="80"/>
      <c r="F618" s="258">
        <f t="shared" ref="F618:F652" ca="1" si="21">IF(B618&lt;=OFFSET($Z$8,B$550-1,0),0,1)</f>
        <v>0</v>
      </c>
      <c r="G618" s="624"/>
      <c r="H618" s="85"/>
      <c r="I618" s="624"/>
      <c r="J618" s="85"/>
      <c r="K618" s="624"/>
      <c r="L618" s="85"/>
      <c r="M618" s="624"/>
      <c r="N618" s="85"/>
      <c r="O618" s="624"/>
      <c r="P618" s="85"/>
      <c r="Q618" s="626">
        <f t="shared" si="19"/>
        <v>0</v>
      </c>
      <c r="R618" s="85"/>
      <c r="S618" s="624"/>
      <c r="T618" s="260"/>
      <c r="U618" s="624"/>
      <c r="V618" s="85"/>
      <c r="W618" s="624"/>
      <c r="X618" s="81"/>
      <c r="Y618" s="80"/>
      <c r="Z618" s="737">
        <f ca="1">MAX(0%,IF(Q618&lt;&gt;0,MIN((S618-Q618)/Q618/'Underwriting Risk'!$E$27,'Premium and Reserve Risk'!$Z$551),'Premium and Reserve Risk'!$Z$551))</f>
        <v>0.19</v>
      </c>
      <c r="AA618" s="80"/>
      <c r="AB618" s="80"/>
      <c r="AC618" s="737">
        <f ca="1">MAX(0%,IF(U618&lt;&gt;0,MIN((W618-U618)/U618/'Underwriting Risk'!$E$27,'Premium and Reserve Risk'!$AC$551),'Premium and Reserve Risk'!$AC$551))</f>
        <v>0.17199999999999999</v>
      </c>
      <c r="AD618" s="81"/>
      <c r="AE618" s="97"/>
      <c r="AF618" s="97"/>
      <c r="AG618" s="97"/>
      <c r="AH618" s="97"/>
    </row>
    <row r="619" spans="1:34" ht="13.5" customHeight="1" x14ac:dyDescent="0.25">
      <c r="A619" s="97"/>
      <c r="B619" s="257">
        <v>67</v>
      </c>
      <c r="C619" s="652"/>
      <c r="D619" s="80"/>
      <c r="E619" s="80"/>
      <c r="F619" s="258">
        <f t="shared" ca="1" si="21"/>
        <v>0</v>
      </c>
      <c r="G619" s="624"/>
      <c r="H619" s="85"/>
      <c r="I619" s="624"/>
      <c r="J619" s="85"/>
      <c r="K619" s="624"/>
      <c r="L619" s="85"/>
      <c r="M619" s="624"/>
      <c r="N619" s="85"/>
      <c r="O619" s="624"/>
      <c r="P619" s="85"/>
      <c r="Q619" s="626">
        <f t="shared" si="19"/>
        <v>0</v>
      </c>
      <c r="R619" s="85"/>
      <c r="S619" s="624"/>
      <c r="T619" s="260"/>
      <c r="U619" s="624"/>
      <c r="V619" s="85"/>
      <c r="W619" s="624"/>
      <c r="X619" s="81"/>
      <c r="Y619" s="80"/>
      <c r="Z619" s="737">
        <f ca="1">MAX(0%,IF(Q619&lt;&gt;0,MIN((S619-Q619)/Q619/'Underwriting Risk'!$E$27,'Premium and Reserve Risk'!$Z$551),'Premium and Reserve Risk'!$Z$551))</f>
        <v>0.19</v>
      </c>
      <c r="AA619" s="80"/>
      <c r="AB619" s="80"/>
      <c r="AC619" s="737">
        <f ca="1">MAX(0%,IF(U619&lt;&gt;0,MIN((W619-U619)/U619/'Underwriting Risk'!$E$27,'Premium and Reserve Risk'!$AC$551),'Premium and Reserve Risk'!$AC$551))</f>
        <v>0.17199999999999999</v>
      </c>
      <c r="AD619" s="81"/>
      <c r="AE619" s="97"/>
      <c r="AF619" s="97"/>
      <c r="AG619" s="97"/>
      <c r="AH619" s="97"/>
    </row>
    <row r="620" spans="1:34" ht="13.5" customHeight="1" x14ac:dyDescent="0.25">
      <c r="A620" s="97"/>
      <c r="B620" s="257">
        <v>68</v>
      </c>
      <c r="C620" s="652"/>
      <c r="D620" s="80"/>
      <c r="E620" s="80"/>
      <c r="F620" s="258">
        <f t="shared" ca="1" si="21"/>
        <v>0</v>
      </c>
      <c r="G620" s="624"/>
      <c r="H620" s="85"/>
      <c r="I620" s="624"/>
      <c r="J620" s="85"/>
      <c r="K620" s="624"/>
      <c r="L620" s="85"/>
      <c r="M620" s="624"/>
      <c r="N620" s="85"/>
      <c r="O620" s="624"/>
      <c r="P620" s="85"/>
      <c r="Q620" s="626">
        <f t="shared" si="19"/>
        <v>0</v>
      </c>
      <c r="R620" s="85"/>
      <c r="S620" s="624"/>
      <c r="T620" s="260"/>
      <c r="U620" s="624"/>
      <c r="V620" s="85"/>
      <c r="W620" s="624"/>
      <c r="X620" s="81"/>
      <c r="Y620" s="80"/>
      <c r="Z620" s="737">
        <f ca="1">MAX(0%,IF(Q620&lt;&gt;0,MIN((S620-Q620)/Q620/'Underwriting Risk'!$E$27,'Premium and Reserve Risk'!$Z$551),'Premium and Reserve Risk'!$Z$551))</f>
        <v>0.19</v>
      </c>
      <c r="AA620" s="80"/>
      <c r="AB620" s="80"/>
      <c r="AC620" s="737">
        <f ca="1">MAX(0%,IF(U620&lt;&gt;0,MIN((W620-U620)/U620/'Underwriting Risk'!$E$27,'Premium and Reserve Risk'!$AC$551),'Premium and Reserve Risk'!$AC$551))</f>
        <v>0.17199999999999999</v>
      </c>
      <c r="AD620" s="81"/>
      <c r="AE620" s="97"/>
      <c r="AF620" s="97"/>
      <c r="AG620" s="97"/>
      <c r="AH620" s="97"/>
    </row>
    <row r="621" spans="1:34" ht="13.5" customHeight="1" x14ac:dyDescent="0.25">
      <c r="A621" s="97"/>
      <c r="B621" s="257">
        <v>69</v>
      </c>
      <c r="C621" s="652"/>
      <c r="D621" s="80"/>
      <c r="E621" s="80"/>
      <c r="F621" s="258">
        <f t="shared" ca="1" si="21"/>
        <v>0</v>
      </c>
      <c r="G621" s="624"/>
      <c r="H621" s="85"/>
      <c r="I621" s="624"/>
      <c r="J621" s="85"/>
      <c r="K621" s="624"/>
      <c r="L621" s="85"/>
      <c r="M621" s="624"/>
      <c r="N621" s="85"/>
      <c r="O621" s="624"/>
      <c r="P621" s="85"/>
      <c r="Q621" s="626">
        <f t="shared" si="19"/>
        <v>0</v>
      </c>
      <c r="R621" s="85"/>
      <c r="S621" s="624"/>
      <c r="T621" s="260"/>
      <c r="U621" s="624"/>
      <c r="V621" s="85"/>
      <c r="W621" s="624"/>
      <c r="X621" s="81"/>
      <c r="Y621" s="80"/>
      <c r="Z621" s="737">
        <f ca="1">MAX(0%,IF(Q621&lt;&gt;0,MIN((S621-Q621)/Q621/'Underwriting Risk'!$E$27,'Premium and Reserve Risk'!$Z$551),'Premium and Reserve Risk'!$Z$551))</f>
        <v>0.19</v>
      </c>
      <c r="AA621" s="80"/>
      <c r="AB621" s="80"/>
      <c r="AC621" s="737">
        <f ca="1">MAX(0%,IF(U621&lt;&gt;0,MIN((W621-U621)/U621/'Underwriting Risk'!$E$27,'Premium and Reserve Risk'!$AC$551),'Premium and Reserve Risk'!$AC$551))</f>
        <v>0.17199999999999999</v>
      </c>
      <c r="AD621" s="81"/>
      <c r="AE621" s="97"/>
      <c r="AF621" s="97"/>
      <c r="AG621" s="97"/>
      <c r="AH621" s="97"/>
    </row>
    <row r="622" spans="1:34" ht="13.5" customHeight="1" x14ac:dyDescent="0.25">
      <c r="A622" s="97"/>
      <c r="B622" s="257">
        <v>70</v>
      </c>
      <c r="C622" s="652"/>
      <c r="D622" s="80"/>
      <c r="E622" s="80"/>
      <c r="F622" s="258">
        <f t="shared" ca="1" si="21"/>
        <v>0</v>
      </c>
      <c r="G622" s="624"/>
      <c r="H622" s="85"/>
      <c r="I622" s="624"/>
      <c r="J622" s="85"/>
      <c r="K622" s="624"/>
      <c r="L622" s="85"/>
      <c r="M622" s="624"/>
      <c r="N622" s="85"/>
      <c r="O622" s="624"/>
      <c r="P622" s="85"/>
      <c r="Q622" s="626">
        <f t="shared" si="19"/>
        <v>0</v>
      </c>
      <c r="R622" s="85"/>
      <c r="S622" s="624"/>
      <c r="T622" s="260"/>
      <c r="U622" s="624"/>
      <c r="V622" s="85"/>
      <c r="W622" s="624"/>
      <c r="X622" s="81"/>
      <c r="Y622" s="80"/>
      <c r="Z622" s="737">
        <f ca="1">MAX(0%,IF(Q622&lt;&gt;0,MIN((S622-Q622)/Q622/'Underwriting Risk'!$E$27,'Premium and Reserve Risk'!$Z$551),'Premium and Reserve Risk'!$Z$551))</f>
        <v>0.19</v>
      </c>
      <c r="AA622" s="80"/>
      <c r="AB622" s="80"/>
      <c r="AC622" s="737">
        <f ca="1">MAX(0%,IF(U622&lt;&gt;0,MIN((W622-U622)/U622/'Underwriting Risk'!$E$27,'Premium and Reserve Risk'!$AC$551),'Premium and Reserve Risk'!$AC$551))</f>
        <v>0.17199999999999999</v>
      </c>
      <c r="AD622" s="81"/>
      <c r="AE622" s="97"/>
      <c r="AF622" s="97"/>
      <c r="AG622" s="97"/>
      <c r="AH622" s="97"/>
    </row>
    <row r="623" spans="1:34" ht="13.5" customHeight="1" x14ac:dyDescent="0.25">
      <c r="A623" s="97"/>
      <c r="B623" s="257">
        <v>71</v>
      </c>
      <c r="C623" s="652"/>
      <c r="D623" s="80"/>
      <c r="E623" s="80"/>
      <c r="F623" s="258">
        <f t="shared" ca="1" si="21"/>
        <v>0</v>
      </c>
      <c r="G623" s="624"/>
      <c r="H623" s="85"/>
      <c r="I623" s="624"/>
      <c r="J623" s="85"/>
      <c r="K623" s="624"/>
      <c r="L623" s="85"/>
      <c r="M623" s="624"/>
      <c r="N623" s="85"/>
      <c r="O623" s="624"/>
      <c r="P623" s="85"/>
      <c r="Q623" s="626">
        <f t="shared" si="19"/>
        <v>0</v>
      </c>
      <c r="R623" s="85"/>
      <c r="S623" s="624"/>
      <c r="T623" s="260"/>
      <c r="U623" s="624"/>
      <c r="V623" s="85"/>
      <c r="W623" s="624"/>
      <c r="X623" s="81"/>
      <c r="Y623" s="80"/>
      <c r="Z623" s="737">
        <f ca="1">MAX(0%,IF(Q623&lt;&gt;0,MIN((S623-Q623)/Q623/'Underwriting Risk'!$E$27,'Premium and Reserve Risk'!$Z$551),'Premium and Reserve Risk'!$Z$551))</f>
        <v>0.19</v>
      </c>
      <c r="AA623" s="80"/>
      <c r="AB623" s="80"/>
      <c r="AC623" s="737">
        <f ca="1">MAX(0%,IF(U623&lt;&gt;0,MIN((W623-U623)/U623/'Underwriting Risk'!$E$27,'Premium and Reserve Risk'!$AC$551),'Premium and Reserve Risk'!$AC$551))</f>
        <v>0.17199999999999999</v>
      </c>
      <c r="AD623" s="81"/>
      <c r="AE623" s="97"/>
      <c r="AF623" s="97"/>
      <c r="AG623" s="97"/>
      <c r="AH623" s="97"/>
    </row>
    <row r="624" spans="1:34" ht="13.5" customHeight="1" x14ac:dyDescent="0.25">
      <c r="A624" s="97"/>
      <c r="B624" s="257">
        <v>72</v>
      </c>
      <c r="C624" s="652"/>
      <c r="D624" s="80"/>
      <c r="E624" s="80"/>
      <c r="F624" s="258">
        <f t="shared" ca="1" si="21"/>
        <v>0</v>
      </c>
      <c r="G624" s="624"/>
      <c r="H624" s="85"/>
      <c r="I624" s="624"/>
      <c r="J624" s="85"/>
      <c r="K624" s="624"/>
      <c r="L624" s="85"/>
      <c r="M624" s="624"/>
      <c r="N624" s="85"/>
      <c r="O624" s="624"/>
      <c r="P624" s="85"/>
      <c r="Q624" s="626">
        <f t="shared" si="19"/>
        <v>0</v>
      </c>
      <c r="R624" s="85"/>
      <c r="S624" s="624"/>
      <c r="T624" s="260"/>
      <c r="U624" s="624"/>
      <c r="V624" s="85"/>
      <c r="W624" s="624"/>
      <c r="X624" s="81"/>
      <c r="Y624" s="80"/>
      <c r="Z624" s="737">
        <f ca="1">MAX(0%,IF(Q624&lt;&gt;0,MIN((S624-Q624)/Q624/'Underwriting Risk'!$E$27,'Premium and Reserve Risk'!$Z$551),'Premium and Reserve Risk'!$Z$551))</f>
        <v>0.19</v>
      </c>
      <c r="AA624" s="80"/>
      <c r="AB624" s="80"/>
      <c r="AC624" s="737">
        <f ca="1">MAX(0%,IF(U624&lt;&gt;0,MIN((W624-U624)/U624/'Underwriting Risk'!$E$27,'Premium and Reserve Risk'!$AC$551),'Premium and Reserve Risk'!$AC$551))</f>
        <v>0.17199999999999999</v>
      </c>
      <c r="AD624" s="81"/>
      <c r="AE624" s="97"/>
      <c r="AF624" s="97"/>
      <c r="AG624" s="97"/>
      <c r="AH624" s="97"/>
    </row>
    <row r="625" spans="1:34" ht="13.5" customHeight="1" x14ac:dyDescent="0.25">
      <c r="A625" s="97"/>
      <c r="B625" s="257">
        <v>73</v>
      </c>
      <c r="C625" s="652"/>
      <c r="D625" s="80"/>
      <c r="E625" s="80"/>
      <c r="F625" s="258">
        <f t="shared" ca="1" si="21"/>
        <v>0</v>
      </c>
      <c r="G625" s="624"/>
      <c r="H625" s="85"/>
      <c r="I625" s="624"/>
      <c r="J625" s="85"/>
      <c r="K625" s="624"/>
      <c r="L625" s="85"/>
      <c r="M625" s="624"/>
      <c r="N625" s="85"/>
      <c r="O625" s="624"/>
      <c r="P625" s="85"/>
      <c r="Q625" s="626">
        <f t="shared" si="19"/>
        <v>0</v>
      </c>
      <c r="R625" s="85"/>
      <c r="S625" s="624"/>
      <c r="T625" s="260"/>
      <c r="U625" s="624"/>
      <c r="V625" s="85"/>
      <c r="W625" s="624"/>
      <c r="X625" s="81"/>
      <c r="Y625" s="80"/>
      <c r="Z625" s="737">
        <f ca="1">MAX(0%,IF(Q625&lt;&gt;0,MIN((S625-Q625)/Q625/'Underwriting Risk'!$E$27,'Premium and Reserve Risk'!$Z$551),'Premium and Reserve Risk'!$Z$551))</f>
        <v>0.19</v>
      </c>
      <c r="AA625" s="80"/>
      <c r="AB625" s="80"/>
      <c r="AC625" s="737">
        <f ca="1">MAX(0%,IF(U625&lt;&gt;0,MIN((W625-U625)/U625/'Underwriting Risk'!$E$27,'Premium and Reserve Risk'!$AC$551),'Premium and Reserve Risk'!$AC$551))</f>
        <v>0.17199999999999999</v>
      </c>
      <c r="AD625" s="81"/>
      <c r="AE625" s="97"/>
      <c r="AF625" s="97"/>
      <c r="AG625" s="97"/>
      <c r="AH625" s="97"/>
    </row>
    <row r="626" spans="1:34" ht="13.5" customHeight="1" x14ac:dyDescent="0.25">
      <c r="A626" s="97"/>
      <c r="B626" s="257">
        <v>74</v>
      </c>
      <c r="C626" s="652"/>
      <c r="D626" s="80"/>
      <c r="E626" s="80"/>
      <c r="F626" s="258">
        <f t="shared" ca="1" si="21"/>
        <v>0</v>
      </c>
      <c r="G626" s="624"/>
      <c r="H626" s="85"/>
      <c r="I626" s="624"/>
      <c r="J626" s="85"/>
      <c r="K626" s="624"/>
      <c r="L626" s="85"/>
      <c r="M626" s="624"/>
      <c r="N626" s="85"/>
      <c r="O626" s="624"/>
      <c r="P626" s="85"/>
      <c r="Q626" s="626">
        <f t="shared" si="19"/>
        <v>0</v>
      </c>
      <c r="R626" s="85"/>
      <c r="S626" s="624"/>
      <c r="T626" s="260"/>
      <c r="U626" s="624"/>
      <c r="V626" s="85"/>
      <c r="W626" s="624"/>
      <c r="X626" s="81"/>
      <c r="Y626" s="80"/>
      <c r="Z626" s="737">
        <f ca="1">MAX(0%,IF(Q626&lt;&gt;0,MIN((S626-Q626)/Q626/'Underwriting Risk'!$E$27,'Premium and Reserve Risk'!$Z$551),'Premium and Reserve Risk'!$Z$551))</f>
        <v>0.19</v>
      </c>
      <c r="AA626" s="80"/>
      <c r="AB626" s="80"/>
      <c r="AC626" s="737">
        <f ca="1">MAX(0%,IF(U626&lt;&gt;0,MIN((W626-U626)/U626/'Underwriting Risk'!$E$27,'Premium and Reserve Risk'!$AC$551),'Premium and Reserve Risk'!$AC$551))</f>
        <v>0.17199999999999999</v>
      </c>
      <c r="AD626" s="81"/>
      <c r="AE626" s="97"/>
      <c r="AF626" s="97"/>
      <c r="AG626" s="97"/>
      <c r="AH626" s="97"/>
    </row>
    <row r="627" spans="1:34" ht="13.5" customHeight="1" x14ac:dyDescent="0.25">
      <c r="A627" s="97"/>
      <c r="B627" s="257">
        <v>75</v>
      </c>
      <c r="C627" s="652"/>
      <c r="D627" s="80"/>
      <c r="E627" s="80"/>
      <c r="F627" s="258">
        <f t="shared" ca="1" si="21"/>
        <v>0</v>
      </c>
      <c r="G627" s="624"/>
      <c r="H627" s="85"/>
      <c r="I627" s="624"/>
      <c r="J627" s="85"/>
      <c r="K627" s="624"/>
      <c r="L627" s="85"/>
      <c r="M627" s="624"/>
      <c r="N627" s="85"/>
      <c r="O627" s="624"/>
      <c r="P627" s="85"/>
      <c r="Q627" s="626">
        <f t="shared" si="19"/>
        <v>0</v>
      </c>
      <c r="R627" s="85"/>
      <c r="S627" s="624"/>
      <c r="T627" s="260"/>
      <c r="U627" s="624"/>
      <c r="V627" s="85"/>
      <c r="W627" s="624"/>
      <c r="X627" s="81"/>
      <c r="Y627" s="80"/>
      <c r="Z627" s="737">
        <f ca="1">MAX(0%,IF(Q627&lt;&gt;0,MIN((S627-Q627)/Q627/'Underwriting Risk'!$E$27,'Premium and Reserve Risk'!$Z$551),'Premium and Reserve Risk'!$Z$551))</f>
        <v>0.19</v>
      </c>
      <c r="AA627" s="80"/>
      <c r="AB627" s="80"/>
      <c r="AC627" s="737">
        <f ca="1">MAX(0%,IF(U627&lt;&gt;0,MIN((W627-U627)/U627/'Underwriting Risk'!$E$27,'Premium and Reserve Risk'!$AC$551),'Premium and Reserve Risk'!$AC$551))</f>
        <v>0.17199999999999999</v>
      </c>
      <c r="AD627" s="81"/>
      <c r="AE627" s="97"/>
      <c r="AF627" s="97"/>
      <c r="AG627" s="97"/>
      <c r="AH627" s="97"/>
    </row>
    <row r="628" spans="1:34" ht="13.5" customHeight="1" x14ac:dyDescent="0.25">
      <c r="A628" s="97"/>
      <c r="B628" s="257">
        <v>76</v>
      </c>
      <c r="C628" s="652"/>
      <c r="D628" s="80"/>
      <c r="E628" s="80"/>
      <c r="F628" s="258">
        <f t="shared" ca="1" si="21"/>
        <v>0</v>
      </c>
      <c r="G628" s="624"/>
      <c r="H628" s="85"/>
      <c r="I628" s="624"/>
      <c r="J628" s="85"/>
      <c r="K628" s="624"/>
      <c r="L628" s="85"/>
      <c r="M628" s="624"/>
      <c r="N628" s="85"/>
      <c r="O628" s="624"/>
      <c r="P628" s="85"/>
      <c r="Q628" s="626">
        <f t="shared" si="19"/>
        <v>0</v>
      </c>
      <c r="R628" s="85"/>
      <c r="S628" s="624"/>
      <c r="T628" s="260"/>
      <c r="U628" s="624"/>
      <c r="V628" s="85"/>
      <c r="W628" s="624"/>
      <c r="X628" s="81"/>
      <c r="Y628" s="80"/>
      <c r="Z628" s="737">
        <f ca="1">MAX(0%,IF(Q628&lt;&gt;0,MIN((S628-Q628)/Q628/'Underwriting Risk'!$E$27,'Premium and Reserve Risk'!$Z$551),'Premium and Reserve Risk'!$Z$551))</f>
        <v>0.19</v>
      </c>
      <c r="AA628" s="80"/>
      <c r="AB628" s="80"/>
      <c r="AC628" s="737">
        <f ca="1">MAX(0%,IF(U628&lt;&gt;0,MIN((W628-U628)/U628/'Underwriting Risk'!$E$27,'Premium and Reserve Risk'!$AC$551),'Premium and Reserve Risk'!$AC$551))</f>
        <v>0.17199999999999999</v>
      </c>
      <c r="AD628" s="81"/>
      <c r="AE628" s="97"/>
      <c r="AF628" s="97"/>
      <c r="AG628" s="97"/>
      <c r="AH628" s="97"/>
    </row>
    <row r="629" spans="1:34" ht="13.5" customHeight="1" x14ac:dyDescent="0.25">
      <c r="A629" s="97"/>
      <c r="B629" s="257">
        <v>77</v>
      </c>
      <c r="C629" s="652"/>
      <c r="D629" s="80"/>
      <c r="E629" s="80"/>
      <c r="F629" s="258">
        <f t="shared" ca="1" si="21"/>
        <v>0</v>
      </c>
      <c r="G629" s="624"/>
      <c r="H629" s="85"/>
      <c r="I629" s="624"/>
      <c r="J629" s="85"/>
      <c r="K629" s="624"/>
      <c r="L629" s="85"/>
      <c r="M629" s="624"/>
      <c r="N629" s="85"/>
      <c r="O629" s="624"/>
      <c r="P629" s="85"/>
      <c r="Q629" s="626">
        <f t="shared" si="19"/>
        <v>0</v>
      </c>
      <c r="R629" s="85"/>
      <c r="S629" s="624"/>
      <c r="T629" s="260"/>
      <c r="U629" s="624"/>
      <c r="V629" s="85"/>
      <c r="W629" s="624"/>
      <c r="X629" s="81"/>
      <c r="Y629" s="80"/>
      <c r="Z629" s="737">
        <f ca="1">MAX(0%,IF(Q629&lt;&gt;0,MIN((S629-Q629)/Q629/'Underwriting Risk'!$E$27,'Premium and Reserve Risk'!$Z$551),'Premium and Reserve Risk'!$Z$551))</f>
        <v>0.19</v>
      </c>
      <c r="AA629" s="80"/>
      <c r="AB629" s="80"/>
      <c r="AC629" s="737">
        <f ca="1">MAX(0%,IF(U629&lt;&gt;0,MIN((W629-U629)/U629/'Underwriting Risk'!$E$27,'Premium and Reserve Risk'!$AC$551),'Premium and Reserve Risk'!$AC$551))</f>
        <v>0.17199999999999999</v>
      </c>
      <c r="AD629" s="81"/>
      <c r="AE629" s="97"/>
      <c r="AF629" s="97"/>
      <c r="AG629" s="97"/>
      <c r="AH629" s="97"/>
    </row>
    <row r="630" spans="1:34" ht="13.5" customHeight="1" x14ac:dyDescent="0.25">
      <c r="A630" s="97"/>
      <c r="B630" s="257">
        <v>78</v>
      </c>
      <c r="C630" s="652"/>
      <c r="D630" s="80"/>
      <c r="E630" s="80"/>
      <c r="F630" s="258">
        <f t="shared" ca="1" si="21"/>
        <v>0</v>
      </c>
      <c r="G630" s="624"/>
      <c r="H630" s="85"/>
      <c r="I630" s="624"/>
      <c r="J630" s="85"/>
      <c r="K630" s="624"/>
      <c r="L630" s="85"/>
      <c r="M630" s="624"/>
      <c r="N630" s="85"/>
      <c r="O630" s="624"/>
      <c r="P630" s="85"/>
      <c r="Q630" s="626">
        <f t="shared" si="19"/>
        <v>0</v>
      </c>
      <c r="R630" s="85"/>
      <c r="S630" s="624"/>
      <c r="T630" s="260"/>
      <c r="U630" s="624"/>
      <c r="V630" s="85"/>
      <c r="W630" s="624"/>
      <c r="X630" s="81"/>
      <c r="Y630" s="80"/>
      <c r="Z630" s="737">
        <f ca="1">MAX(0%,IF(Q630&lt;&gt;0,MIN((S630-Q630)/Q630/'Underwriting Risk'!$E$27,'Premium and Reserve Risk'!$Z$551),'Premium and Reserve Risk'!$Z$551))</f>
        <v>0.19</v>
      </c>
      <c r="AA630" s="80"/>
      <c r="AB630" s="80"/>
      <c r="AC630" s="737">
        <f ca="1">MAX(0%,IF(U630&lt;&gt;0,MIN((W630-U630)/U630/'Underwriting Risk'!$E$27,'Premium and Reserve Risk'!$AC$551),'Premium and Reserve Risk'!$AC$551))</f>
        <v>0.17199999999999999</v>
      </c>
      <c r="AD630" s="81"/>
      <c r="AE630" s="97"/>
      <c r="AF630" s="97"/>
      <c r="AG630" s="97"/>
      <c r="AH630" s="97"/>
    </row>
    <row r="631" spans="1:34" ht="13.5" customHeight="1" x14ac:dyDescent="0.25">
      <c r="A631" s="97"/>
      <c r="B631" s="257">
        <v>79</v>
      </c>
      <c r="C631" s="652"/>
      <c r="D631" s="80"/>
      <c r="E631" s="80"/>
      <c r="F631" s="258">
        <f t="shared" ca="1" si="21"/>
        <v>0</v>
      </c>
      <c r="G631" s="624"/>
      <c r="H631" s="85"/>
      <c r="I631" s="624"/>
      <c r="J631" s="85"/>
      <c r="K631" s="624"/>
      <c r="L631" s="85"/>
      <c r="M631" s="624"/>
      <c r="N631" s="85"/>
      <c r="O631" s="624"/>
      <c r="P631" s="85"/>
      <c r="Q631" s="626">
        <f t="shared" si="19"/>
        <v>0</v>
      </c>
      <c r="R631" s="85"/>
      <c r="S631" s="624"/>
      <c r="T631" s="260"/>
      <c r="U631" s="624"/>
      <c r="V631" s="85"/>
      <c r="W631" s="624"/>
      <c r="X631" s="81"/>
      <c r="Y631" s="80"/>
      <c r="Z631" s="737">
        <f ca="1">MAX(0%,IF(Q631&lt;&gt;0,MIN((S631-Q631)/Q631/'Underwriting Risk'!$E$27,'Premium and Reserve Risk'!$Z$551),'Premium and Reserve Risk'!$Z$551))</f>
        <v>0.19</v>
      </c>
      <c r="AA631" s="80"/>
      <c r="AB631" s="80"/>
      <c r="AC631" s="737">
        <f ca="1">MAX(0%,IF(U631&lt;&gt;0,MIN((W631-U631)/U631/'Underwriting Risk'!$E$27,'Premium and Reserve Risk'!$AC$551),'Premium and Reserve Risk'!$AC$551))</f>
        <v>0.17199999999999999</v>
      </c>
      <c r="AD631" s="81"/>
      <c r="AE631" s="97"/>
      <c r="AF631" s="97"/>
      <c r="AG631" s="97"/>
      <c r="AH631" s="97"/>
    </row>
    <row r="632" spans="1:34" ht="13.5" customHeight="1" x14ac:dyDescent="0.25">
      <c r="A632" s="97"/>
      <c r="B632" s="257">
        <v>80</v>
      </c>
      <c r="C632" s="652"/>
      <c r="D632" s="80"/>
      <c r="E632" s="80"/>
      <c r="F632" s="258">
        <f t="shared" ca="1" si="21"/>
        <v>0</v>
      </c>
      <c r="G632" s="624"/>
      <c r="H632" s="85"/>
      <c r="I632" s="624"/>
      <c r="J632" s="85"/>
      <c r="K632" s="624"/>
      <c r="L632" s="85"/>
      <c r="M632" s="624"/>
      <c r="N632" s="85"/>
      <c r="O632" s="624"/>
      <c r="P632" s="85"/>
      <c r="Q632" s="626">
        <f t="shared" si="19"/>
        <v>0</v>
      </c>
      <c r="R632" s="85"/>
      <c r="S632" s="624"/>
      <c r="T632" s="260"/>
      <c r="U632" s="624"/>
      <c r="V632" s="85"/>
      <c r="W632" s="624"/>
      <c r="X632" s="81"/>
      <c r="Y632" s="80"/>
      <c r="Z632" s="737">
        <f ca="1">MAX(0%,IF(Q632&lt;&gt;0,MIN((S632-Q632)/Q632/'Underwriting Risk'!$E$27,'Premium and Reserve Risk'!$Z$551),'Premium and Reserve Risk'!$Z$551))</f>
        <v>0.19</v>
      </c>
      <c r="AA632" s="80"/>
      <c r="AB632" s="80"/>
      <c r="AC632" s="737">
        <f ca="1">MAX(0%,IF(U632&lt;&gt;0,MIN((W632-U632)/U632/'Underwriting Risk'!$E$27,'Premium and Reserve Risk'!$AC$551),'Premium and Reserve Risk'!$AC$551))</f>
        <v>0.17199999999999999</v>
      </c>
      <c r="AD632" s="81"/>
      <c r="AE632" s="97"/>
      <c r="AF632" s="97"/>
      <c r="AG632" s="97"/>
      <c r="AH632" s="97"/>
    </row>
    <row r="633" spans="1:34" ht="13.5" customHeight="1" x14ac:dyDescent="0.25">
      <c r="A633" s="97"/>
      <c r="B633" s="257">
        <v>81</v>
      </c>
      <c r="C633" s="652"/>
      <c r="D633" s="80"/>
      <c r="E633" s="80"/>
      <c r="F633" s="258">
        <f t="shared" ca="1" si="21"/>
        <v>0</v>
      </c>
      <c r="G633" s="624"/>
      <c r="H633" s="85"/>
      <c r="I633" s="624"/>
      <c r="J633" s="85"/>
      <c r="K633" s="624"/>
      <c r="L633" s="85"/>
      <c r="M633" s="624"/>
      <c r="N633" s="85"/>
      <c r="O633" s="624"/>
      <c r="P633" s="85"/>
      <c r="Q633" s="626">
        <f t="shared" si="19"/>
        <v>0</v>
      </c>
      <c r="R633" s="85"/>
      <c r="S633" s="624"/>
      <c r="T633" s="260"/>
      <c r="U633" s="624"/>
      <c r="V633" s="85"/>
      <c r="W633" s="624"/>
      <c r="X633" s="81"/>
      <c r="Y633" s="80"/>
      <c r="Z633" s="737">
        <f ca="1">MAX(0%,IF(Q633&lt;&gt;0,MIN((S633-Q633)/Q633/'Underwriting Risk'!$E$27,'Premium and Reserve Risk'!$Z$551),'Premium and Reserve Risk'!$Z$551))</f>
        <v>0.19</v>
      </c>
      <c r="AA633" s="80"/>
      <c r="AB633" s="80"/>
      <c r="AC633" s="737">
        <f ca="1">MAX(0%,IF(U633&lt;&gt;0,MIN((W633-U633)/U633/'Underwriting Risk'!$E$27,'Premium and Reserve Risk'!$AC$551),'Premium and Reserve Risk'!$AC$551))</f>
        <v>0.17199999999999999</v>
      </c>
      <c r="AD633" s="81"/>
      <c r="AE633" s="97"/>
      <c r="AF633" s="97"/>
      <c r="AG633" s="97"/>
      <c r="AH633" s="97"/>
    </row>
    <row r="634" spans="1:34" ht="13.5" customHeight="1" x14ac:dyDescent="0.25">
      <c r="A634" s="97"/>
      <c r="B634" s="257">
        <v>82</v>
      </c>
      <c r="C634" s="652"/>
      <c r="D634" s="80"/>
      <c r="E634" s="80"/>
      <c r="F634" s="258">
        <f t="shared" ca="1" si="21"/>
        <v>0</v>
      </c>
      <c r="G634" s="624"/>
      <c r="H634" s="85"/>
      <c r="I634" s="624"/>
      <c r="J634" s="85"/>
      <c r="K634" s="624"/>
      <c r="L634" s="85"/>
      <c r="M634" s="624"/>
      <c r="N634" s="85"/>
      <c r="O634" s="624"/>
      <c r="P634" s="85"/>
      <c r="Q634" s="626">
        <f t="shared" si="19"/>
        <v>0</v>
      </c>
      <c r="R634" s="85"/>
      <c r="S634" s="624"/>
      <c r="T634" s="260"/>
      <c r="U634" s="624"/>
      <c r="V634" s="85"/>
      <c r="W634" s="624"/>
      <c r="X634" s="81"/>
      <c r="Y634" s="80"/>
      <c r="Z634" s="737">
        <f ca="1">MAX(0%,IF(Q634&lt;&gt;0,MIN((S634-Q634)/Q634/'Underwriting Risk'!$E$27,'Premium and Reserve Risk'!$Z$551),'Premium and Reserve Risk'!$Z$551))</f>
        <v>0.19</v>
      </c>
      <c r="AA634" s="80"/>
      <c r="AB634" s="80"/>
      <c r="AC634" s="737">
        <f ca="1">MAX(0%,IF(U634&lt;&gt;0,MIN((W634-U634)/U634/'Underwriting Risk'!$E$27,'Premium and Reserve Risk'!$AC$551),'Premium and Reserve Risk'!$AC$551))</f>
        <v>0.17199999999999999</v>
      </c>
      <c r="AD634" s="81"/>
      <c r="AE634" s="97"/>
      <c r="AF634" s="97"/>
      <c r="AG634" s="97"/>
      <c r="AH634" s="97"/>
    </row>
    <row r="635" spans="1:34" ht="13.5" customHeight="1" x14ac:dyDescent="0.25">
      <c r="A635" s="97"/>
      <c r="B635" s="257">
        <v>83</v>
      </c>
      <c r="C635" s="652"/>
      <c r="D635" s="80"/>
      <c r="E635" s="80"/>
      <c r="F635" s="258">
        <f t="shared" ca="1" si="21"/>
        <v>0</v>
      </c>
      <c r="G635" s="624"/>
      <c r="H635" s="85"/>
      <c r="I635" s="624"/>
      <c r="J635" s="85"/>
      <c r="K635" s="624"/>
      <c r="L635" s="85"/>
      <c r="M635" s="624"/>
      <c r="N635" s="85"/>
      <c r="O635" s="624"/>
      <c r="P635" s="85"/>
      <c r="Q635" s="626">
        <f t="shared" si="19"/>
        <v>0</v>
      </c>
      <c r="R635" s="85"/>
      <c r="S635" s="624"/>
      <c r="T635" s="260"/>
      <c r="U635" s="624"/>
      <c r="V635" s="85"/>
      <c r="W635" s="624"/>
      <c r="X635" s="81"/>
      <c r="Y635" s="80"/>
      <c r="Z635" s="737">
        <f ca="1">MAX(0%,IF(Q635&lt;&gt;0,MIN((S635-Q635)/Q635/'Underwriting Risk'!$E$27,'Premium and Reserve Risk'!$Z$551),'Premium and Reserve Risk'!$Z$551))</f>
        <v>0.19</v>
      </c>
      <c r="AA635" s="80"/>
      <c r="AB635" s="80"/>
      <c r="AC635" s="737">
        <f ca="1">MAX(0%,IF(U635&lt;&gt;0,MIN((W635-U635)/U635/'Underwriting Risk'!$E$27,'Premium and Reserve Risk'!$AC$551),'Premium and Reserve Risk'!$AC$551))</f>
        <v>0.17199999999999999</v>
      </c>
      <c r="AD635" s="81"/>
      <c r="AE635" s="97"/>
      <c r="AF635" s="97"/>
      <c r="AG635" s="97"/>
      <c r="AH635" s="97"/>
    </row>
    <row r="636" spans="1:34" ht="13.5" customHeight="1" x14ac:dyDescent="0.25">
      <c r="A636" s="97"/>
      <c r="B636" s="257">
        <v>84</v>
      </c>
      <c r="C636" s="652"/>
      <c r="D636" s="80"/>
      <c r="E636" s="80"/>
      <c r="F636" s="258">
        <f t="shared" ca="1" si="21"/>
        <v>0</v>
      </c>
      <c r="G636" s="624"/>
      <c r="H636" s="85"/>
      <c r="I636" s="624"/>
      <c r="J636" s="85"/>
      <c r="K636" s="624"/>
      <c r="L636" s="85"/>
      <c r="M636" s="624"/>
      <c r="N636" s="85"/>
      <c r="O636" s="624"/>
      <c r="P636" s="85"/>
      <c r="Q636" s="626">
        <f t="shared" si="19"/>
        <v>0</v>
      </c>
      <c r="R636" s="85"/>
      <c r="S636" s="624"/>
      <c r="T636" s="260"/>
      <c r="U636" s="624"/>
      <c r="V636" s="85"/>
      <c r="W636" s="624"/>
      <c r="X636" s="81"/>
      <c r="Y636" s="80"/>
      <c r="Z636" s="737">
        <f ca="1">MAX(0%,IF(Q636&lt;&gt;0,MIN((S636-Q636)/Q636/'Underwriting Risk'!$E$27,'Premium and Reserve Risk'!$Z$551),'Premium and Reserve Risk'!$Z$551))</f>
        <v>0.19</v>
      </c>
      <c r="AA636" s="80"/>
      <c r="AB636" s="80"/>
      <c r="AC636" s="737">
        <f ca="1">MAX(0%,IF(U636&lt;&gt;0,MIN((W636-U636)/U636/'Underwriting Risk'!$E$27,'Premium and Reserve Risk'!$AC$551),'Premium and Reserve Risk'!$AC$551))</f>
        <v>0.17199999999999999</v>
      </c>
      <c r="AD636" s="81"/>
      <c r="AE636" s="97"/>
      <c r="AF636" s="97"/>
      <c r="AG636" s="97"/>
      <c r="AH636" s="97"/>
    </row>
    <row r="637" spans="1:34" ht="13.5" customHeight="1" x14ac:dyDescent="0.25">
      <c r="A637" s="97"/>
      <c r="B637" s="257">
        <v>85</v>
      </c>
      <c r="C637" s="652"/>
      <c r="D637" s="80"/>
      <c r="E637" s="80"/>
      <c r="F637" s="258">
        <f t="shared" ca="1" si="21"/>
        <v>0</v>
      </c>
      <c r="G637" s="624"/>
      <c r="H637" s="85"/>
      <c r="I637" s="624"/>
      <c r="J637" s="85"/>
      <c r="K637" s="624"/>
      <c r="L637" s="85"/>
      <c r="M637" s="624"/>
      <c r="N637" s="85"/>
      <c r="O637" s="624"/>
      <c r="P637" s="85"/>
      <c r="Q637" s="626">
        <f t="shared" si="19"/>
        <v>0</v>
      </c>
      <c r="R637" s="85"/>
      <c r="S637" s="624"/>
      <c r="T637" s="260"/>
      <c r="U637" s="624"/>
      <c r="V637" s="85"/>
      <c r="W637" s="624"/>
      <c r="X637" s="81"/>
      <c r="Y637" s="80"/>
      <c r="Z637" s="737">
        <f ca="1">MAX(0%,IF(Q637&lt;&gt;0,MIN((S637-Q637)/Q637/'Underwriting Risk'!$E$27,'Premium and Reserve Risk'!$Z$551),'Premium and Reserve Risk'!$Z$551))</f>
        <v>0.19</v>
      </c>
      <c r="AA637" s="80"/>
      <c r="AB637" s="80"/>
      <c r="AC637" s="737">
        <f ca="1">MAX(0%,IF(U637&lt;&gt;0,MIN((W637-U637)/U637/'Underwriting Risk'!$E$27,'Premium and Reserve Risk'!$AC$551),'Premium and Reserve Risk'!$AC$551))</f>
        <v>0.17199999999999999</v>
      </c>
      <c r="AD637" s="81"/>
      <c r="AE637" s="97"/>
      <c r="AF637" s="97"/>
      <c r="AG637" s="97"/>
      <c r="AH637" s="97"/>
    </row>
    <row r="638" spans="1:34" ht="13.5" customHeight="1" x14ac:dyDescent="0.25">
      <c r="A638" s="97"/>
      <c r="B638" s="257">
        <v>86</v>
      </c>
      <c r="C638" s="652"/>
      <c r="D638" s="80"/>
      <c r="E638" s="80"/>
      <c r="F638" s="258">
        <f t="shared" ca="1" si="21"/>
        <v>0</v>
      </c>
      <c r="G638" s="624"/>
      <c r="H638" s="85"/>
      <c r="I638" s="624"/>
      <c r="J638" s="85"/>
      <c r="K638" s="624"/>
      <c r="L638" s="85"/>
      <c r="M638" s="624"/>
      <c r="N638" s="85"/>
      <c r="O638" s="624"/>
      <c r="P638" s="85"/>
      <c r="Q638" s="626">
        <f t="shared" si="19"/>
        <v>0</v>
      </c>
      <c r="R638" s="85"/>
      <c r="S638" s="624"/>
      <c r="T638" s="260"/>
      <c r="U638" s="624"/>
      <c r="V638" s="85"/>
      <c r="W638" s="624"/>
      <c r="X638" s="81"/>
      <c r="Y638" s="80"/>
      <c r="Z638" s="737">
        <f ca="1">MAX(0%,IF(Q638&lt;&gt;0,MIN((S638-Q638)/Q638/'Underwriting Risk'!$E$27,'Premium and Reserve Risk'!$Z$551),'Premium and Reserve Risk'!$Z$551))</f>
        <v>0.19</v>
      </c>
      <c r="AA638" s="80"/>
      <c r="AB638" s="80"/>
      <c r="AC638" s="737">
        <f ca="1">MAX(0%,IF(U638&lt;&gt;0,MIN((W638-U638)/U638/'Underwriting Risk'!$E$27,'Premium and Reserve Risk'!$AC$551),'Premium and Reserve Risk'!$AC$551))</f>
        <v>0.17199999999999999</v>
      </c>
      <c r="AD638" s="81"/>
      <c r="AE638" s="97"/>
      <c r="AF638" s="97"/>
      <c r="AG638" s="97"/>
      <c r="AH638" s="97"/>
    </row>
    <row r="639" spans="1:34" ht="13.5" customHeight="1" x14ac:dyDescent="0.25">
      <c r="A639" s="97"/>
      <c r="B639" s="257">
        <v>87</v>
      </c>
      <c r="C639" s="652"/>
      <c r="D639" s="80"/>
      <c r="E639" s="80"/>
      <c r="F639" s="258">
        <f t="shared" ca="1" si="21"/>
        <v>0</v>
      </c>
      <c r="G639" s="624"/>
      <c r="H639" s="85"/>
      <c r="I639" s="624"/>
      <c r="J639" s="85"/>
      <c r="K639" s="624"/>
      <c r="L639" s="85"/>
      <c r="M639" s="624"/>
      <c r="N639" s="85"/>
      <c r="O639" s="624"/>
      <c r="P639" s="85"/>
      <c r="Q639" s="626">
        <f t="shared" si="19"/>
        <v>0</v>
      </c>
      <c r="R639" s="85"/>
      <c r="S639" s="624"/>
      <c r="T639" s="260"/>
      <c r="U639" s="624"/>
      <c r="V639" s="85"/>
      <c r="W639" s="624"/>
      <c r="X639" s="81"/>
      <c r="Y639" s="80"/>
      <c r="Z639" s="737">
        <f ca="1">MAX(0%,IF(Q639&lt;&gt;0,MIN((S639-Q639)/Q639/'Underwriting Risk'!$E$27,'Premium and Reserve Risk'!$Z$551),'Premium and Reserve Risk'!$Z$551))</f>
        <v>0.19</v>
      </c>
      <c r="AA639" s="80"/>
      <c r="AB639" s="80"/>
      <c r="AC639" s="737">
        <f ca="1">MAX(0%,IF(U639&lt;&gt;0,MIN((W639-U639)/U639/'Underwriting Risk'!$E$27,'Premium and Reserve Risk'!$AC$551),'Premium and Reserve Risk'!$AC$551))</f>
        <v>0.17199999999999999</v>
      </c>
      <c r="AD639" s="81"/>
      <c r="AE639" s="97"/>
      <c r="AF639" s="97"/>
      <c r="AG639" s="97"/>
      <c r="AH639" s="97"/>
    </row>
    <row r="640" spans="1:34" ht="13.5" customHeight="1" x14ac:dyDescent="0.25">
      <c r="A640" s="97"/>
      <c r="B640" s="257">
        <v>88</v>
      </c>
      <c r="C640" s="652"/>
      <c r="D640" s="80"/>
      <c r="E640" s="80"/>
      <c r="F640" s="258">
        <f t="shared" ca="1" si="21"/>
        <v>0</v>
      </c>
      <c r="G640" s="624"/>
      <c r="H640" s="85"/>
      <c r="I640" s="624"/>
      <c r="J640" s="85"/>
      <c r="K640" s="624"/>
      <c r="L640" s="85"/>
      <c r="M640" s="624"/>
      <c r="N640" s="85"/>
      <c r="O640" s="624"/>
      <c r="P640" s="85"/>
      <c r="Q640" s="626">
        <f t="shared" si="19"/>
        <v>0</v>
      </c>
      <c r="R640" s="85"/>
      <c r="S640" s="624"/>
      <c r="T640" s="260"/>
      <c r="U640" s="624"/>
      <c r="V640" s="85"/>
      <c r="W640" s="624"/>
      <c r="X640" s="81"/>
      <c r="Y640" s="80"/>
      <c r="Z640" s="737">
        <f ca="1">MAX(0%,IF(Q640&lt;&gt;0,MIN((S640-Q640)/Q640/'Underwriting Risk'!$E$27,'Premium and Reserve Risk'!$Z$551),'Premium and Reserve Risk'!$Z$551))</f>
        <v>0.19</v>
      </c>
      <c r="AA640" s="80"/>
      <c r="AB640" s="80"/>
      <c r="AC640" s="737">
        <f ca="1">MAX(0%,IF(U640&lt;&gt;0,MIN((W640-U640)/U640/'Underwriting Risk'!$E$27,'Premium and Reserve Risk'!$AC$551),'Premium and Reserve Risk'!$AC$551))</f>
        <v>0.17199999999999999</v>
      </c>
      <c r="AD640" s="81"/>
      <c r="AE640" s="97"/>
      <c r="AF640" s="97"/>
      <c r="AG640" s="97"/>
      <c r="AH640" s="97"/>
    </row>
    <row r="641" spans="1:34" ht="13.5" customHeight="1" x14ac:dyDescent="0.25">
      <c r="A641" s="97"/>
      <c r="B641" s="257">
        <v>89</v>
      </c>
      <c r="C641" s="652"/>
      <c r="D641" s="80"/>
      <c r="E641" s="80"/>
      <c r="F641" s="258">
        <f t="shared" ca="1" si="21"/>
        <v>0</v>
      </c>
      <c r="G641" s="624"/>
      <c r="H641" s="85"/>
      <c r="I641" s="624"/>
      <c r="J641" s="85"/>
      <c r="K641" s="624"/>
      <c r="L641" s="85"/>
      <c r="M641" s="624"/>
      <c r="N641" s="85"/>
      <c r="O641" s="624"/>
      <c r="P641" s="85"/>
      <c r="Q641" s="626">
        <f t="shared" si="19"/>
        <v>0</v>
      </c>
      <c r="R641" s="85"/>
      <c r="S641" s="624"/>
      <c r="T641" s="260"/>
      <c r="U641" s="624"/>
      <c r="V641" s="85"/>
      <c r="W641" s="624"/>
      <c r="X641" s="81"/>
      <c r="Y641" s="80"/>
      <c r="Z641" s="737">
        <f ca="1">MAX(0%,IF(Q641&lt;&gt;0,MIN((S641-Q641)/Q641/'Underwriting Risk'!$E$27,'Premium and Reserve Risk'!$Z$551),'Premium and Reserve Risk'!$Z$551))</f>
        <v>0.19</v>
      </c>
      <c r="AA641" s="80"/>
      <c r="AB641" s="80"/>
      <c r="AC641" s="737">
        <f ca="1">MAX(0%,IF(U641&lt;&gt;0,MIN((W641-U641)/U641/'Underwriting Risk'!$E$27,'Premium and Reserve Risk'!$AC$551),'Premium and Reserve Risk'!$AC$551))</f>
        <v>0.17199999999999999</v>
      </c>
      <c r="AD641" s="81"/>
      <c r="AE641" s="97"/>
      <c r="AF641" s="97"/>
      <c r="AG641" s="97"/>
      <c r="AH641" s="97"/>
    </row>
    <row r="642" spans="1:34" ht="13.5" customHeight="1" x14ac:dyDescent="0.25">
      <c r="A642" s="97"/>
      <c r="B642" s="257">
        <v>90</v>
      </c>
      <c r="C642" s="652"/>
      <c r="D642" s="80"/>
      <c r="E642" s="80"/>
      <c r="F642" s="258">
        <f t="shared" ca="1" si="21"/>
        <v>0</v>
      </c>
      <c r="G642" s="624"/>
      <c r="H642" s="85"/>
      <c r="I642" s="624"/>
      <c r="J642" s="85"/>
      <c r="K642" s="624"/>
      <c r="L642" s="85"/>
      <c r="M642" s="624"/>
      <c r="N642" s="85"/>
      <c r="O642" s="624"/>
      <c r="P642" s="85"/>
      <c r="Q642" s="626">
        <f t="shared" si="19"/>
        <v>0</v>
      </c>
      <c r="R642" s="85"/>
      <c r="S642" s="624"/>
      <c r="T642" s="260"/>
      <c r="U642" s="624"/>
      <c r="V642" s="85"/>
      <c r="W642" s="624"/>
      <c r="X642" s="81"/>
      <c r="Y642" s="80"/>
      <c r="Z642" s="737">
        <f ca="1">MAX(0%,IF(Q642&lt;&gt;0,MIN((S642-Q642)/Q642/'Underwriting Risk'!$E$27,'Premium and Reserve Risk'!$Z$551),'Premium and Reserve Risk'!$Z$551))</f>
        <v>0.19</v>
      </c>
      <c r="AA642" s="80"/>
      <c r="AB642" s="80"/>
      <c r="AC642" s="737">
        <f ca="1">MAX(0%,IF(U642&lt;&gt;0,MIN((W642-U642)/U642/'Underwriting Risk'!$E$27,'Premium and Reserve Risk'!$AC$551),'Premium and Reserve Risk'!$AC$551))</f>
        <v>0.17199999999999999</v>
      </c>
      <c r="AD642" s="81"/>
      <c r="AE642" s="97"/>
      <c r="AF642" s="97"/>
      <c r="AG642" s="97"/>
      <c r="AH642" s="97"/>
    </row>
    <row r="643" spans="1:34" ht="13.5" customHeight="1" x14ac:dyDescent="0.25">
      <c r="A643" s="97"/>
      <c r="B643" s="257">
        <v>91</v>
      </c>
      <c r="C643" s="652"/>
      <c r="D643" s="80"/>
      <c r="E643" s="80"/>
      <c r="F643" s="258">
        <f t="shared" ca="1" si="21"/>
        <v>0</v>
      </c>
      <c r="G643" s="624"/>
      <c r="H643" s="85"/>
      <c r="I643" s="624"/>
      <c r="J643" s="85"/>
      <c r="K643" s="624"/>
      <c r="L643" s="85"/>
      <c r="M643" s="624"/>
      <c r="N643" s="85"/>
      <c r="O643" s="624"/>
      <c r="P643" s="85"/>
      <c r="Q643" s="626">
        <f t="shared" si="19"/>
        <v>0</v>
      </c>
      <c r="R643" s="85"/>
      <c r="S643" s="624"/>
      <c r="T643" s="260"/>
      <c r="U643" s="624"/>
      <c r="V643" s="85"/>
      <c r="W643" s="624"/>
      <c r="X643" s="81"/>
      <c r="Y643" s="80"/>
      <c r="Z643" s="737">
        <f ca="1">MAX(0%,IF(Q643&lt;&gt;0,MIN((S643-Q643)/Q643/'Underwriting Risk'!$E$27,'Premium and Reserve Risk'!$Z$551),'Premium and Reserve Risk'!$Z$551))</f>
        <v>0.19</v>
      </c>
      <c r="AA643" s="80"/>
      <c r="AB643" s="80"/>
      <c r="AC643" s="737">
        <f ca="1">MAX(0%,IF(U643&lt;&gt;0,MIN((W643-U643)/U643/'Underwriting Risk'!$E$27,'Premium and Reserve Risk'!$AC$551),'Premium and Reserve Risk'!$AC$551))</f>
        <v>0.17199999999999999</v>
      </c>
      <c r="AD643" s="81"/>
      <c r="AE643" s="97"/>
      <c r="AF643" s="97"/>
      <c r="AG643" s="97"/>
      <c r="AH643" s="97"/>
    </row>
    <row r="644" spans="1:34" ht="13.5" customHeight="1" x14ac:dyDescent="0.25">
      <c r="A644" s="97"/>
      <c r="B644" s="257">
        <v>92</v>
      </c>
      <c r="C644" s="652"/>
      <c r="D644" s="80"/>
      <c r="E644" s="80"/>
      <c r="F644" s="258">
        <f t="shared" ca="1" si="21"/>
        <v>0</v>
      </c>
      <c r="G644" s="624"/>
      <c r="H644" s="85"/>
      <c r="I644" s="624"/>
      <c r="J644" s="85"/>
      <c r="K644" s="624"/>
      <c r="L644" s="85"/>
      <c r="M644" s="624"/>
      <c r="N644" s="85"/>
      <c r="O644" s="624"/>
      <c r="P644" s="85"/>
      <c r="Q644" s="626">
        <f t="shared" si="19"/>
        <v>0</v>
      </c>
      <c r="R644" s="85"/>
      <c r="S644" s="624"/>
      <c r="T644" s="260"/>
      <c r="U644" s="624"/>
      <c r="V644" s="85"/>
      <c r="W644" s="624"/>
      <c r="X644" s="81"/>
      <c r="Y644" s="80"/>
      <c r="Z644" s="737">
        <f ca="1">MAX(0%,IF(Q644&lt;&gt;0,MIN((S644-Q644)/Q644/'Underwriting Risk'!$E$27,'Premium and Reserve Risk'!$Z$551),'Premium and Reserve Risk'!$Z$551))</f>
        <v>0.19</v>
      </c>
      <c r="AA644" s="80"/>
      <c r="AB644" s="80"/>
      <c r="AC644" s="737">
        <f ca="1">MAX(0%,IF(U644&lt;&gt;0,MIN((W644-U644)/U644/'Underwriting Risk'!$E$27,'Premium and Reserve Risk'!$AC$551),'Premium and Reserve Risk'!$AC$551))</f>
        <v>0.17199999999999999</v>
      </c>
      <c r="AD644" s="81"/>
      <c r="AE644" s="97"/>
      <c r="AF644" s="97"/>
      <c r="AG644" s="97"/>
      <c r="AH644" s="97"/>
    </row>
    <row r="645" spans="1:34" ht="13.5" customHeight="1" x14ac:dyDescent="0.25">
      <c r="A645" s="97"/>
      <c r="B645" s="257">
        <v>93</v>
      </c>
      <c r="C645" s="652"/>
      <c r="D645" s="80"/>
      <c r="E645" s="80"/>
      <c r="F645" s="258">
        <f t="shared" ca="1" si="21"/>
        <v>0</v>
      </c>
      <c r="G645" s="624"/>
      <c r="H645" s="85"/>
      <c r="I645" s="624"/>
      <c r="J645" s="85"/>
      <c r="K645" s="624"/>
      <c r="L645" s="85"/>
      <c r="M645" s="624"/>
      <c r="N645" s="85"/>
      <c r="O645" s="624"/>
      <c r="P645" s="85"/>
      <c r="Q645" s="626">
        <f t="shared" si="19"/>
        <v>0</v>
      </c>
      <c r="R645" s="85"/>
      <c r="S645" s="624"/>
      <c r="T645" s="260"/>
      <c r="U645" s="624"/>
      <c r="V645" s="85"/>
      <c r="W645" s="624"/>
      <c r="X645" s="81"/>
      <c r="Y645" s="80"/>
      <c r="Z645" s="737">
        <f ca="1">MAX(0%,IF(Q645&lt;&gt;0,MIN((S645-Q645)/Q645/'Underwriting Risk'!$E$27,'Premium and Reserve Risk'!$Z$551),'Premium and Reserve Risk'!$Z$551))</f>
        <v>0.19</v>
      </c>
      <c r="AA645" s="80"/>
      <c r="AB645" s="80"/>
      <c r="AC645" s="737">
        <f ca="1">MAX(0%,IF(U645&lt;&gt;0,MIN((W645-U645)/U645/'Underwriting Risk'!$E$27,'Premium and Reserve Risk'!$AC$551),'Premium and Reserve Risk'!$AC$551))</f>
        <v>0.17199999999999999</v>
      </c>
      <c r="AD645" s="81"/>
      <c r="AE645" s="97"/>
      <c r="AF645" s="97"/>
      <c r="AG645" s="97"/>
      <c r="AH645" s="97"/>
    </row>
    <row r="646" spans="1:34" ht="13.5" customHeight="1" x14ac:dyDescent="0.25">
      <c r="A646" s="97"/>
      <c r="B646" s="257">
        <v>94</v>
      </c>
      <c r="C646" s="652"/>
      <c r="D646" s="80"/>
      <c r="E646" s="80"/>
      <c r="F646" s="258">
        <f t="shared" ca="1" si="21"/>
        <v>0</v>
      </c>
      <c r="G646" s="624"/>
      <c r="H646" s="85"/>
      <c r="I646" s="624"/>
      <c r="J646" s="85"/>
      <c r="K646" s="624"/>
      <c r="L646" s="85"/>
      <c r="M646" s="624"/>
      <c r="N646" s="85"/>
      <c r="O646" s="624"/>
      <c r="P646" s="85"/>
      <c r="Q646" s="626">
        <f t="shared" si="19"/>
        <v>0</v>
      </c>
      <c r="R646" s="85"/>
      <c r="S646" s="624"/>
      <c r="T646" s="260"/>
      <c r="U646" s="624"/>
      <c r="V646" s="85"/>
      <c r="W646" s="624"/>
      <c r="X646" s="81"/>
      <c r="Y646" s="80"/>
      <c r="Z646" s="737">
        <f ca="1">MAX(0%,IF(Q646&lt;&gt;0,MIN((S646-Q646)/Q646/'Underwriting Risk'!$E$27,'Premium and Reserve Risk'!$Z$551),'Premium and Reserve Risk'!$Z$551))</f>
        <v>0.19</v>
      </c>
      <c r="AA646" s="80"/>
      <c r="AB646" s="80"/>
      <c r="AC646" s="737">
        <f ca="1">MAX(0%,IF(U646&lt;&gt;0,MIN((W646-U646)/U646/'Underwriting Risk'!$E$27,'Premium and Reserve Risk'!$AC$551),'Premium and Reserve Risk'!$AC$551))</f>
        <v>0.17199999999999999</v>
      </c>
      <c r="AD646" s="81"/>
      <c r="AE646" s="97"/>
      <c r="AF646" s="97"/>
      <c r="AG646" s="97"/>
      <c r="AH646" s="97"/>
    </row>
    <row r="647" spans="1:34" ht="13.5" customHeight="1" x14ac:dyDescent="0.25">
      <c r="A647" s="97"/>
      <c r="B647" s="257">
        <v>95</v>
      </c>
      <c r="C647" s="652"/>
      <c r="D647" s="80"/>
      <c r="E647" s="80"/>
      <c r="F647" s="258">
        <f t="shared" ca="1" si="21"/>
        <v>0</v>
      </c>
      <c r="G647" s="624"/>
      <c r="H647" s="85"/>
      <c r="I647" s="624"/>
      <c r="J647" s="85"/>
      <c r="K647" s="624"/>
      <c r="L647" s="85"/>
      <c r="M647" s="624"/>
      <c r="N647" s="85"/>
      <c r="O647" s="624"/>
      <c r="P647" s="85"/>
      <c r="Q647" s="626">
        <f t="shared" si="19"/>
        <v>0</v>
      </c>
      <c r="R647" s="85"/>
      <c r="S647" s="624"/>
      <c r="T647" s="260"/>
      <c r="U647" s="624"/>
      <c r="V647" s="85"/>
      <c r="W647" s="624"/>
      <c r="X647" s="81"/>
      <c r="Y647" s="80"/>
      <c r="Z647" s="737">
        <f ca="1">MAX(0%,IF(Q647&lt;&gt;0,MIN((S647-Q647)/Q647/'Underwriting Risk'!$E$27,'Premium and Reserve Risk'!$Z$551),'Premium and Reserve Risk'!$Z$551))</f>
        <v>0.19</v>
      </c>
      <c r="AA647" s="80"/>
      <c r="AB647" s="80"/>
      <c r="AC647" s="737">
        <f ca="1">MAX(0%,IF(U647&lt;&gt;0,MIN((W647-U647)/U647/'Underwriting Risk'!$E$27,'Premium and Reserve Risk'!$AC$551),'Premium and Reserve Risk'!$AC$551))</f>
        <v>0.17199999999999999</v>
      </c>
      <c r="AD647" s="81"/>
      <c r="AE647" s="97"/>
      <c r="AF647" s="97"/>
      <c r="AG647" s="97"/>
      <c r="AH647" s="97"/>
    </row>
    <row r="648" spans="1:34" ht="13.5" customHeight="1" x14ac:dyDescent="0.25">
      <c r="A648" s="97"/>
      <c r="B648" s="257">
        <v>96</v>
      </c>
      <c r="C648" s="652"/>
      <c r="D648" s="80"/>
      <c r="E648" s="80"/>
      <c r="F648" s="258">
        <f t="shared" ca="1" si="21"/>
        <v>0</v>
      </c>
      <c r="G648" s="624"/>
      <c r="H648" s="85"/>
      <c r="I648" s="624"/>
      <c r="J648" s="85"/>
      <c r="K648" s="624"/>
      <c r="L648" s="85"/>
      <c r="M648" s="624"/>
      <c r="N648" s="85"/>
      <c r="O648" s="624"/>
      <c r="P648" s="85"/>
      <c r="Q648" s="626">
        <f t="shared" si="19"/>
        <v>0</v>
      </c>
      <c r="R648" s="85"/>
      <c r="S648" s="624"/>
      <c r="T648" s="260"/>
      <c r="U648" s="624"/>
      <c r="V648" s="85"/>
      <c r="W648" s="624"/>
      <c r="X648" s="81"/>
      <c r="Y648" s="80"/>
      <c r="Z648" s="737">
        <f ca="1">MAX(0%,IF(Q648&lt;&gt;0,MIN((S648-Q648)/Q648/'Underwriting Risk'!$E$27,'Premium and Reserve Risk'!$Z$551),'Premium and Reserve Risk'!$Z$551))</f>
        <v>0.19</v>
      </c>
      <c r="AA648" s="80"/>
      <c r="AB648" s="80"/>
      <c r="AC648" s="737">
        <f ca="1">MAX(0%,IF(U648&lt;&gt;0,MIN((W648-U648)/U648/'Underwriting Risk'!$E$27,'Premium and Reserve Risk'!$AC$551),'Premium and Reserve Risk'!$AC$551))</f>
        <v>0.17199999999999999</v>
      </c>
      <c r="AD648" s="81"/>
      <c r="AE648" s="97"/>
      <c r="AF648" s="97"/>
      <c r="AG648" s="97"/>
      <c r="AH648" s="97"/>
    </row>
    <row r="649" spans="1:34" ht="13.5" customHeight="1" x14ac:dyDescent="0.25">
      <c r="A649" s="97"/>
      <c r="B649" s="257">
        <v>97</v>
      </c>
      <c r="C649" s="652"/>
      <c r="D649" s="80"/>
      <c r="E649" s="80"/>
      <c r="F649" s="258">
        <f t="shared" ca="1" si="21"/>
        <v>0</v>
      </c>
      <c r="G649" s="624"/>
      <c r="H649" s="85"/>
      <c r="I649" s="624"/>
      <c r="J649" s="85"/>
      <c r="K649" s="624"/>
      <c r="L649" s="85"/>
      <c r="M649" s="624"/>
      <c r="N649" s="85"/>
      <c r="O649" s="624"/>
      <c r="P649" s="85"/>
      <c r="Q649" s="626">
        <f t="shared" si="19"/>
        <v>0</v>
      </c>
      <c r="R649" s="85"/>
      <c r="S649" s="624"/>
      <c r="T649" s="260"/>
      <c r="U649" s="624"/>
      <c r="V649" s="85"/>
      <c r="W649" s="624"/>
      <c r="X649" s="81"/>
      <c r="Y649" s="80"/>
      <c r="Z649" s="737">
        <f ca="1">MAX(0%,IF(Q649&lt;&gt;0,MIN((S649-Q649)/Q649/'Underwriting Risk'!$E$27,'Premium and Reserve Risk'!$Z$551),'Premium and Reserve Risk'!$Z$551))</f>
        <v>0.19</v>
      </c>
      <c r="AA649" s="80"/>
      <c r="AB649" s="80"/>
      <c r="AC649" s="737">
        <f ca="1">MAX(0%,IF(U649&lt;&gt;0,MIN((W649-U649)/U649/'Underwriting Risk'!$E$27,'Premium and Reserve Risk'!$AC$551),'Premium and Reserve Risk'!$AC$551))</f>
        <v>0.17199999999999999</v>
      </c>
      <c r="AD649" s="81"/>
      <c r="AE649" s="97"/>
      <c r="AF649" s="97"/>
      <c r="AG649" s="97"/>
      <c r="AH649" s="97"/>
    </row>
    <row r="650" spans="1:34" ht="13.5" customHeight="1" x14ac:dyDescent="0.25">
      <c r="A650" s="97"/>
      <c r="B650" s="257">
        <v>98</v>
      </c>
      <c r="C650" s="652"/>
      <c r="D650" s="80"/>
      <c r="E650" s="80"/>
      <c r="F650" s="258">
        <f t="shared" ca="1" si="21"/>
        <v>0</v>
      </c>
      <c r="G650" s="624"/>
      <c r="H650" s="85"/>
      <c r="I650" s="624"/>
      <c r="J650" s="85"/>
      <c r="K650" s="624"/>
      <c r="L650" s="85"/>
      <c r="M650" s="624"/>
      <c r="N650" s="85"/>
      <c r="O650" s="624"/>
      <c r="P650" s="85"/>
      <c r="Q650" s="626">
        <f t="shared" si="19"/>
        <v>0</v>
      </c>
      <c r="R650" s="85"/>
      <c r="S650" s="624"/>
      <c r="T650" s="260"/>
      <c r="U650" s="624"/>
      <c r="V650" s="85"/>
      <c r="W650" s="624"/>
      <c r="X650" s="81"/>
      <c r="Y650" s="80"/>
      <c r="Z650" s="737">
        <f ca="1">MAX(0%,IF(Q650&lt;&gt;0,MIN((S650-Q650)/Q650/'Underwriting Risk'!$E$27,'Premium and Reserve Risk'!$Z$551),'Premium and Reserve Risk'!$Z$551))</f>
        <v>0.19</v>
      </c>
      <c r="AA650" s="80"/>
      <c r="AB650" s="80"/>
      <c r="AC650" s="737">
        <f ca="1">MAX(0%,IF(U650&lt;&gt;0,MIN((W650-U650)/U650/'Underwriting Risk'!$E$27,'Premium and Reserve Risk'!$AC$551),'Premium and Reserve Risk'!$AC$551))</f>
        <v>0.17199999999999999</v>
      </c>
      <c r="AD650" s="81"/>
      <c r="AE650" s="97"/>
      <c r="AF650" s="97"/>
      <c r="AG650" s="97"/>
      <c r="AH650" s="97"/>
    </row>
    <row r="651" spans="1:34" ht="13.5" customHeight="1" x14ac:dyDescent="0.25">
      <c r="A651" s="97"/>
      <c r="B651" s="257">
        <v>99</v>
      </c>
      <c r="C651" s="652"/>
      <c r="D651" s="80"/>
      <c r="E651" s="80"/>
      <c r="F651" s="258">
        <f t="shared" ca="1" si="21"/>
        <v>0</v>
      </c>
      <c r="G651" s="624"/>
      <c r="H651" s="85"/>
      <c r="I651" s="624"/>
      <c r="J651" s="85"/>
      <c r="K651" s="624"/>
      <c r="L651" s="85"/>
      <c r="M651" s="624"/>
      <c r="N651" s="85"/>
      <c r="O651" s="624"/>
      <c r="P651" s="85"/>
      <c r="Q651" s="626">
        <f t="shared" si="19"/>
        <v>0</v>
      </c>
      <c r="R651" s="85"/>
      <c r="S651" s="624"/>
      <c r="T651" s="260"/>
      <c r="U651" s="624"/>
      <c r="V651" s="85"/>
      <c r="W651" s="624"/>
      <c r="X651" s="81"/>
      <c r="Y651" s="80"/>
      <c r="Z651" s="737">
        <f ca="1">MAX(0%,IF(Q651&lt;&gt;0,MIN((S651-Q651)/Q651/'Underwriting Risk'!$E$27,'Premium and Reserve Risk'!$Z$551),'Premium and Reserve Risk'!$Z$551))</f>
        <v>0.19</v>
      </c>
      <c r="AA651" s="80"/>
      <c r="AB651" s="80"/>
      <c r="AC651" s="737">
        <f ca="1">MAX(0%,IF(U651&lt;&gt;0,MIN((W651-U651)/U651/'Underwriting Risk'!$E$27,'Premium and Reserve Risk'!$AC$551),'Premium and Reserve Risk'!$AC$551))</f>
        <v>0.17199999999999999</v>
      </c>
      <c r="AD651" s="81"/>
      <c r="AE651" s="97"/>
      <c r="AF651" s="97"/>
      <c r="AG651" s="97"/>
      <c r="AH651" s="97"/>
    </row>
    <row r="652" spans="1:34" ht="13.5" customHeight="1" x14ac:dyDescent="0.25">
      <c r="A652" s="97"/>
      <c r="B652" s="257">
        <v>100</v>
      </c>
      <c r="C652" s="652"/>
      <c r="D652" s="80"/>
      <c r="E652" s="80"/>
      <c r="F652" s="258">
        <f t="shared" ca="1" si="21"/>
        <v>0</v>
      </c>
      <c r="G652" s="624"/>
      <c r="H652" s="85"/>
      <c r="I652" s="624"/>
      <c r="J652" s="85"/>
      <c r="K652" s="624"/>
      <c r="L652" s="85"/>
      <c r="M652" s="624"/>
      <c r="N652" s="85"/>
      <c r="O652" s="624"/>
      <c r="P652" s="85"/>
      <c r="Q652" s="626">
        <f t="shared" si="19"/>
        <v>0</v>
      </c>
      <c r="R652" s="85"/>
      <c r="S652" s="624"/>
      <c r="T652" s="260"/>
      <c r="U652" s="624"/>
      <c r="V652" s="85"/>
      <c r="W652" s="624"/>
      <c r="X652" s="81"/>
      <c r="Y652" s="80"/>
      <c r="Z652" s="737">
        <f ca="1">MAX(0%,IF(Q652&lt;&gt;0,MIN((S652-Q652)/Q652/'Underwriting Risk'!$E$27,'Premium and Reserve Risk'!$Z$551),'Premium and Reserve Risk'!$Z$551))</f>
        <v>0.19</v>
      </c>
      <c r="AA652" s="80"/>
      <c r="AB652" s="80"/>
      <c r="AC652" s="737">
        <f ca="1">MAX(0%,IF(U652&lt;&gt;0,MIN((W652-U652)/U652/'Underwriting Risk'!$E$27,'Premium and Reserve Risk'!$AC$551),'Premium and Reserve Risk'!$AC$551))</f>
        <v>0.17199999999999999</v>
      </c>
      <c r="AD652" s="81"/>
      <c r="AE652" s="97"/>
      <c r="AF652" s="97"/>
      <c r="AG652" s="97"/>
      <c r="AH652" s="97"/>
    </row>
    <row r="653" spans="1:34" ht="6" customHeight="1" thickBot="1" x14ac:dyDescent="0.3">
      <c r="A653" s="97"/>
      <c r="B653" s="110"/>
      <c r="C653" s="93"/>
      <c r="D653" s="93"/>
      <c r="E653" s="93"/>
      <c r="F653" s="261">
        <f ca="1">IF(OFFSET($Z$8,B550-1,0)=0,1,0)</f>
        <v>0</v>
      </c>
      <c r="G653" s="134"/>
      <c r="H653" s="134"/>
      <c r="I653" s="134"/>
      <c r="J653" s="134"/>
      <c r="K653" s="134"/>
      <c r="L653" s="134"/>
      <c r="M653" s="134"/>
      <c r="N653" s="134"/>
      <c r="O653" s="134"/>
      <c r="P653" s="134"/>
      <c r="Q653" s="134"/>
      <c r="R653" s="134"/>
      <c r="S653" s="134"/>
      <c r="T653" s="134"/>
      <c r="U653" s="134"/>
      <c r="V653" s="134"/>
      <c r="W653" s="134"/>
      <c r="X653" s="94"/>
      <c r="Y653" s="93"/>
      <c r="Z653" s="93"/>
      <c r="AA653" s="93"/>
      <c r="AB653" s="93"/>
      <c r="AC653" s="93"/>
      <c r="AD653" s="94"/>
      <c r="AE653" s="97"/>
      <c r="AF653" s="97"/>
      <c r="AG653" s="97"/>
      <c r="AH653" s="97"/>
    </row>
    <row r="654" spans="1:34" ht="16.5" thickBot="1" x14ac:dyDescent="0.3">
      <c r="A654" s="97"/>
      <c r="B654" s="53"/>
      <c r="C654" s="53"/>
      <c r="D654" s="53"/>
      <c r="E654" s="53"/>
      <c r="F654" s="53"/>
      <c r="G654" s="109"/>
      <c r="H654" s="109"/>
      <c r="I654" s="109"/>
      <c r="J654" s="109"/>
      <c r="K654" s="109"/>
      <c r="L654" s="109"/>
      <c r="M654" s="109"/>
      <c r="N654" s="109"/>
      <c r="O654" s="109"/>
      <c r="P654" s="109"/>
      <c r="Q654" s="109"/>
      <c r="R654" s="109"/>
      <c r="S654" s="109"/>
      <c r="T654" s="109"/>
      <c r="U654" s="109"/>
      <c r="V654" s="109"/>
      <c r="W654" s="109"/>
      <c r="X654" s="53"/>
      <c r="Y654" s="53"/>
      <c r="Z654" s="53"/>
      <c r="AA654" s="53"/>
      <c r="AB654" s="53"/>
      <c r="AC654" s="53"/>
      <c r="AD654" s="53"/>
      <c r="AE654" s="97"/>
      <c r="AF654" s="97"/>
      <c r="AG654" s="97"/>
      <c r="AH654" s="97"/>
    </row>
    <row r="655" spans="1:34" ht="31.5" x14ac:dyDescent="0.25">
      <c r="A655" s="97"/>
      <c r="B655" s="187">
        <v>7</v>
      </c>
      <c r="C655" s="187" t="str">
        <f ca="1">RIGHT(OFFSET($B$8,B655-1,0),LEN(OFFSET($B$8,B655-1,0))-5)</f>
        <v xml:space="preserve"> Legal Expenses &amp; 19 Prop. Reins.</v>
      </c>
      <c r="D655" s="68"/>
      <c r="E655" s="68"/>
      <c r="F655" s="68"/>
      <c r="G655" s="68"/>
      <c r="H655" s="68"/>
      <c r="I655" s="68"/>
      <c r="J655" s="68"/>
      <c r="K655" s="68"/>
      <c r="L655" s="68"/>
      <c r="M655" s="68"/>
      <c r="N655" s="68"/>
      <c r="O655" s="68"/>
      <c r="P655" s="68"/>
      <c r="Q655" s="68"/>
      <c r="R655" s="68"/>
      <c r="S655" s="68"/>
      <c r="T655" s="68"/>
      <c r="U655" s="68"/>
      <c r="V655" s="68"/>
      <c r="W655" s="68"/>
      <c r="X655" s="251"/>
      <c r="Y655" s="68"/>
      <c r="Z655" s="250" t="s">
        <v>458</v>
      </c>
      <c r="AA655" s="736"/>
      <c r="AB655" s="736"/>
      <c r="AC655" s="250" t="s">
        <v>459</v>
      </c>
      <c r="AD655" s="251"/>
      <c r="AE655" s="97"/>
      <c r="AF655" s="97"/>
      <c r="AG655" s="97"/>
      <c r="AH655" s="97"/>
    </row>
    <row r="656" spans="1:34" ht="129.75" thickBot="1" x14ac:dyDescent="0.3">
      <c r="A656" s="97"/>
      <c r="B656" s="252"/>
      <c r="C656" s="253" t="s">
        <v>460</v>
      </c>
      <c r="D656" s="237"/>
      <c r="E656" s="237"/>
      <c r="F656" s="254">
        <f ca="1">IF(OFFSET($Z$8,B655-1,0)=0,1,0)</f>
        <v>0</v>
      </c>
      <c r="G656" s="792" t="s">
        <v>1130</v>
      </c>
      <c r="H656" s="793"/>
      <c r="I656" s="791" t="s">
        <v>438</v>
      </c>
      <c r="J656" s="791"/>
      <c r="K656" s="791" t="s">
        <v>439</v>
      </c>
      <c r="L656" s="791"/>
      <c r="M656" s="791" t="s">
        <v>1131</v>
      </c>
      <c r="N656" s="791"/>
      <c r="O656" s="791" t="s">
        <v>1132</v>
      </c>
      <c r="P656" s="363"/>
      <c r="Q656" s="237" t="s">
        <v>440</v>
      </c>
      <c r="R656" s="237"/>
      <c r="S656" s="237" t="s">
        <v>461</v>
      </c>
      <c r="T656" s="237"/>
      <c r="U656" s="237" t="s">
        <v>463</v>
      </c>
      <c r="V656" s="237"/>
      <c r="W656" s="237" t="s">
        <v>464</v>
      </c>
      <c r="X656" s="238"/>
      <c r="Y656" s="237"/>
      <c r="Z656" s="255">
        <f ca="1">OFFSET('Underwriting Risk'!$K$55,'Premium and Reserve Risk'!B655-1,0)</f>
        <v>8.3000000000000004E-2</v>
      </c>
      <c r="AA656" s="237"/>
      <c r="AB656" s="237"/>
      <c r="AC656" s="255">
        <f ca="1">OFFSET('Underwriting Risk'!$M$55,'Premium and Reserve Risk'!B655-1,0)</f>
        <v>5.5E-2</v>
      </c>
      <c r="AD656" s="238"/>
      <c r="AE656" s="97"/>
      <c r="AF656" s="97"/>
      <c r="AG656" s="97"/>
      <c r="AH656" s="97"/>
    </row>
    <row r="657" spans="1:34" ht="6" customHeight="1" x14ac:dyDescent="0.25">
      <c r="A657" s="97"/>
      <c r="B657" s="106"/>
      <c r="C657" s="80"/>
      <c r="D657" s="80"/>
      <c r="E657" s="80"/>
      <c r="F657" s="256">
        <f ca="1">IF(OFFSET($Z$8,B655-1,0)=0,1,0)</f>
        <v>0</v>
      </c>
      <c r="G657" s="85"/>
      <c r="H657" s="85"/>
      <c r="I657" s="85"/>
      <c r="J657" s="85"/>
      <c r="K657" s="85"/>
      <c r="L657" s="85"/>
      <c r="M657" s="85"/>
      <c r="N657" s="85"/>
      <c r="O657" s="85"/>
      <c r="P657" s="85"/>
      <c r="Q657" s="85"/>
      <c r="R657" s="85"/>
      <c r="S657" s="85"/>
      <c r="T657" s="85"/>
      <c r="U657" s="85"/>
      <c r="V657" s="85"/>
      <c r="W657" s="85"/>
      <c r="X657" s="81"/>
      <c r="Y657" s="80"/>
      <c r="Z657" s="80"/>
      <c r="AA657" s="80"/>
      <c r="AB657" s="80"/>
      <c r="AC657" s="80"/>
      <c r="AD657" s="81"/>
      <c r="AE657" s="97"/>
      <c r="AF657" s="97"/>
      <c r="AG657" s="97"/>
      <c r="AH657" s="97"/>
    </row>
    <row r="658" spans="1:34" ht="13.5" customHeight="1" x14ac:dyDescent="0.25">
      <c r="A658" s="97"/>
      <c r="B658" s="257">
        <v>1</v>
      </c>
      <c r="C658" s="652"/>
      <c r="D658" s="80"/>
      <c r="E658" s="80"/>
      <c r="F658" s="258">
        <f ca="1">IF(B658&lt;=OFFSET($Z$8,B$655-1,0),0,1)</f>
        <v>0</v>
      </c>
      <c r="G658" s="624"/>
      <c r="H658" s="85"/>
      <c r="I658" s="624"/>
      <c r="J658" s="85"/>
      <c r="K658" s="624"/>
      <c r="L658" s="85"/>
      <c r="M658" s="624"/>
      <c r="N658" s="85"/>
      <c r="O658" s="624"/>
      <c r="P658" s="85"/>
      <c r="Q658" s="626">
        <f t="shared" ref="Q658:Q757" si="22">MAX(G658,I658)+K658+M658+0.3*O658</f>
        <v>0</v>
      </c>
      <c r="R658" s="85"/>
      <c r="S658" s="624"/>
      <c r="T658" s="260"/>
      <c r="U658" s="624"/>
      <c r="V658" s="85"/>
      <c r="W658" s="624"/>
      <c r="X658" s="81"/>
      <c r="Y658" s="80"/>
      <c r="Z658" s="737">
        <f ca="1">MAX(0%,IF(Q658&lt;&gt;0,MIN((S658-Q658)/Q658/'Underwriting Risk'!$E$27,'Premium and Reserve Risk'!$Z$656),'Premium and Reserve Risk'!$Z$656))</f>
        <v>8.3000000000000004E-2</v>
      </c>
      <c r="AA658" s="80"/>
      <c r="AB658" s="80"/>
      <c r="AC658" s="737">
        <f ca="1">MAX(0%,IF(U658&lt;&gt;0,MIN((W658-U658)/U658/'Underwriting Risk'!$E$27,'Premium and Reserve Risk'!$AC$656),'Premium and Reserve Risk'!$AC$656))</f>
        <v>5.5E-2</v>
      </c>
      <c r="AD658" s="81"/>
      <c r="AE658" s="97"/>
      <c r="AF658" s="97"/>
      <c r="AG658" s="97"/>
      <c r="AH658" s="97"/>
    </row>
    <row r="659" spans="1:34" ht="13.5" customHeight="1" x14ac:dyDescent="0.25">
      <c r="A659" s="97"/>
      <c r="B659" s="257">
        <v>2</v>
      </c>
      <c r="C659" s="652"/>
      <c r="D659" s="80"/>
      <c r="E659" s="80"/>
      <c r="F659" s="258">
        <f t="shared" ref="F659:F722" ca="1" si="23">IF(B659&lt;=OFFSET($Z$8,B$655-1,0),0,1)</f>
        <v>0</v>
      </c>
      <c r="G659" s="624"/>
      <c r="H659" s="85"/>
      <c r="I659" s="624"/>
      <c r="J659" s="85"/>
      <c r="K659" s="624"/>
      <c r="L659" s="85"/>
      <c r="M659" s="624"/>
      <c r="N659" s="85"/>
      <c r="O659" s="624"/>
      <c r="P659" s="85"/>
      <c r="Q659" s="626">
        <f t="shared" si="22"/>
        <v>0</v>
      </c>
      <c r="R659" s="85"/>
      <c r="S659" s="624"/>
      <c r="T659" s="260"/>
      <c r="U659" s="624"/>
      <c r="V659" s="85"/>
      <c r="W659" s="624"/>
      <c r="X659" s="81"/>
      <c r="Y659" s="80"/>
      <c r="Z659" s="737">
        <f ca="1">MAX(0%,IF(Q659&lt;&gt;0,MIN((S659-Q659)/Q659/'Underwriting Risk'!$E$27,'Premium and Reserve Risk'!$Z$656),'Premium and Reserve Risk'!$Z$656))</f>
        <v>8.3000000000000004E-2</v>
      </c>
      <c r="AA659" s="80"/>
      <c r="AB659" s="80"/>
      <c r="AC659" s="737">
        <f ca="1">MAX(0%,IF(U659&lt;&gt;0,MIN((W659-U659)/U659/'Underwriting Risk'!$E$27,'Premium and Reserve Risk'!$AC$656),'Premium and Reserve Risk'!$AC$656))</f>
        <v>5.5E-2</v>
      </c>
      <c r="AD659" s="81"/>
      <c r="AE659" s="97"/>
      <c r="AF659" s="97"/>
      <c r="AG659" s="97"/>
      <c r="AH659" s="97"/>
    </row>
    <row r="660" spans="1:34" ht="13.5" customHeight="1" x14ac:dyDescent="0.25">
      <c r="A660" s="97"/>
      <c r="B660" s="257">
        <v>3</v>
      </c>
      <c r="C660" s="652"/>
      <c r="D660" s="80"/>
      <c r="E660" s="80"/>
      <c r="F660" s="258">
        <f t="shared" ca="1" si="23"/>
        <v>0</v>
      </c>
      <c r="G660" s="624"/>
      <c r="H660" s="85"/>
      <c r="I660" s="624"/>
      <c r="J660" s="85"/>
      <c r="K660" s="624"/>
      <c r="L660" s="85"/>
      <c r="M660" s="624"/>
      <c r="N660" s="85"/>
      <c r="O660" s="624"/>
      <c r="P660" s="85"/>
      <c r="Q660" s="626">
        <f t="shared" si="22"/>
        <v>0</v>
      </c>
      <c r="R660" s="85"/>
      <c r="S660" s="624"/>
      <c r="T660" s="260"/>
      <c r="U660" s="624"/>
      <c r="V660" s="85"/>
      <c r="W660" s="624"/>
      <c r="X660" s="81"/>
      <c r="Y660" s="80"/>
      <c r="Z660" s="737">
        <f ca="1">MAX(0%,IF(Q660&lt;&gt;0,MIN((S660-Q660)/Q660/'Underwriting Risk'!$E$27,'Premium and Reserve Risk'!$Z$656),'Premium and Reserve Risk'!$Z$656))</f>
        <v>8.3000000000000004E-2</v>
      </c>
      <c r="AA660" s="80"/>
      <c r="AB660" s="80"/>
      <c r="AC660" s="737">
        <f ca="1">MAX(0%,IF(U660&lt;&gt;0,MIN((W660-U660)/U660/'Underwriting Risk'!$E$27,'Premium and Reserve Risk'!$AC$656),'Premium and Reserve Risk'!$AC$656))</f>
        <v>5.5E-2</v>
      </c>
      <c r="AD660" s="81"/>
      <c r="AE660" s="97"/>
      <c r="AF660" s="97"/>
      <c r="AG660" s="97"/>
      <c r="AH660" s="97"/>
    </row>
    <row r="661" spans="1:34" ht="13.5" customHeight="1" x14ac:dyDescent="0.25">
      <c r="A661" s="97"/>
      <c r="B661" s="257">
        <v>4</v>
      </c>
      <c r="C661" s="652"/>
      <c r="D661" s="80"/>
      <c r="E661" s="80"/>
      <c r="F661" s="258">
        <f t="shared" ca="1" si="23"/>
        <v>0</v>
      </c>
      <c r="G661" s="624"/>
      <c r="H661" s="85"/>
      <c r="I661" s="624"/>
      <c r="J661" s="85"/>
      <c r="K661" s="624"/>
      <c r="L661" s="85"/>
      <c r="M661" s="624"/>
      <c r="N661" s="85"/>
      <c r="O661" s="624"/>
      <c r="P661" s="85"/>
      <c r="Q661" s="626">
        <f t="shared" si="22"/>
        <v>0</v>
      </c>
      <c r="R661" s="85"/>
      <c r="S661" s="624"/>
      <c r="T661" s="260"/>
      <c r="U661" s="624"/>
      <c r="V661" s="85"/>
      <c r="W661" s="624"/>
      <c r="X661" s="81"/>
      <c r="Y661" s="80"/>
      <c r="Z661" s="737">
        <f ca="1">MAX(0%,IF(Q661&lt;&gt;0,MIN((S661-Q661)/Q661/'Underwriting Risk'!$E$27,'Premium and Reserve Risk'!$Z$656),'Premium and Reserve Risk'!$Z$656))</f>
        <v>8.3000000000000004E-2</v>
      </c>
      <c r="AA661" s="80"/>
      <c r="AB661" s="80"/>
      <c r="AC661" s="737">
        <f ca="1">MAX(0%,IF(U661&lt;&gt;0,MIN((W661-U661)/U661/'Underwriting Risk'!$E$27,'Premium and Reserve Risk'!$AC$656),'Premium and Reserve Risk'!$AC$656))</f>
        <v>5.5E-2</v>
      </c>
      <c r="AD661" s="81"/>
      <c r="AE661" s="97"/>
      <c r="AF661" s="97"/>
      <c r="AG661" s="97"/>
      <c r="AH661" s="97"/>
    </row>
    <row r="662" spans="1:34" ht="13.5" customHeight="1" x14ac:dyDescent="0.25">
      <c r="A662" s="97"/>
      <c r="B662" s="257">
        <v>5</v>
      </c>
      <c r="C662" s="652"/>
      <c r="D662" s="80"/>
      <c r="E662" s="80"/>
      <c r="F662" s="258">
        <f t="shared" ca="1" si="23"/>
        <v>0</v>
      </c>
      <c r="G662" s="624"/>
      <c r="H662" s="85"/>
      <c r="I662" s="624"/>
      <c r="J662" s="85"/>
      <c r="K662" s="624"/>
      <c r="L662" s="85"/>
      <c r="M662" s="624"/>
      <c r="N662" s="85"/>
      <c r="O662" s="624"/>
      <c r="P662" s="85"/>
      <c r="Q662" s="626">
        <f t="shared" si="22"/>
        <v>0</v>
      </c>
      <c r="R662" s="85"/>
      <c r="S662" s="624"/>
      <c r="T662" s="260"/>
      <c r="U662" s="624"/>
      <c r="V662" s="85"/>
      <c r="W662" s="624"/>
      <c r="X662" s="81"/>
      <c r="Y662" s="80"/>
      <c r="Z662" s="737">
        <f ca="1">MAX(0%,IF(Q662&lt;&gt;0,MIN((S662-Q662)/Q662/'Underwriting Risk'!$E$27,'Premium and Reserve Risk'!$Z$656),'Premium and Reserve Risk'!$Z$656))</f>
        <v>8.3000000000000004E-2</v>
      </c>
      <c r="AA662" s="80"/>
      <c r="AB662" s="80"/>
      <c r="AC662" s="737">
        <f ca="1">MAX(0%,IF(U662&lt;&gt;0,MIN((W662-U662)/U662/'Underwriting Risk'!$E$27,'Premium and Reserve Risk'!$AC$656),'Premium and Reserve Risk'!$AC$656))</f>
        <v>5.5E-2</v>
      </c>
      <c r="AD662" s="81"/>
      <c r="AE662" s="97"/>
      <c r="AF662" s="97"/>
      <c r="AG662" s="97"/>
      <c r="AH662" s="97"/>
    </row>
    <row r="663" spans="1:34" ht="13.5" customHeight="1" x14ac:dyDescent="0.25">
      <c r="A663" s="97"/>
      <c r="B663" s="257">
        <v>6</v>
      </c>
      <c r="C663" s="652"/>
      <c r="D663" s="80"/>
      <c r="E663" s="80"/>
      <c r="F663" s="258">
        <f t="shared" ca="1" si="23"/>
        <v>0</v>
      </c>
      <c r="G663" s="624"/>
      <c r="H663" s="85"/>
      <c r="I663" s="624"/>
      <c r="J663" s="85"/>
      <c r="K663" s="624"/>
      <c r="L663" s="85"/>
      <c r="M663" s="624"/>
      <c r="N663" s="85"/>
      <c r="O663" s="624"/>
      <c r="P663" s="85"/>
      <c r="Q663" s="626">
        <f t="shared" si="22"/>
        <v>0</v>
      </c>
      <c r="R663" s="85"/>
      <c r="S663" s="624"/>
      <c r="T663" s="260"/>
      <c r="U663" s="624"/>
      <c r="V663" s="85"/>
      <c r="W663" s="624"/>
      <c r="X663" s="81"/>
      <c r="Y663" s="80"/>
      <c r="Z663" s="737">
        <f ca="1">MAX(0%,IF(Q663&lt;&gt;0,MIN((S663-Q663)/Q663/'Underwriting Risk'!$E$27,'Premium and Reserve Risk'!$Z$656),'Premium and Reserve Risk'!$Z$656))</f>
        <v>8.3000000000000004E-2</v>
      </c>
      <c r="AA663" s="80"/>
      <c r="AB663" s="80"/>
      <c r="AC663" s="737">
        <f ca="1">MAX(0%,IF(U663&lt;&gt;0,MIN((W663-U663)/U663/'Underwriting Risk'!$E$27,'Premium and Reserve Risk'!$AC$656),'Premium and Reserve Risk'!$AC$656))</f>
        <v>5.5E-2</v>
      </c>
      <c r="AD663" s="81"/>
      <c r="AE663" s="97"/>
      <c r="AF663" s="97"/>
      <c r="AG663" s="97"/>
      <c r="AH663" s="97"/>
    </row>
    <row r="664" spans="1:34" ht="13.5" customHeight="1" x14ac:dyDescent="0.25">
      <c r="A664" s="97"/>
      <c r="B664" s="257">
        <v>7</v>
      </c>
      <c r="C664" s="652"/>
      <c r="D664" s="80"/>
      <c r="E664" s="80"/>
      <c r="F664" s="258">
        <f t="shared" ca="1" si="23"/>
        <v>0</v>
      </c>
      <c r="G664" s="624"/>
      <c r="H664" s="85"/>
      <c r="I664" s="624"/>
      <c r="J664" s="85"/>
      <c r="K664" s="624"/>
      <c r="L664" s="85"/>
      <c r="M664" s="624"/>
      <c r="N664" s="85"/>
      <c r="O664" s="624"/>
      <c r="P664" s="85"/>
      <c r="Q664" s="626">
        <f t="shared" si="22"/>
        <v>0</v>
      </c>
      <c r="R664" s="85"/>
      <c r="S664" s="624"/>
      <c r="T664" s="260"/>
      <c r="U664" s="624"/>
      <c r="V664" s="85"/>
      <c r="W664" s="624"/>
      <c r="X664" s="81"/>
      <c r="Y664" s="80"/>
      <c r="Z664" s="737">
        <f ca="1">MAX(0%,IF(Q664&lt;&gt;0,MIN((S664-Q664)/Q664/'Underwriting Risk'!$E$27,'Premium and Reserve Risk'!$Z$656),'Premium and Reserve Risk'!$Z$656))</f>
        <v>8.3000000000000004E-2</v>
      </c>
      <c r="AA664" s="80"/>
      <c r="AB664" s="80"/>
      <c r="AC664" s="737">
        <f ca="1">MAX(0%,IF(U664&lt;&gt;0,MIN((W664-U664)/U664/'Underwriting Risk'!$E$27,'Premium and Reserve Risk'!$AC$656),'Premium and Reserve Risk'!$AC$656))</f>
        <v>5.5E-2</v>
      </c>
      <c r="AD664" s="81"/>
      <c r="AE664" s="97"/>
      <c r="AF664" s="97"/>
      <c r="AG664" s="97"/>
      <c r="AH664" s="97"/>
    </row>
    <row r="665" spans="1:34" ht="13.5" customHeight="1" x14ac:dyDescent="0.25">
      <c r="A665" s="97"/>
      <c r="B665" s="257">
        <v>8</v>
      </c>
      <c r="C665" s="652"/>
      <c r="D665" s="80"/>
      <c r="E665" s="80"/>
      <c r="F665" s="258">
        <f t="shared" ca="1" si="23"/>
        <v>0</v>
      </c>
      <c r="G665" s="624"/>
      <c r="H665" s="85"/>
      <c r="I665" s="624"/>
      <c r="J665" s="85"/>
      <c r="K665" s="624"/>
      <c r="L665" s="85"/>
      <c r="M665" s="624"/>
      <c r="N665" s="85"/>
      <c r="O665" s="624"/>
      <c r="P665" s="85"/>
      <c r="Q665" s="626">
        <f t="shared" si="22"/>
        <v>0</v>
      </c>
      <c r="R665" s="85"/>
      <c r="S665" s="624"/>
      <c r="T665" s="260"/>
      <c r="U665" s="624"/>
      <c r="V665" s="85"/>
      <c r="W665" s="624"/>
      <c r="X665" s="81"/>
      <c r="Y665" s="80"/>
      <c r="Z665" s="737">
        <f ca="1">MAX(0%,IF(Q665&lt;&gt;0,MIN((S665-Q665)/Q665/'Underwriting Risk'!$E$27,'Premium and Reserve Risk'!$Z$656),'Premium and Reserve Risk'!$Z$656))</f>
        <v>8.3000000000000004E-2</v>
      </c>
      <c r="AA665" s="80"/>
      <c r="AB665" s="80"/>
      <c r="AC665" s="737">
        <f ca="1">MAX(0%,IF(U665&lt;&gt;0,MIN((W665-U665)/U665/'Underwriting Risk'!$E$27,'Premium and Reserve Risk'!$AC$656),'Premium and Reserve Risk'!$AC$656))</f>
        <v>5.5E-2</v>
      </c>
      <c r="AD665" s="81"/>
      <c r="AE665" s="97"/>
      <c r="AF665" s="97"/>
      <c r="AG665" s="97"/>
      <c r="AH665" s="97"/>
    </row>
    <row r="666" spans="1:34" ht="13.5" customHeight="1" x14ac:dyDescent="0.25">
      <c r="A666" s="97"/>
      <c r="B666" s="257">
        <v>9</v>
      </c>
      <c r="C666" s="652"/>
      <c r="D666" s="80"/>
      <c r="E666" s="80"/>
      <c r="F666" s="258">
        <f t="shared" ca="1" si="23"/>
        <v>0</v>
      </c>
      <c r="G666" s="624"/>
      <c r="H666" s="85"/>
      <c r="I666" s="624"/>
      <c r="J666" s="85"/>
      <c r="K666" s="624"/>
      <c r="L666" s="85"/>
      <c r="M666" s="624"/>
      <c r="N666" s="85"/>
      <c r="O666" s="624"/>
      <c r="P666" s="85"/>
      <c r="Q666" s="626">
        <f t="shared" si="22"/>
        <v>0</v>
      </c>
      <c r="R666" s="85"/>
      <c r="S666" s="624"/>
      <c r="T666" s="260"/>
      <c r="U666" s="624"/>
      <c r="V666" s="85"/>
      <c r="W666" s="624"/>
      <c r="X666" s="81"/>
      <c r="Y666" s="80"/>
      <c r="Z666" s="737">
        <f ca="1">MAX(0%,IF(Q666&lt;&gt;0,MIN((S666-Q666)/Q666/'Underwriting Risk'!$E$27,'Premium and Reserve Risk'!$Z$656),'Premium and Reserve Risk'!$Z$656))</f>
        <v>8.3000000000000004E-2</v>
      </c>
      <c r="AA666" s="80"/>
      <c r="AB666" s="80"/>
      <c r="AC666" s="737">
        <f ca="1">MAX(0%,IF(U666&lt;&gt;0,MIN((W666-U666)/U666/'Underwriting Risk'!$E$27,'Premium and Reserve Risk'!$AC$656),'Premium and Reserve Risk'!$AC$656))</f>
        <v>5.5E-2</v>
      </c>
      <c r="AD666" s="81"/>
      <c r="AE666" s="97"/>
      <c r="AF666" s="97"/>
      <c r="AG666" s="97"/>
      <c r="AH666" s="97"/>
    </row>
    <row r="667" spans="1:34" ht="13.5" customHeight="1" x14ac:dyDescent="0.25">
      <c r="A667" s="97"/>
      <c r="B667" s="257">
        <v>10</v>
      </c>
      <c r="C667" s="652"/>
      <c r="D667" s="80"/>
      <c r="E667" s="80"/>
      <c r="F667" s="258">
        <f t="shared" ca="1" si="23"/>
        <v>0</v>
      </c>
      <c r="G667" s="624"/>
      <c r="H667" s="85"/>
      <c r="I667" s="624"/>
      <c r="J667" s="85"/>
      <c r="K667" s="624"/>
      <c r="L667" s="85"/>
      <c r="M667" s="624"/>
      <c r="N667" s="85"/>
      <c r="O667" s="624"/>
      <c r="P667" s="85"/>
      <c r="Q667" s="626">
        <f t="shared" si="22"/>
        <v>0</v>
      </c>
      <c r="R667" s="85"/>
      <c r="S667" s="624"/>
      <c r="T667" s="260"/>
      <c r="U667" s="624"/>
      <c r="V667" s="85"/>
      <c r="W667" s="624"/>
      <c r="X667" s="81"/>
      <c r="Y667" s="80"/>
      <c r="Z667" s="737">
        <f ca="1">MAX(0%,IF(Q667&lt;&gt;0,MIN((S667-Q667)/Q667/'Underwriting Risk'!$E$27,'Premium and Reserve Risk'!$Z$656),'Premium and Reserve Risk'!$Z$656))</f>
        <v>8.3000000000000004E-2</v>
      </c>
      <c r="AA667" s="80"/>
      <c r="AB667" s="80"/>
      <c r="AC667" s="737">
        <f ca="1">MAX(0%,IF(U667&lt;&gt;0,MIN((W667-U667)/U667/'Underwriting Risk'!$E$27,'Premium and Reserve Risk'!$AC$656),'Premium and Reserve Risk'!$AC$656))</f>
        <v>5.5E-2</v>
      </c>
      <c r="AD667" s="81"/>
      <c r="AE667" s="97"/>
      <c r="AF667" s="97"/>
      <c r="AG667" s="97"/>
      <c r="AH667" s="97"/>
    </row>
    <row r="668" spans="1:34" ht="13.5" customHeight="1" x14ac:dyDescent="0.25">
      <c r="A668" s="97"/>
      <c r="B668" s="257">
        <v>11</v>
      </c>
      <c r="C668" s="652"/>
      <c r="D668" s="80"/>
      <c r="E668" s="80"/>
      <c r="F668" s="258">
        <f t="shared" ca="1" si="23"/>
        <v>0</v>
      </c>
      <c r="G668" s="624"/>
      <c r="H668" s="85"/>
      <c r="I668" s="624"/>
      <c r="J668" s="85"/>
      <c r="K668" s="624"/>
      <c r="L668" s="85"/>
      <c r="M668" s="624"/>
      <c r="N668" s="85"/>
      <c r="O668" s="624"/>
      <c r="P668" s="85"/>
      <c r="Q668" s="626">
        <f t="shared" si="22"/>
        <v>0</v>
      </c>
      <c r="R668" s="85"/>
      <c r="S668" s="624"/>
      <c r="T668" s="260"/>
      <c r="U668" s="624"/>
      <c r="V668" s="85"/>
      <c r="W668" s="624"/>
      <c r="X668" s="81"/>
      <c r="Y668" s="80"/>
      <c r="Z668" s="737">
        <f ca="1">MAX(0%,IF(Q668&lt;&gt;0,MIN((S668-Q668)/Q668/'Underwriting Risk'!$E$27,'Premium and Reserve Risk'!$Z$656),'Premium and Reserve Risk'!$Z$656))</f>
        <v>8.3000000000000004E-2</v>
      </c>
      <c r="AA668" s="80"/>
      <c r="AB668" s="80"/>
      <c r="AC668" s="737">
        <f ca="1">MAX(0%,IF(U668&lt;&gt;0,MIN((W668-U668)/U668/'Underwriting Risk'!$E$27,'Premium and Reserve Risk'!$AC$656),'Premium and Reserve Risk'!$AC$656))</f>
        <v>5.5E-2</v>
      </c>
      <c r="AD668" s="81"/>
      <c r="AE668" s="97"/>
      <c r="AF668" s="97"/>
      <c r="AG668" s="97"/>
      <c r="AH668" s="97"/>
    </row>
    <row r="669" spans="1:34" ht="13.5" customHeight="1" x14ac:dyDescent="0.25">
      <c r="A669" s="97"/>
      <c r="B669" s="257">
        <v>12</v>
      </c>
      <c r="C669" s="652"/>
      <c r="D669" s="80"/>
      <c r="E669" s="80"/>
      <c r="F669" s="258">
        <f t="shared" ca="1" si="23"/>
        <v>0</v>
      </c>
      <c r="G669" s="624"/>
      <c r="H669" s="85"/>
      <c r="I669" s="624"/>
      <c r="J669" s="85"/>
      <c r="K669" s="624"/>
      <c r="L669" s="85"/>
      <c r="M669" s="624"/>
      <c r="N669" s="85"/>
      <c r="O669" s="624"/>
      <c r="P669" s="85"/>
      <c r="Q669" s="626">
        <f t="shared" si="22"/>
        <v>0</v>
      </c>
      <c r="R669" s="85"/>
      <c r="S669" s="624"/>
      <c r="T669" s="260"/>
      <c r="U669" s="624"/>
      <c r="V669" s="85"/>
      <c r="W669" s="624"/>
      <c r="X669" s="81"/>
      <c r="Y669" s="80"/>
      <c r="Z669" s="737">
        <f ca="1">MAX(0%,IF(Q669&lt;&gt;0,MIN((S669-Q669)/Q669/'Underwriting Risk'!$E$27,'Premium and Reserve Risk'!$Z$656),'Premium and Reserve Risk'!$Z$656))</f>
        <v>8.3000000000000004E-2</v>
      </c>
      <c r="AA669" s="80"/>
      <c r="AB669" s="80"/>
      <c r="AC669" s="737">
        <f ca="1">MAX(0%,IF(U669&lt;&gt;0,MIN((W669-U669)/U669/'Underwriting Risk'!$E$27,'Premium and Reserve Risk'!$AC$656),'Premium and Reserve Risk'!$AC$656))</f>
        <v>5.5E-2</v>
      </c>
      <c r="AD669" s="81"/>
      <c r="AE669" s="97"/>
      <c r="AF669" s="97"/>
      <c r="AG669" s="97"/>
      <c r="AH669" s="97"/>
    </row>
    <row r="670" spans="1:34" ht="13.5" customHeight="1" x14ac:dyDescent="0.25">
      <c r="A670" s="97"/>
      <c r="B670" s="257">
        <v>13</v>
      </c>
      <c r="C670" s="652"/>
      <c r="D670" s="80"/>
      <c r="E670" s="80"/>
      <c r="F670" s="258">
        <f t="shared" ca="1" si="23"/>
        <v>0</v>
      </c>
      <c r="G670" s="624"/>
      <c r="H670" s="85"/>
      <c r="I670" s="624"/>
      <c r="J670" s="85"/>
      <c r="K670" s="624"/>
      <c r="L670" s="85"/>
      <c r="M670" s="624"/>
      <c r="N670" s="85"/>
      <c r="O670" s="624"/>
      <c r="P670" s="85"/>
      <c r="Q670" s="626">
        <f t="shared" si="22"/>
        <v>0</v>
      </c>
      <c r="R670" s="85"/>
      <c r="S670" s="624"/>
      <c r="T670" s="260"/>
      <c r="U670" s="624"/>
      <c r="V670" s="85"/>
      <c r="W670" s="624"/>
      <c r="X670" s="81"/>
      <c r="Y670" s="80"/>
      <c r="Z670" s="737">
        <f ca="1">MAX(0%,IF(Q670&lt;&gt;0,MIN((S670-Q670)/Q670/'Underwriting Risk'!$E$27,'Premium and Reserve Risk'!$Z$656),'Premium and Reserve Risk'!$Z$656))</f>
        <v>8.3000000000000004E-2</v>
      </c>
      <c r="AA670" s="80"/>
      <c r="AB670" s="80"/>
      <c r="AC670" s="737">
        <f ca="1">MAX(0%,IF(U670&lt;&gt;0,MIN((W670-U670)/U670/'Underwriting Risk'!$E$27,'Premium and Reserve Risk'!$AC$656),'Premium and Reserve Risk'!$AC$656))</f>
        <v>5.5E-2</v>
      </c>
      <c r="AD670" s="81"/>
      <c r="AE670" s="97"/>
      <c r="AF670" s="97"/>
      <c r="AG670" s="97"/>
      <c r="AH670" s="97"/>
    </row>
    <row r="671" spans="1:34" ht="13.5" customHeight="1" x14ac:dyDescent="0.25">
      <c r="A671" s="97"/>
      <c r="B671" s="257">
        <v>14</v>
      </c>
      <c r="C671" s="652"/>
      <c r="D671" s="80"/>
      <c r="E671" s="80"/>
      <c r="F671" s="258">
        <f t="shared" ca="1" si="23"/>
        <v>0</v>
      </c>
      <c r="G671" s="624"/>
      <c r="H671" s="85"/>
      <c r="I671" s="624"/>
      <c r="J671" s="85"/>
      <c r="K671" s="624"/>
      <c r="L671" s="85"/>
      <c r="M671" s="624"/>
      <c r="N671" s="85"/>
      <c r="O671" s="624"/>
      <c r="P671" s="85"/>
      <c r="Q671" s="626">
        <f t="shared" si="22"/>
        <v>0</v>
      </c>
      <c r="R671" s="85"/>
      <c r="S671" s="624"/>
      <c r="T671" s="260"/>
      <c r="U671" s="624"/>
      <c r="V671" s="85"/>
      <c r="W671" s="624"/>
      <c r="X671" s="81"/>
      <c r="Y671" s="80"/>
      <c r="Z671" s="737">
        <f ca="1">MAX(0%,IF(Q671&lt;&gt;0,MIN((S671-Q671)/Q671/'Underwriting Risk'!$E$27,'Premium and Reserve Risk'!$Z$656),'Premium and Reserve Risk'!$Z$656))</f>
        <v>8.3000000000000004E-2</v>
      </c>
      <c r="AA671" s="80"/>
      <c r="AB671" s="80"/>
      <c r="AC671" s="737">
        <f ca="1">MAX(0%,IF(U671&lt;&gt;0,MIN((W671-U671)/U671/'Underwriting Risk'!$E$27,'Premium and Reserve Risk'!$AC$656),'Premium and Reserve Risk'!$AC$656))</f>
        <v>5.5E-2</v>
      </c>
      <c r="AD671" s="81"/>
      <c r="AE671" s="97"/>
      <c r="AF671" s="97"/>
      <c r="AG671" s="97"/>
      <c r="AH671" s="97"/>
    </row>
    <row r="672" spans="1:34" ht="13.5" customHeight="1" x14ac:dyDescent="0.25">
      <c r="A672" s="97"/>
      <c r="B672" s="257">
        <v>15</v>
      </c>
      <c r="C672" s="652"/>
      <c r="D672" s="80"/>
      <c r="E672" s="80"/>
      <c r="F672" s="258">
        <f t="shared" ca="1" si="23"/>
        <v>0</v>
      </c>
      <c r="G672" s="624"/>
      <c r="H672" s="85"/>
      <c r="I672" s="624"/>
      <c r="J672" s="85"/>
      <c r="K672" s="624"/>
      <c r="L672" s="85"/>
      <c r="M672" s="624"/>
      <c r="N672" s="85"/>
      <c r="O672" s="624"/>
      <c r="P672" s="85"/>
      <c r="Q672" s="626">
        <f t="shared" si="22"/>
        <v>0</v>
      </c>
      <c r="R672" s="85"/>
      <c r="S672" s="624"/>
      <c r="T672" s="260"/>
      <c r="U672" s="624"/>
      <c r="V672" s="85"/>
      <c r="W672" s="624"/>
      <c r="X672" s="81"/>
      <c r="Y672" s="80"/>
      <c r="Z672" s="737">
        <f ca="1">MAX(0%,IF(Q672&lt;&gt;0,MIN((S672-Q672)/Q672/'Underwriting Risk'!$E$27,'Premium and Reserve Risk'!$Z$656),'Premium and Reserve Risk'!$Z$656))</f>
        <v>8.3000000000000004E-2</v>
      </c>
      <c r="AA672" s="80"/>
      <c r="AB672" s="80"/>
      <c r="AC672" s="737">
        <f ca="1">MAX(0%,IF(U672&lt;&gt;0,MIN((W672-U672)/U672/'Underwriting Risk'!$E$27,'Premium and Reserve Risk'!$AC$656),'Premium and Reserve Risk'!$AC$656))</f>
        <v>5.5E-2</v>
      </c>
      <c r="AD672" s="81"/>
      <c r="AE672" s="97"/>
      <c r="AF672" s="97"/>
      <c r="AG672" s="97"/>
      <c r="AH672" s="97"/>
    </row>
    <row r="673" spans="1:34" ht="13.5" customHeight="1" x14ac:dyDescent="0.25">
      <c r="A673" s="97"/>
      <c r="B673" s="257">
        <v>16</v>
      </c>
      <c r="C673" s="652"/>
      <c r="D673" s="80"/>
      <c r="E673" s="80"/>
      <c r="F673" s="258">
        <f t="shared" ca="1" si="23"/>
        <v>0</v>
      </c>
      <c r="G673" s="624"/>
      <c r="H673" s="85"/>
      <c r="I673" s="624"/>
      <c r="J673" s="85"/>
      <c r="K673" s="624"/>
      <c r="L673" s="85"/>
      <c r="M673" s="624"/>
      <c r="N673" s="85"/>
      <c r="O673" s="624"/>
      <c r="P673" s="85"/>
      <c r="Q673" s="626">
        <f t="shared" si="22"/>
        <v>0</v>
      </c>
      <c r="R673" s="85"/>
      <c r="S673" s="624"/>
      <c r="T673" s="260"/>
      <c r="U673" s="624"/>
      <c r="V673" s="85"/>
      <c r="W673" s="624"/>
      <c r="X673" s="81"/>
      <c r="Y673" s="80"/>
      <c r="Z673" s="737">
        <f ca="1">MAX(0%,IF(Q673&lt;&gt;0,MIN((S673-Q673)/Q673/'Underwriting Risk'!$E$27,'Premium and Reserve Risk'!$Z$656),'Premium and Reserve Risk'!$Z$656))</f>
        <v>8.3000000000000004E-2</v>
      </c>
      <c r="AA673" s="80"/>
      <c r="AB673" s="80"/>
      <c r="AC673" s="737">
        <f ca="1">MAX(0%,IF(U673&lt;&gt;0,MIN((W673-U673)/U673/'Underwriting Risk'!$E$27,'Premium and Reserve Risk'!$AC$656),'Premium and Reserve Risk'!$AC$656))</f>
        <v>5.5E-2</v>
      </c>
      <c r="AD673" s="81"/>
      <c r="AE673" s="97"/>
      <c r="AF673" s="97"/>
      <c r="AG673" s="97"/>
      <c r="AH673" s="97"/>
    </row>
    <row r="674" spans="1:34" ht="13.5" customHeight="1" x14ac:dyDescent="0.25">
      <c r="A674" s="97"/>
      <c r="B674" s="257">
        <v>17</v>
      </c>
      <c r="C674" s="652"/>
      <c r="D674" s="80"/>
      <c r="E674" s="80"/>
      <c r="F674" s="258">
        <f t="shared" ca="1" si="23"/>
        <v>0</v>
      </c>
      <c r="G674" s="624"/>
      <c r="H674" s="85"/>
      <c r="I674" s="624"/>
      <c r="J674" s="85"/>
      <c r="K674" s="624"/>
      <c r="L674" s="85"/>
      <c r="M674" s="624"/>
      <c r="N674" s="85"/>
      <c r="O674" s="624"/>
      <c r="P674" s="85"/>
      <c r="Q674" s="626">
        <f t="shared" si="22"/>
        <v>0</v>
      </c>
      <c r="R674" s="85"/>
      <c r="S674" s="624"/>
      <c r="T674" s="260"/>
      <c r="U674" s="624"/>
      <c r="V674" s="85"/>
      <c r="W674" s="624"/>
      <c r="X674" s="81"/>
      <c r="Y674" s="80"/>
      <c r="Z674" s="737">
        <f ca="1">MAX(0%,IF(Q674&lt;&gt;0,MIN((S674-Q674)/Q674/'Underwriting Risk'!$E$27,'Premium and Reserve Risk'!$Z$656),'Premium and Reserve Risk'!$Z$656))</f>
        <v>8.3000000000000004E-2</v>
      </c>
      <c r="AA674" s="80"/>
      <c r="AB674" s="80"/>
      <c r="AC674" s="737">
        <f ca="1">MAX(0%,IF(U674&lt;&gt;0,MIN((W674-U674)/U674/'Underwriting Risk'!$E$27,'Premium and Reserve Risk'!$AC$656),'Premium and Reserve Risk'!$AC$656))</f>
        <v>5.5E-2</v>
      </c>
      <c r="AD674" s="81"/>
      <c r="AE674" s="97"/>
      <c r="AF674" s="97"/>
      <c r="AG674" s="97"/>
      <c r="AH674" s="97"/>
    </row>
    <row r="675" spans="1:34" ht="13.5" customHeight="1" x14ac:dyDescent="0.25">
      <c r="A675" s="97"/>
      <c r="B675" s="257">
        <v>18</v>
      </c>
      <c r="C675" s="652"/>
      <c r="D675" s="80"/>
      <c r="E675" s="80"/>
      <c r="F675" s="258">
        <f t="shared" ca="1" si="23"/>
        <v>0</v>
      </c>
      <c r="G675" s="624"/>
      <c r="H675" s="85"/>
      <c r="I675" s="624"/>
      <c r="J675" s="85"/>
      <c r="K675" s="624"/>
      <c r="L675" s="85"/>
      <c r="M675" s="624"/>
      <c r="N675" s="85"/>
      <c r="O675" s="624"/>
      <c r="P675" s="85"/>
      <c r="Q675" s="626">
        <f t="shared" si="22"/>
        <v>0</v>
      </c>
      <c r="R675" s="85"/>
      <c r="S675" s="624"/>
      <c r="T675" s="260"/>
      <c r="U675" s="624"/>
      <c r="V675" s="85"/>
      <c r="W675" s="624"/>
      <c r="X675" s="81"/>
      <c r="Y675" s="80"/>
      <c r="Z675" s="737">
        <f ca="1">MAX(0%,IF(Q675&lt;&gt;0,MIN((S675-Q675)/Q675/'Underwriting Risk'!$E$27,'Premium and Reserve Risk'!$Z$656),'Premium and Reserve Risk'!$Z$656))</f>
        <v>8.3000000000000004E-2</v>
      </c>
      <c r="AA675" s="80"/>
      <c r="AB675" s="80"/>
      <c r="AC675" s="737">
        <f ca="1">MAX(0%,IF(U675&lt;&gt;0,MIN((W675-U675)/U675/'Underwriting Risk'!$E$27,'Premium and Reserve Risk'!$AC$656),'Premium and Reserve Risk'!$AC$656))</f>
        <v>5.5E-2</v>
      </c>
      <c r="AD675" s="81"/>
      <c r="AE675" s="97"/>
      <c r="AF675" s="97"/>
      <c r="AG675" s="97"/>
      <c r="AH675" s="97"/>
    </row>
    <row r="676" spans="1:34" ht="13.5" customHeight="1" x14ac:dyDescent="0.25">
      <c r="A676" s="97"/>
      <c r="B676" s="257">
        <v>19</v>
      </c>
      <c r="C676" s="652"/>
      <c r="D676" s="80"/>
      <c r="E676" s="80"/>
      <c r="F676" s="258">
        <f t="shared" ca="1" si="23"/>
        <v>0</v>
      </c>
      <c r="G676" s="624"/>
      <c r="H676" s="85"/>
      <c r="I676" s="624"/>
      <c r="J676" s="85"/>
      <c r="K676" s="624"/>
      <c r="L676" s="85"/>
      <c r="M676" s="624"/>
      <c r="N676" s="85"/>
      <c r="O676" s="624"/>
      <c r="P676" s="85"/>
      <c r="Q676" s="626">
        <f t="shared" si="22"/>
        <v>0</v>
      </c>
      <c r="R676" s="85"/>
      <c r="S676" s="624"/>
      <c r="T676" s="260"/>
      <c r="U676" s="624"/>
      <c r="V676" s="85"/>
      <c r="W676" s="624"/>
      <c r="X676" s="81"/>
      <c r="Y676" s="80"/>
      <c r="Z676" s="737">
        <f ca="1">MAX(0%,IF(Q676&lt;&gt;0,MIN((S676-Q676)/Q676/'Underwriting Risk'!$E$27,'Premium and Reserve Risk'!$Z$656),'Premium and Reserve Risk'!$Z$656))</f>
        <v>8.3000000000000004E-2</v>
      </c>
      <c r="AA676" s="80"/>
      <c r="AB676" s="80"/>
      <c r="AC676" s="737">
        <f ca="1">MAX(0%,IF(U676&lt;&gt;0,MIN((W676-U676)/U676/'Underwriting Risk'!$E$27,'Premium and Reserve Risk'!$AC$656),'Premium and Reserve Risk'!$AC$656))</f>
        <v>5.5E-2</v>
      </c>
      <c r="AD676" s="81"/>
      <c r="AE676" s="97"/>
      <c r="AF676" s="97"/>
      <c r="AG676" s="97"/>
      <c r="AH676" s="97"/>
    </row>
    <row r="677" spans="1:34" ht="13.5" customHeight="1" x14ac:dyDescent="0.25">
      <c r="A677" s="97"/>
      <c r="B677" s="257">
        <v>20</v>
      </c>
      <c r="C677" s="652"/>
      <c r="D677" s="80"/>
      <c r="E677" s="80"/>
      <c r="F677" s="258">
        <f t="shared" ca="1" si="23"/>
        <v>0</v>
      </c>
      <c r="G677" s="624"/>
      <c r="H677" s="85"/>
      <c r="I677" s="624"/>
      <c r="J677" s="85"/>
      <c r="K677" s="624"/>
      <c r="L677" s="85"/>
      <c r="M677" s="624"/>
      <c r="N677" s="85"/>
      <c r="O677" s="624"/>
      <c r="P677" s="85"/>
      <c r="Q677" s="626">
        <f t="shared" si="22"/>
        <v>0</v>
      </c>
      <c r="R677" s="85"/>
      <c r="S677" s="624"/>
      <c r="T677" s="260"/>
      <c r="U677" s="624"/>
      <c r="V677" s="85"/>
      <c r="W677" s="624"/>
      <c r="X677" s="81"/>
      <c r="Y677" s="80"/>
      <c r="Z677" s="737">
        <f ca="1">MAX(0%,IF(Q677&lt;&gt;0,MIN((S677-Q677)/Q677/'Underwriting Risk'!$E$27,'Premium and Reserve Risk'!$Z$656),'Premium and Reserve Risk'!$Z$656))</f>
        <v>8.3000000000000004E-2</v>
      </c>
      <c r="AA677" s="80"/>
      <c r="AB677" s="80"/>
      <c r="AC677" s="737">
        <f ca="1">MAX(0%,IF(U677&lt;&gt;0,MIN((W677-U677)/U677/'Underwriting Risk'!$E$27,'Premium and Reserve Risk'!$AC$656),'Premium and Reserve Risk'!$AC$656))</f>
        <v>5.5E-2</v>
      </c>
      <c r="AD677" s="81"/>
      <c r="AE677" s="97"/>
      <c r="AF677" s="97"/>
      <c r="AG677" s="97"/>
      <c r="AH677" s="97"/>
    </row>
    <row r="678" spans="1:34" ht="13.5" customHeight="1" x14ac:dyDescent="0.25">
      <c r="A678" s="97"/>
      <c r="B678" s="257">
        <v>21</v>
      </c>
      <c r="C678" s="652"/>
      <c r="D678" s="80"/>
      <c r="E678" s="80"/>
      <c r="F678" s="258">
        <f t="shared" ca="1" si="23"/>
        <v>0</v>
      </c>
      <c r="G678" s="624"/>
      <c r="H678" s="85"/>
      <c r="I678" s="624"/>
      <c r="J678" s="85"/>
      <c r="K678" s="624"/>
      <c r="L678" s="85"/>
      <c r="M678" s="624"/>
      <c r="N678" s="85"/>
      <c r="O678" s="624"/>
      <c r="P678" s="85"/>
      <c r="Q678" s="626">
        <f t="shared" si="22"/>
        <v>0</v>
      </c>
      <c r="R678" s="85"/>
      <c r="S678" s="624"/>
      <c r="T678" s="260"/>
      <c r="U678" s="624"/>
      <c r="V678" s="85"/>
      <c r="W678" s="624"/>
      <c r="X678" s="81"/>
      <c r="Y678" s="80"/>
      <c r="Z678" s="737">
        <f ca="1">MAX(0%,IF(Q678&lt;&gt;0,MIN((S678-Q678)/Q678/'Underwriting Risk'!$E$27,'Premium and Reserve Risk'!$Z$656),'Premium and Reserve Risk'!$Z$656))</f>
        <v>8.3000000000000004E-2</v>
      </c>
      <c r="AA678" s="80"/>
      <c r="AB678" s="80"/>
      <c r="AC678" s="737">
        <f ca="1">MAX(0%,IF(U678&lt;&gt;0,MIN((W678-U678)/U678/'Underwriting Risk'!$E$27,'Premium and Reserve Risk'!$AC$656),'Premium and Reserve Risk'!$AC$656))</f>
        <v>5.5E-2</v>
      </c>
      <c r="AD678" s="81"/>
      <c r="AE678" s="97"/>
      <c r="AF678" s="97"/>
      <c r="AG678" s="97"/>
      <c r="AH678" s="97"/>
    </row>
    <row r="679" spans="1:34" ht="13.5" customHeight="1" x14ac:dyDescent="0.25">
      <c r="A679" s="97"/>
      <c r="B679" s="257">
        <v>22</v>
      </c>
      <c r="C679" s="652"/>
      <c r="D679" s="80"/>
      <c r="E679" s="80"/>
      <c r="F679" s="258">
        <f t="shared" ca="1" si="23"/>
        <v>0</v>
      </c>
      <c r="G679" s="624"/>
      <c r="H679" s="85"/>
      <c r="I679" s="624"/>
      <c r="J679" s="85"/>
      <c r="K679" s="624"/>
      <c r="L679" s="85"/>
      <c r="M679" s="624"/>
      <c r="N679" s="85"/>
      <c r="O679" s="624"/>
      <c r="P679" s="85"/>
      <c r="Q679" s="626">
        <f t="shared" si="22"/>
        <v>0</v>
      </c>
      <c r="R679" s="85"/>
      <c r="S679" s="624"/>
      <c r="T679" s="260"/>
      <c r="U679" s="624"/>
      <c r="V679" s="85"/>
      <c r="W679" s="624"/>
      <c r="X679" s="81"/>
      <c r="Y679" s="80"/>
      <c r="Z679" s="737">
        <f ca="1">MAX(0%,IF(Q679&lt;&gt;0,MIN((S679-Q679)/Q679/'Underwriting Risk'!$E$27,'Premium and Reserve Risk'!$Z$656),'Premium and Reserve Risk'!$Z$656))</f>
        <v>8.3000000000000004E-2</v>
      </c>
      <c r="AA679" s="80"/>
      <c r="AB679" s="80"/>
      <c r="AC679" s="737">
        <f ca="1">MAX(0%,IF(U679&lt;&gt;0,MIN((W679-U679)/U679/'Underwriting Risk'!$E$27,'Premium and Reserve Risk'!$AC$656),'Premium and Reserve Risk'!$AC$656))</f>
        <v>5.5E-2</v>
      </c>
      <c r="AD679" s="81"/>
      <c r="AE679" s="97"/>
      <c r="AF679" s="97"/>
      <c r="AG679" s="97"/>
      <c r="AH679" s="97"/>
    </row>
    <row r="680" spans="1:34" ht="13.5" customHeight="1" x14ac:dyDescent="0.25">
      <c r="A680" s="97"/>
      <c r="B680" s="257">
        <v>23</v>
      </c>
      <c r="C680" s="652"/>
      <c r="D680" s="80"/>
      <c r="E680" s="80"/>
      <c r="F680" s="258">
        <f t="shared" ca="1" si="23"/>
        <v>0</v>
      </c>
      <c r="G680" s="624"/>
      <c r="H680" s="85"/>
      <c r="I680" s="624"/>
      <c r="J680" s="85"/>
      <c r="K680" s="624"/>
      <c r="L680" s="85"/>
      <c r="M680" s="624"/>
      <c r="N680" s="85"/>
      <c r="O680" s="624"/>
      <c r="P680" s="85"/>
      <c r="Q680" s="626">
        <f t="shared" si="22"/>
        <v>0</v>
      </c>
      <c r="R680" s="85"/>
      <c r="S680" s="624"/>
      <c r="T680" s="260"/>
      <c r="U680" s="624"/>
      <c r="V680" s="85"/>
      <c r="W680" s="624"/>
      <c r="X680" s="81"/>
      <c r="Y680" s="80"/>
      <c r="Z680" s="737">
        <f ca="1">MAX(0%,IF(Q680&lt;&gt;0,MIN((S680-Q680)/Q680/'Underwriting Risk'!$E$27,'Premium and Reserve Risk'!$Z$656),'Premium and Reserve Risk'!$Z$656))</f>
        <v>8.3000000000000004E-2</v>
      </c>
      <c r="AA680" s="80"/>
      <c r="AB680" s="80"/>
      <c r="AC680" s="737">
        <f ca="1">MAX(0%,IF(U680&lt;&gt;0,MIN((W680-U680)/U680/'Underwriting Risk'!$E$27,'Premium and Reserve Risk'!$AC$656),'Premium and Reserve Risk'!$AC$656))</f>
        <v>5.5E-2</v>
      </c>
      <c r="AD680" s="81"/>
      <c r="AE680" s="97"/>
      <c r="AF680" s="97"/>
      <c r="AG680" s="97"/>
      <c r="AH680" s="97"/>
    </row>
    <row r="681" spans="1:34" ht="13.5" customHeight="1" x14ac:dyDescent="0.25">
      <c r="A681" s="97"/>
      <c r="B681" s="257">
        <v>24</v>
      </c>
      <c r="C681" s="652"/>
      <c r="D681" s="80"/>
      <c r="E681" s="80"/>
      <c r="F681" s="258">
        <f t="shared" ca="1" si="23"/>
        <v>0</v>
      </c>
      <c r="G681" s="624"/>
      <c r="H681" s="85"/>
      <c r="I681" s="624"/>
      <c r="J681" s="85"/>
      <c r="K681" s="624"/>
      <c r="L681" s="85"/>
      <c r="M681" s="624"/>
      <c r="N681" s="85"/>
      <c r="O681" s="624"/>
      <c r="P681" s="85"/>
      <c r="Q681" s="626">
        <f t="shared" si="22"/>
        <v>0</v>
      </c>
      <c r="R681" s="85"/>
      <c r="S681" s="624"/>
      <c r="T681" s="260"/>
      <c r="U681" s="624"/>
      <c r="V681" s="85"/>
      <c r="W681" s="624"/>
      <c r="X681" s="81"/>
      <c r="Y681" s="80"/>
      <c r="Z681" s="737">
        <f ca="1">MAX(0%,IF(Q681&lt;&gt;0,MIN((S681-Q681)/Q681/'Underwriting Risk'!$E$27,'Premium and Reserve Risk'!$Z$656),'Premium and Reserve Risk'!$Z$656))</f>
        <v>8.3000000000000004E-2</v>
      </c>
      <c r="AA681" s="80"/>
      <c r="AB681" s="80"/>
      <c r="AC681" s="737">
        <f ca="1">MAX(0%,IF(U681&lt;&gt;0,MIN((W681-U681)/U681/'Underwriting Risk'!$E$27,'Premium and Reserve Risk'!$AC$656),'Premium and Reserve Risk'!$AC$656))</f>
        <v>5.5E-2</v>
      </c>
      <c r="AD681" s="81"/>
      <c r="AE681" s="97"/>
      <c r="AF681" s="97"/>
      <c r="AG681" s="97"/>
      <c r="AH681" s="97"/>
    </row>
    <row r="682" spans="1:34" ht="13.5" customHeight="1" x14ac:dyDescent="0.25">
      <c r="A682" s="97"/>
      <c r="B682" s="257">
        <v>25</v>
      </c>
      <c r="C682" s="652"/>
      <c r="D682" s="80"/>
      <c r="E682" s="80"/>
      <c r="F682" s="258">
        <f t="shared" ca="1" si="23"/>
        <v>0</v>
      </c>
      <c r="G682" s="624"/>
      <c r="H682" s="85"/>
      <c r="I682" s="624"/>
      <c r="J682" s="85"/>
      <c r="K682" s="624"/>
      <c r="L682" s="85"/>
      <c r="M682" s="624"/>
      <c r="N682" s="85"/>
      <c r="O682" s="624"/>
      <c r="P682" s="85"/>
      <c r="Q682" s="626">
        <f t="shared" si="22"/>
        <v>0</v>
      </c>
      <c r="R682" s="85"/>
      <c r="S682" s="624"/>
      <c r="T682" s="260"/>
      <c r="U682" s="624"/>
      <c r="V682" s="85"/>
      <c r="W682" s="624"/>
      <c r="X682" s="81"/>
      <c r="Y682" s="80"/>
      <c r="Z682" s="737">
        <f ca="1">MAX(0%,IF(Q682&lt;&gt;0,MIN((S682-Q682)/Q682/'Underwriting Risk'!$E$27,'Premium and Reserve Risk'!$Z$656),'Premium and Reserve Risk'!$Z$656))</f>
        <v>8.3000000000000004E-2</v>
      </c>
      <c r="AA682" s="80"/>
      <c r="AB682" s="80"/>
      <c r="AC682" s="737">
        <f ca="1">MAX(0%,IF(U682&lt;&gt;0,MIN((W682-U682)/U682/'Underwriting Risk'!$E$27,'Premium and Reserve Risk'!$AC$656),'Premium and Reserve Risk'!$AC$656))</f>
        <v>5.5E-2</v>
      </c>
      <c r="AD682" s="81"/>
      <c r="AE682" s="97"/>
      <c r="AF682" s="97"/>
      <c r="AG682" s="97"/>
      <c r="AH682" s="97"/>
    </row>
    <row r="683" spans="1:34" ht="13.5" customHeight="1" x14ac:dyDescent="0.25">
      <c r="A683" s="97"/>
      <c r="B683" s="257">
        <v>26</v>
      </c>
      <c r="C683" s="652"/>
      <c r="D683" s="80"/>
      <c r="E683" s="80"/>
      <c r="F683" s="258">
        <f t="shared" ca="1" si="23"/>
        <v>0</v>
      </c>
      <c r="G683" s="624"/>
      <c r="H683" s="85"/>
      <c r="I683" s="624"/>
      <c r="J683" s="85"/>
      <c r="K683" s="624"/>
      <c r="L683" s="85"/>
      <c r="M683" s="624"/>
      <c r="N683" s="85"/>
      <c r="O683" s="624"/>
      <c r="P683" s="85"/>
      <c r="Q683" s="626">
        <f t="shared" si="22"/>
        <v>0</v>
      </c>
      <c r="R683" s="85"/>
      <c r="S683" s="624"/>
      <c r="T683" s="260"/>
      <c r="U683" s="624"/>
      <c r="V683" s="85"/>
      <c r="W683" s="624"/>
      <c r="X683" s="81"/>
      <c r="Y683" s="80"/>
      <c r="Z683" s="737">
        <f ca="1">MAX(0%,IF(Q683&lt;&gt;0,MIN((S683-Q683)/Q683/'Underwriting Risk'!$E$27,'Premium and Reserve Risk'!$Z$656),'Premium and Reserve Risk'!$Z$656))</f>
        <v>8.3000000000000004E-2</v>
      </c>
      <c r="AA683" s="80"/>
      <c r="AB683" s="80"/>
      <c r="AC683" s="737">
        <f ca="1">MAX(0%,IF(U683&lt;&gt;0,MIN((W683-U683)/U683/'Underwriting Risk'!$E$27,'Premium and Reserve Risk'!$AC$656),'Premium and Reserve Risk'!$AC$656))</f>
        <v>5.5E-2</v>
      </c>
      <c r="AD683" s="81"/>
      <c r="AE683" s="97"/>
      <c r="AF683" s="97"/>
      <c r="AG683" s="97"/>
      <c r="AH683" s="97"/>
    </row>
    <row r="684" spans="1:34" ht="13.5" customHeight="1" x14ac:dyDescent="0.25">
      <c r="A684" s="97"/>
      <c r="B684" s="257">
        <v>27</v>
      </c>
      <c r="C684" s="652"/>
      <c r="D684" s="80"/>
      <c r="E684" s="80"/>
      <c r="F684" s="258">
        <f t="shared" ca="1" si="23"/>
        <v>0</v>
      </c>
      <c r="G684" s="624"/>
      <c r="H684" s="85"/>
      <c r="I684" s="624"/>
      <c r="J684" s="85"/>
      <c r="K684" s="624"/>
      <c r="L684" s="85"/>
      <c r="M684" s="624"/>
      <c r="N684" s="85"/>
      <c r="O684" s="624"/>
      <c r="P684" s="85"/>
      <c r="Q684" s="626">
        <f t="shared" si="22"/>
        <v>0</v>
      </c>
      <c r="R684" s="85"/>
      <c r="S684" s="624"/>
      <c r="T684" s="260"/>
      <c r="U684" s="624"/>
      <c r="V684" s="85"/>
      <c r="W684" s="624"/>
      <c r="X684" s="81"/>
      <c r="Y684" s="80"/>
      <c r="Z684" s="737">
        <f ca="1">MAX(0%,IF(Q684&lt;&gt;0,MIN((S684-Q684)/Q684/'Underwriting Risk'!$E$27,'Premium and Reserve Risk'!$Z$656),'Premium and Reserve Risk'!$Z$656))</f>
        <v>8.3000000000000004E-2</v>
      </c>
      <c r="AA684" s="80"/>
      <c r="AB684" s="80"/>
      <c r="AC684" s="737">
        <f ca="1">MAX(0%,IF(U684&lt;&gt;0,MIN((W684-U684)/U684/'Underwriting Risk'!$E$27,'Premium and Reserve Risk'!$AC$656),'Premium and Reserve Risk'!$AC$656))</f>
        <v>5.5E-2</v>
      </c>
      <c r="AD684" s="81"/>
      <c r="AE684" s="97"/>
      <c r="AF684" s="97"/>
      <c r="AG684" s="97"/>
      <c r="AH684" s="97"/>
    </row>
    <row r="685" spans="1:34" ht="13.5" customHeight="1" x14ac:dyDescent="0.25">
      <c r="A685" s="97"/>
      <c r="B685" s="257">
        <v>28</v>
      </c>
      <c r="C685" s="652"/>
      <c r="D685" s="80"/>
      <c r="E685" s="80"/>
      <c r="F685" s="258">
        <f t="shared" ca="1" si="23"/>
        <v>0</v>
      </c>
      <c r="G685" s="624"/>
      <c r="H685" s="85"/>
      <c r="I685" s="624"/>
      <c r="J685" s="85"/>
      <c r="K685" s="624"/>
      <c r="L685" s="85"/>
      <c r="M685" s="624"/>
      <c r="N685" s="85"/>
      <c r="O685" s="624"/>
      <c r="P685" s="85"/>
      <c r="Q685" s="626">
        <f t="shared" si="22"/>
        <v>0</v>
      </c>
      <c r="R685" s="85"/>
      <c r="S685" s="624"/>
      <c r="T685" s="260"/>
      <c r="U685" s="624"/>
      <c r="V685" s="85"/>
      <c r="W685" s="624"/>
      <c r="X685" s="81"/>
      <c r="Y685" s="80"/>
      <c r="Z685" s="737">
        <f ca="1">MAX(0%,IF(Q685&lt;&gt;0,MIN((S685-Q685)/Q685/'Underwriting Risk'!$E$27,'Premium and Reserve Risk'!$Z$656),'Premium and Reserve Risk'!$Z$656))</f>
        <v>8.3000000000000004E-2</v>
      </c>
      <c r="AA685" s="80"/>
      <c r="AB685" s="80"/>
      <c r="AC685" s="737">
        <f ca="1">MAX(0%,IF(U685&lt;&gt;0,MIN((W685-U685)/U685/'Underwriting Risk'!$E$27,'Premium and Reserve Risk'!$AC$656),'Premium and Reserve Risk'!$AC$656))</f>
        <v>5.5E-2</v>
      </c>
      <c r="AD685" s="81"/>
      <c r="AE685" s="97"/>
      <c r="AF685" s="97"/>
      <c r="AG685" s="97"/>
      <c r="AH685" s="97"/>
    </row>
    <row r="686" spans="1:34" ht="13.5" customHeight="1" x14ac:dyDescent="0.25">
      <c r="A686" s="97"/>
      <c r="B686" s="257">
        <v>29</v>
      </c>
      <c r="C686" s="652"/>
      <c r="D686" s="80"/>
      <c r="E686" s="80"/>
      <c r="F686" s="258">
        <f t="shared" ca="1" si="23"/>
        <v>0</v>
      </c>
      <c r="G686" s="624"/>
      <c r="H686" s="85"/>
      <c r="I686" s="624"/>
      <c r="J686" s="85"/>
      <c r="K686" s="624"/>
      <c r="L686" s="85"/>
      <c r="M686" s="624"/>
      <c r="N686" s="85"/>
      <c r="O686" s="624"/>
      <c r="P686" s="85"/>
      <c r="Q686" s="626">
        <f t="shared" si="22"/>
        <v>0</v>
      </c>
      <c r="R686" s="85"/>
      <c r="S686" s="624"/>
      <c r="T686" s="260"/>
      <c r="U686" s="624"/>
      <c r="V686" s="85"/>
      <c r="W686" s="624"/>
      <c r="X686" s="81"/>
      <c r="Y686" s="80"/>
      <c r="Z686" s="737">
        <f ca="1">MAX(0%,IF(Q686&lt;&gt;0,MIN((S686-Q686)/Q686/'Underwriting Risk'!$E$27,'Premium and Reserve Risk'!$Z$656),'Premium and Reserve Risk'!$Z$656))</f>
        <v>8.3000000000000004E-2</v>
      </c>
      <c r="AA686" s="80"/>
      <c r="AB686" s="80"/>
      <c r="AC686" s="737">
        <f ca="1">MAX(0%,IF(U686&lt;&gt;0,MIN((W686-U686)/U686/'Underwriting Risk'!$E$27,'Premium and Reserve Risk'!$AC$656),'Premium and Reserve Risk'!$AC$656))</f>
        <v>5.5E-2</v>
      </c>
      <c r="AD686" s="81"/>
      <c r="AE686" s="97"/>
      <c r="AF686" s="97"/>
      <c r="AG686" s="97"/>
      <c r="AH686" s="97"/>
    </row>
    <row r="687" spans="1:34" ht="13.5" customHeight="1" x14ac:dyDescent="0.25">
      <c r="A687" s="97"/>
      <c r="B687" s="257">
        <v>30</v>
      </c>
      <c r="C687" s="652"/>
      <c r="D687" s="80"/>
      <c r="E687" s="80"/>
      <c r="F687" s="258">
        <f t="shared" ca="1" si="23"/>
        <v>0</v>
      </c>
      <c r="G687" s="624"/>
      <c r="H687" s="85"/>
      <c r="I687" s="624"/>
      <c r="J687" s="85"/>
      <c r="K687" s="624"/>
      <c r="L687" s="85"/>
      <c r="M687" s="624"/>
      <c r="N687" s="85"/>
      <c r="O687" s="624"/>
      <c r="P687" s="85"/>
      <c r="Q687" s="626">
        <f t="shared" si="22"/>
        <v>0</v>
      </c>
      <c r="R687" s="85"/>
      <c r="S687" s="624"/>
      <c r="T687" s="260"/>
      <c r="U687" s="624"/>
      <c r="V687" s="85"/>
      <c r="W687" s="624"/>
      <c r="X687" s="81"/>
      <c r="Y687" s="80"/>
      <c r="Z687" s="737">
        <f ca="1">MAX(0%,IF(Q687&lt;&gt;0,MIN((S687-Q687)/Q687/'Underwriting Risk'!$E$27,'Premium and Reserve Risk'!$Z$656),'Premium and Reserve Risk'!$Z$656))</f>
        <v>8.3000000000000004E-2</v>
      </c>
      <c r="AA687" s="80"/>
      <c r="AB687" s="80"/>
      <c r="AC687" s="737">
        <f ca="1">MAX(0%,IF(U687&lt;&gt;0,MIN((W687-U687)/U687/'Underwriting Risk'!$E$27,'Premium and Reserve Risk'!$AC$656),'Premium and Reserve Risk'!$AC$656))</f>
        <v>5.5E-2</v>
      </c>
      <c r="AD687" s="81"/>
      <c r="AE687" s="97"/>
      <c r="AF687" s="97"/>
      <c r="AG687" s="97"/>
      <c r="AH687" s="97"/>
    </row>
    <row r="688" spans="1:34" ht="13.5" customHeight="1" x14ac:dyDescent="0.25">
      <c r="A688" s="97"/>
      <c r="B688" s="257">
        <v>31</v>
      </c>
      <c r="C688" s="652"/>
      <c r="D688" s="80"/>
      <c r="E688" s="80"/>
      <c r="F688" s="258">
        <f t="shared" ca="1" si="23"/>
        <v>0</v>
      </c>
      <c r="G688" s="624"/>
      <c r="H688" s="85"/>
      <c r="I688" s="624"/>
      <c r="J688" s="85"/>
      <c r="K688" s="624"/>
      <c r="L688" s="85"/>
      <c r="M688" s="624"/>
      <c r="N688" s="85"/>
      <c r="O688" s="624"/>
      <c r="P688" s="85"/>
      <c r="Q688" s="626">
        <f t="shared" si="22"/>
        <v>0</v>
      </c>
      <c r="R688" s="85"/>
      <c r="S688" s="624"/>
      <c r="T688" s="260"/>
      <c r="U688" s="624"/>
      <c r="V688" s="85"/>
      <c r="W688" s="624"/>
      <c r="X688" s="81"/>
      <c r="Y688" s="80"/>
      <c r="Z688" s="737">
        <f ca="1">MAX(0%,IF(Q688&lt;&gt;0,MIN((S688-Q688)/Q688/'Underwriting Risk'!$E$27,'Premium and Reserve Risk'!$Z$656),'Premium and Reserve Risk'!$Z$656))</f>
        <v>8.3000000000000004E-2</v>
      </c>
      <c r="AA688" s="80"/>
      <c r="AB688" s="80"/>
      <c r="AC688" s="737">
        <f ca="1">MAX(0%,IF(U688&lt;&gt;0,MIN((W688-U688)/U688/'Underwriting Risk'!$E$27,'Premium and Reserve Risk'!$AC$656),'Premium and Reserve Risk'!$AC$656))</f>
        <v>5.5E-2</v>
      </c>
      <c r="AD688" s="81"/>
      <c r="AE688" s="97"/>
      <c r="AF688" s="97"/>
      <c r="AG688" s="97"/>
      <c r="AH688" s="97"/>
    </row>
    <row r="689" spans="1:34" ht="13.5" customHeight="1" x14ac:dyDescent="0.25">
      <c r="A689" s="97"/>
      <c r="B689" s="257">
        <v>32</v>
      </c>
      <c r="C689" s="652"/>
      <c r="D689" s="80"/>
      <c r="E689" s="80"/>
      <c r="F689" s="258">
        <f t="shared" ca="1" si="23"/>
        <v>0</v>
      </c>
      <c r="G689" s="624"/>
      <c r="H689" s="85"/>
      <c r="I689" s="624"/>
      <c r="J689" s="85"/>
      <c r="K689" s="624"/>
      <c r="L689" s="85"/>
      <c r="M689" s="624"/>
      <c r="N689" s="85"/>
      <c r="O689" s="624"/>
      <c r="P689" s="85"/>
      <c r="Q689" s="626">
        <f t="shared" si="22"/>
        <v>0</v>
      </c>
      <c r="R689" s="85"/>
      <c r="S689" s="624"/>
      <c r="T689" s="260"/>
      <c r="U689" s="624"/>
      <c r="V689" s="85"/>
      <c r="W689" s="624"/>
      <c r="X689" s="81"/>
      <c r="Y689" s="80"/>
      <c r="Z689" s="737">
        <f ca="1">MAX(0%,IF(Q689&lt;&gt;0,MIN((S689-Q689)/Q689/'Underwriting Risk'!$E$27,'Premium and Reserve Risk'!$Z$656),'Premium and Reserve Risk'!$Z$656))</f>
        <v>8.3000000000000004E-2</v>
      </c>
      <c r="AA689" s="80"/>
      <c r="AB689" s="80"/>
      <c r="AC689" s="737">
        <f ca="1">MAX(0%,IF(U689&lt;&gt;0,MIN((W689-U689)/U689/'Underwriting Risk'!$E$27,'Premium and Reserve Risk'!$AC$656),'Premium and Reserve Risk'!$AC$656))</f>
        <v>5.5E-2</v>
      </c>
      <c r="AD689" s="81"/>
      <c r="AE689" s="97"/>
      <c r="AF689" s="97"/>
      <c r="AG689" s="97"/>
      <c r="AH689" s="97"/>
    </row>
    <row r="690" spans="1:34" ht="13.5" customHeight="1" x14ac:dyDescent="0.25">
      <c r="A690" s="97"/>
      <c r="B690" s="257">
        <v>33</v>
      </c>
      <c r="C690" s="652"/>
      <c r="D690" s="80"/>
      <c r="E690" s="80"/>
      <c r="F690" s="258">
        <f t="shared" ca="1" si="23"/>
        <v>0</v>
      </c>
      <c r="G690" s="624"/>
      <c r="H690" s="85"/>
      <c r="I690" s="624"/>
      <c r="J690" s="85"/>
      <c r="K690" s="624"/>
      <c r="L690" s="85"/>
      <c r="M690" s="624"/>
      <c r="N690" s="85"/>
      <c r="O690" s="624"/>
      <c r="P690" s="85"/>
      <c r="Q690" s="626">
        <f t="shared" si="22"/>
        <v>0</v>
      </c>
      <c r="R690" s="85"/>
      <c r="S690" s="624"/>
      <c r="T690" s="260"/>
      <c r="U690" s="624"/>
      <c r="V690" s="85"/>
      <c r="W690" s="624"/>
      <c r="X690" s="81"/>
      <c r="Y690" s="80"/>
      <c r="Z690" s="737">
        <f ca="1">MAX(0%,IF(Q690&lt;&gt;0,MIN((S690-Q690)/Q690/'Underwriting Risk'!$E$27,'Premium and Reserve Risk'!$Z$656),'Premium and Reserve Risk'!$Z$656))</f>
        <v>8.3000000000000004E-2</v>
      </c>
      <c r="AA690" s="80"/>
      <c r="AB690" s="80"/>
      <c r="AC690" s="737">
        <f ca="1">MAX(0%,IF(U690&lt;&gt;0,MIN((W690-U690)/U690/'Underwriting Risk'!$E$27,'Premium and Reserve Risk'!$AC$656),'Premium and Reserve Risk'!$AC$656))</f>
        <v>5.5E-2</v>
      </c>
      <c r="AD690" s="81"/>
      <c r="AE690" s="97"/>
      <c r="AF690" s="97"/>
      <c r="AG690" s="97"/>
      <c r="AH690" s="97"/>
    </row>
    <row r="691" spans="1:34" ht="13.5" customHeight="1" x14ac:dyDescent="0.25">
      <c r="A691" s="97"/>
      <c r="B691" s="257">
        <v>34</v>
      </c>
      <c r="C691" s="652"/>
      <c r="D691" s="80"/>
      <c r="E691" s="80"/>
      <c r="F691" s="258">
        <f t="shared" ca="1" si="23"/>
        <v>0</v>
      </c>
      <c r="G691" s="624"/>
      <c r="H691" s="85"/>
      <c r="I691" s="624"/>
      <c r="J691" s="85"/>
      <c r="K691" s="624"/>
      <c r="L691" s="85"/>
      <c r="M691" s="624"/>
      <c r="N691" s="85"/>
      <c r="O691" s="624"/>
      <c r="P691" s="85"/>
      <c r="Q691" s="626">
        <f t="shared" si="22"/>
        <v>0</v>
      </c>
      <c r="R691" s="85"/>
      <c r="S691" s="624"/>
      <c r="T691" s="260"/>
      <c r="U691" s="624"/>
      <c r="V691" s="85"/>
      <c r="W691" s="624"/>
      <c r="X691" s="81"/>
      <c r="Y691" s="80"/>
      <c r="Z691" s="737">
        <f ca="1">MAX(0%,IF(Q691&lt;&gt;0,MIN((S691-Q691)/Q691/'Underwriting Risk'!$E$27,'Premium and Reserve Risk'!$Z$656),'Premium and Reserve Risk'!$Z$656))</f>
        <v>8.3000000000000004E-2</v>
      </c>
      <c r="AA691" s="80"/>
      <c r="AB691" s="80"/>
      <c r="AC691" s="737">
        <f ca="1">MAX(0%,IF(U691&lt;&gt;0,MIN((W691-U691)/U691/'Underwriting Risk'!$E$27,'Premium and Reserve Risk'!$AC$656),'Premium and Reserve Risk'!$AC$656))</f>
        <v>5.5E-2</v>
      </c>
      <c r="AD691" s="81"/>
      <c r="AE691" s="97"/>
      <c r="AF691" s="97"/>
      <c r="AG691" s="97"/>
      <c r="AH691" s="97"/>
    </row>
    <row r="692" spans="1:34" ht="13.5" customHeight="1" x14ac:dyDescent="0.25">
      <c r="A692" s="97"/>
      <c r="B692" s="257">
        <v>35</v>
      </c>
      <c r="C692" s="652"/>
      <c r="D692" s="80"/>
      <c r="E692" s="80"/>
      <c r="F692" s="258">
        <f t="shared" ca="1" si="23"/>
        <v>0</v>
      </c>
      <c r="G692" s="624"/>
      <c r="H692" s="85"/>
      <c r="I692" s="624"/>
      <c r="J692" s="85"/>
      <c r="K692" s="624"/>
      <c r="L692" s="85"/>
      <c r="M692" s="624"/>
      <c r="N692" s="85"/>
      <c r="O692" s="624"/>
      <c r="P692" s="85"/>
      <c r="Q692" s="626">
        <f t="shared" si="22"/>
        <v>0</v>
      </c>
      <c r="R692" s="85"/>
      <c r="S692" s="624"/>
      <c r="T692" s="260"/>
      <c r="U692" s="624"/>
      <c r="V692" s="85"/>
      <c r="W692" s="624"/>
      <c r="X692" s="81"/>
      <c r="Y692" s="80"/>
      <c r="Z692" s="737">
        <f ca="1">MAX(0%,IF(Q692&lt;&gt;0,MIN((S692-Q692)/Q692/'Underwriting Risk'!$E$27,'Premium and Reserve Risk'!$Z$656),'Premium and Reserve Risk'!$Z$656))</f>
        <v>8.3000000000000004E-2</v>
      </c>
      <c r="AA692" s="80"/>
      <c r="AB692" s="80"/>
      <c r="AC692" s="737">
        <f ca="1">MAX(0%,IF(U692&lt;&gt;0,MIN((W692-U692)/U692/'Underwriting Risk'!$E$27,'Premium and Reserve Risk'!$AC$656),'Premium and Reserve Risk'!$AC$656))</f>
        <v>5.5E-2</v>
      </c>
      <c r="AD692" s="81"/>
      <c r="AE692" s="97"/>
      <c r="AF692" s="97"/>
      <c r="AG692" s="97"/>
      <c r="AH692" s="97"/>
    </row>
    <row r="693" spans="1:34" ht="13.5" customHeight="1" x14ac:dyDescent="0.25">
      <c r="A693" s="97"/>
      <c r="B693" s="257">
        <v>36</v>
      </c>
      <c r="C693" s="652"/>
      <c r="D693" s="80"/>
      <c r="E693" s="80"/>
      <c r="F693" s="258">
        <f t="shared" ca="1" si="23"/>
        <v>0</v>
      </c>
      <c r="G693" s="624"/>
      <c r="H693" s="85"/>
      <c r="I693" s="624"/>
      <c r="J693" s="85"/>
      <c r="K693" s="624"/>
      <c r="L693" s="85"/>
      <c r="M693" s="624"/>
      <c r="N693" s="85"/>
      <c r="O693" s="624"/>
      <c r="P693" s="85"/>
      <c r="Q693" s="626">
        <f t="shared" si="22"/>
        <v>0</v>
      </c>
      <c r="R693" s="85"/>
      <c r="S693" s="624"/>
      <c r="T693" s="260"/>
      <c r="U693" s="624"/>
      <c r="V693" s="85"/>
      <c r="W693" s="624"/>
      <c r="X693" s="81"/>
      <c r="Y693" s="80"/>
      <c r="Z693" s="737">
        <f ca="1">MAX(0%,IF(Q693&lt;&gt;0,MIN((S693-Q693)/Q693/'Underwriting Risk'!$E$27,'Premium and Reserve Risk'!$Z$656),'Premium and Reserve Risk'!$Z$656))</f>
        <v>8.3000000000000004E-2</v>
      </c>
      <c r="AA693" s="80"/>
      <c r="AB693" s="80"/>
      <c r="AC693" s="737">
        <f ca="1">MAX(0%,IF(U693&lt;&gt;0,MIN((W693-U693)/U693/'Underwriting Risk'!$E$27,'Premium and Reserve Risk'!$AC$656),'Premium and Reserve Risk'!$AC$656))</f>
        <v>5.5E-2</v>
      </c>
      <c r="AD693" s="81"/>
      <c r="AE693" s="97"/>
      <c r="AF693" s="97"/>
      <c r="AG693" s="97"/>
      <c r="AH693" s="97"/>
    </row>
    <row r="694" spans="1:34" ht="13.5" customHeight="1" x14ac:dyDescent="0.25">
      <c r="A694" s="97"/>
      <c r="B694" s="257">
        <v>37</v>
      </c>
      <c r="C694" s="652"/>
      <c r="D694" s="80"/>
      <c r="E694" s="80"/>
      <c r="F694" s="258">
        <f t="shared" ca="1" si="23"/>
        <v>0</v>
      </c>
      <c r="G694" s="624"/>
      <c r="H694" s="85"/>
      <c r="I694" s="624"/>
      <c r="J694" s="85"/>
      <c r="K694" s="624"/>
      <c r="L694" s="85"/>
      <c r="M694" s="624"/>
      <c r="N694" s="85"/>
      <c r="O694" s="624"/>
      <c r="P694" s="85"/>
      <c r="Q694" s="626">
        <f t="shared" si="22"/>
        <v>0</v>
      </c>
      <c r="R694" s="85"/>
      <c r="S694" s="624"/>
      <c r="T694" s="260"/>
      <c r="U694" s="624"/>
      <c r="V694" s="85"/>
      <c r="W694" s="624"/>
      <c r="X694" s="81"/>
      <c r="Y694" s="80"/>
      <c r="Z694" s="737">
        <f ca="1">MAX(0%,IF(Q694&lt;&gt;0,MIN((S694-Q694)/Q694/'Underwriting Risk'!$E$27,'Premium and Reserve Risk'!$Z$656),'Premium and Reserve Risk'!$Z$656))</f>
        <v>8.3000000000000004E-2</v>
      </c>
      <c r="AA694" s="80"/>
      <c r="AB694" s="80"/>
      <c r="AC694" s="737">
        <f ca="1">MAX(0%,IF(U694&lt;&gt;0,MIN((W694-U694)/U694/'Underwriting Risk'!$E$27,'Premium and Reserve Risk'!$AC$656),'Premium and Reserve Risk'!$AC$656))</f>
        <v>5.5E-2</v>
      </c>
      <c r="AD694" s="81"/>
      <c r="AE694" s="97"/>
      <c r="AF694" s="97"/>
      <c r="AG694" s="97"/>
      <c r="AH694" s="97"/>
    </row>
    <row r="695" spans="1:34" ht="13.5" customHeight="1" x14ac:dyDescent="0.25">
      <c r="A695" s="97"/>
      <c r="B695" s="257">
        <v>38</v>
      </c>
      <c r="C695" s="652"/>
      <c r="D695" s="80"/>
      <c r="E695" s="80"/>
      <c r="F695" s="258">
        <f t="shared" ca="1" si="23"/>
        <v>0</v>
      </c>
      <c r="G695" s="624"/>
      <c r="H695" s="85"/>
      <c r="I695" s="624"/>
      <c r="J695" s="85"/>
      <c r="K695" s="624"/>
      <c r="L695" s="85"/>
      <c r="M695" s="624"/>
      <c r="N695" s="85"/>
      <c r="O695" s="624"/>
      <c r="P695" s="85"/>
      <c r="Q695" s="626">
        <f t="shared" si="22"/>
        <v>0</v>
      </c>
      <c r="R695" s="85"/>
      <c r="S695" s="624"/>
      <c r="T695" s="260"/>
      <c r="U695" s="624"/>
      <c r="V695" s="85"/>
      <c r="W695" s="624"/>
      <c r="X695" s="81"/>
      <c r="Y695" s="80"/>
      <c r="Z695" s="737">
        <f ca="1">MAX(0%,IF(Q695&lt;&gt;0,MIN((S695-Q695)/Q695/'Underwriting Risk'!$E$27,'Premium and Reserve Risk'!$Z$656),'Premium and Reserve Risk'!$Z$656))</f>
        <v>8.3000000000000004E-2</v>
      </c>
      <c r="AA695" s="80"/>
      <c r="AB695" s="80"/>
      <c r="AC695" s="737">
        <f ca="1">MAX(0%,IF(U695&lt;&gt;0,MIN((W695-U695)/U695/'Underwriting Risk'!$E$27,'Premium and Reserve Risk'!$AC$656),'Premium and Reserve Risk'!$AC$656))</f>
        <v>5.5E-2</v>
      </c>
      <c r="AD695" s="81"/>
      <c r="AE695" s="97"/>
      <c r="AF695" s="97"/>
      <c r="AG695" s="97"/>
      <c r="AH695" s="97"/>
    </row>
    <row r="696" spans="1:34" ht="13.5" customHeight="1" x14ac:dyDescent="0.25">
      <c r="A696" s="97"/>
      <c r="B696" s="257">
        <v>39</v>
      </c>
      <c r="C696" s="652"/>
      <c r="D696" s="80"/>
      <c r="E696" s="80"/>
      <c r="F696" s="258">
        <f t="shared" ca="1" si="23"/>
        <v>0</v>
      </c>
      <c r="G696" s="624"/>
      <c r="H696" s="85"/>
      <c r="I696" s="624"/>
      <c r="J696" s="85"/>
      <c r="K696" s="624"/>
      <c r="L696" s="85"/>
      <c r="M696" s="624"/>
      <c r="N696" s="85"/>
      <c r="O696" s="624"/>
      <c r="P696" s="85"/>
      <c r="Q696" s="626">
        <f t="shared" si="22"/>
        <v>0</v>
      </c>
      <c r="R696" s="85"/>
      <c r="S696" s="624"/>
      <c r="T696" s="260"/>
      <c r="U696" s="624"/>
      <c r="V696" s="85"/>
      <c r="W696" s="624"/>
      <c r="X696" s="81"/>
      <c r="Y696" s="80"/>
      <c r="Z696" s="737">
        <f ca="1">MAX(0%,IF(Q696&lt;&gt;0,MIN((S696-Q696)/Q696/'Underwriting Risk'!$E$27,'Premium and Reserve Risk'!$Z$656),'Premium and Reserve Risk'!$Z$656))</f>
        <v>8.3000000000000004E-2</v>
      </c>
      <c r="AA696" s="80"/>
      <c r="AB696" s="80"/>
      <c r="AC696" s="737">
        <f ca="1">MAX(0%,IF(U696&lt;&gt;0,MIN((W696-U696)/U696/'Underwriting Risk'!$E$27,'Premium and Reserve Risk'!$AC$656),'Premium and Reserve Risk'!$AC$656))</f>
        <v>5.5E-2</v>
      </c>
      <c r="AD696" s="81"/>
      <c r="AE696" s="97"/>
      <c r="AF696" s="97"/>
      <c r="AG696" s="97"/>
      <c r="AH696" s="97"/>
    </row>
    <row r="697" spans="1:34" ht="13.5" customHeight="1" x14ac:dyDescent="0.25">
      <c r="A697" s="97"/>
      <c r="B697" s="257">
        <v>40</v>
      </c>
      <c r="C697" s="652"/>
      <c r="D697" s="80"/>
      <c r="E697" s="80"/>
      <c r="F697" s="258">
        <f t="shared" ca="1" si="23"/>
        <v>0</v>
      </c>
      <c r="G697" s="624"/>
      <c r="H697" s="85"/>
      <c r="I697" s="624"/>
      <c r="J697" s="85"/>
      <c r="K697" s="624"/>
      <c r="L697" s="85"/>
      <c r="M697" s="624"/>
      <c r="N697" s="85"/>
      <c r="O697" s="624"/>
      <c r="P697" s="85"/>
      <c r="Q697" s="626">
        <f t="shared" si="22"/>
        <v>0</v>
      </c>
      <c r="R697" s="85"/>
      <c r="S697" s="624"/>
      <c r="T697" s="260"/>
      <c r="U697" s="624"/>
      <c r="V697" s="85"/>
      <c r="W697" s="624"/>
      <c r="X697" s="81"/>
      <c r="Y697" s="80"/>
      <c r="Z697" s="737">
        <f ca="1">MAX(0%,IF(Q697&lt;&gt;0,MIN((S697-Q697)/Q697/'Underwriting Risk'!$E$27,'Premium and Reserve Risk'!$Z$656),'Premium and Reserve Risk'!$Z$656))</f>
        <v>8.3000000000000004E-2</v>
      </c>
      <c r="AA697" s="80"/>
      <c r="AB697" s="80"/>
      <c r="AC697" s="737">
        <f ca="1">MAX(0%,IF(U697&lt;&gt;0,MIN((W697-U697)/U697/'Underwriting Risk'!$E$27,'Premium and Reserve Risk'!$AC$656),'Premium and Reserve Risk'!$AC$656))</f>
        <v>5.5E-2</v>
      </c>
      <c r="AD697" s="81"/>
      <c r="AE697" s="97"/>
      <c r="AF697" s="97"/>
      <c r="AG697" s="97"/>
      <c r="AH697" s="97"/>
    </row>
    <row r="698" spans="1:34" ht="13.5" customHeight="1" x14ac:dyDescent="0.25">
      <c r="A698" s="97"/>
      <c r="B698" s="257">
        <v>41</v>
      </c>
      <c r="C698" s="652"/>
      <c r="D698" s="80"/>
      <c r="E698" s="80"/>
      <c r="F698" s="258">
        <f t="shared" ca="1" si="23"/>
        <v>0</v>
      </c>
      <c r="G698" s="624"/>
      <c r="H698" s="85"/>
      <c r="I698" s="624"/>
      <c r="J698" s="85"/>
      <c r="K698" s="624"/>
      <c r="L698" s="85"/>
      <c r="M698" s="624"/>
      <c r="N698" s="85"/>
      <c r="O698" s="624"/>
      <c r="P698" s="85"/>
      <c r="Q698" s="626">
        <f t="shared" si="22"/>
        <v>0</v>
      </c>
      <c r="R698" s="85"/>
      <c r="S698" s="624"/>
      <c r="T698" s="260"/>
      <c r="U698" s="624"/>
      <c r="V698" s="85"/>
      <c r="W698" s="624"/>
      <c r="X698" s="81"/>
      <c r="Y698" s="80"/>
      <c r="Z698" s="737">
        <f ca="1">MAX(0%,IF(Q698&lt;&gt;0,MIN((S698-Q698)/Q698/'Underwriting Risk'!$E$27,'Premium and Reserve Risk'!$Z$656),'Premium and Reserve Risk'!$Z$656))</f>
        <v>8.3000000000000004E-2</v>
      </c>
      <c r="AA698" s="80"/>
      <c r="AB698" s="80"/>
      <c r="AC698" s="737">
        <f ca="1">MAX(0%,IF(U698&lt;&gt;0,MIN((W698-U698)/U698/'Underwriting Risk'!$E$27,'Premium and Reserve Risk'!$AC$656),'Premium and Reserve Risk'!$AC$656))</f>
        <v>5.5E-2</v>
      </c>
      <c r="AD698" s="81"/>
      <c r="AE698" s="97"/>
      <c r="AF698" s="97"/>
      <c r="AG698" s="97"/>
      <c r="AH698" s="97"/>
    </row>
    <row r="699" spans="1:34" ht="13.5" customHeight="1" x14ac:dyDescent="0.25">
      <c r="A699" s="97"/>
      <c r="B699" s="257">
        <v>42</v>
      </c>
      <c r="C699" s="652"/>
      <c r="D699" s="80"/>
      <c r="E699" s="80"/>
      <c r="F699" s="258">
        <f t="shared" ca="1" si="23"/>
        <v>0</v>
      </c>
      <c r="G699" s="624"/>
      <c r="H699" s="85"/>
      <c r="I699" s="624"/>
      <c r="J699" s="85"/>
      <c r="K699" s="624"/>
      <c r="L699" s="85"/>
      <c r="M699" s="624"/>
      <c r="N699" s="85"/>
      <c r="O699" s="624"/>
      <c r="P699" s="85"/>
      <c r="Q699" s="626">
        <f t="shared" si="22"/>
        <v>0</v>
      </c>
      <c r="R699" s="85"/>
      <c r="S699" s="624"/>
      <c r="T699" s="260"/>
      <c r="U699" s="624"/>
      <c r="V699" s="85"/>
      <c r="W699" s="624"/>
      <c r="X699" s="81"/>
      <c r="Y699" s="80"/>
      <c r="Z699" s="737">
        <f ca="1">MAX(0%,IF(Q699&lt;&gt;0,MIN((S699-Q699)/Q699/'Underwriting Risk'!$E$27,'Premium and Reserve Risk'!$Z$656),'Premium and Reserve Risk'!$Z$656))</f>
        <v>8.3000000000000004E-2</v>
      </c>
      <c r="AA699" s="80"/>
      <c r="AB699" s="80"/>
      <c r="AC699" s="737">
        <f ca="1">MAX(0%,IF(U699&lt;&gt;0,MIN((W699-U699)/U699/'Underwriting Risk'!$E$27,'Premium and Reserve Risk'!$AC$656),'Premium and Reserve Risk'!$AC$656))</f>
        <v>5.5E-2</v>
      </c>
      <c r="AD699" s="81"/>
      <c r="AE699" s="97"/>
      <c r="AF699" s="97"/>
      <c r="AG699" s="97"/>
      <c r="AH699" s="97"/>
    </row>
    <row r="700" spans="1:34" ht="13.5" customHeight="1" x14ac:dyDescent="0.25">
      <c r="A700" s="97"/>
      <c r="B700" s="257">
        <v>43</v>
      </c>
      <c r="C700" s="652"/>
      <c r="D700" s="80"/>
      <c r="E700" s="80"/>
      <c r="F700" s="258">
        <f t="shared" ca="1" si="23"/>
        <v>0</v>
      </c>
      <c r="G700" s="624"/>
      <c r="H700" s="85"/>
      <c r="I700" s="624"/>
      <c r="J700" s="85"/>
      <c r="K700" s="624"/>
      <c r="L700" s="85"/>
      <c r="M700" s="624"/>
      <c r="N700" s="85"/>
      <c r="O700" s="624"/>
      <c r="P700" s="85"/>
      <c r="Q700" s="626">
        <f t="shared" si="22"/>
        <v>0</v>
      </c>
      <c r="R700" s="85"/>
      <c r="S700" s="624"/>
      <c r="T700" s="260"/>
      <c r="U700" s="624"/>
      <c r="V700" s="85"/>
      <c r="W700" s="624"/>
      <c r="X700" s="81"/>
      <c r="Y700" s="80"/>
      <c r="Z700" s="737">
        <f ca="1">MAX(0%,IF(Q700&lt;&gt;0,MIN((S700-Q700)/Q700/'Underwriting Risk'!$E$27,'Premium and Reserve Risk'!$Z$656),'Premium and Reserve Risk'!$Z$656))</f>
        <v>8.3000000000000004E-2</v>
      </c>
      <c r="AA700" s="80"/>
      <c r="AB700" s="80"/>
      <c r="AC700" s="737">
        <f ca="1">MAX(0%,IF(U700&lt;&gt;0,MIN((W700-U700)/U700/'Underwriting Risk'!$E$27,'Premium and Reserve Risk'!$AC$656),'Premium and Reserve Risk'!$AC$656))</f>
        <v>5.5E-2</v>
      </c>
      <c r="AD700" s="81"/>
      <c r="AE700" s="97"/>
      <c r="AF700" s="97"/>
      <c r="AG700" s="97"/>
      <c r="AH700" s="97"/>
    </row>
    <row r="701" spans="1:34" ht="13.5" customHeight="1" x14ac:dyDescent="0.25">
      <c r="A701" s="97"/>
      <c r="B701" s="257">
        <v>44</v>
      </c>
      <c r="C701" s="652"/>
      <c r="D701" s="80"/>
      <c r="E701" s="80"/>
      <c r="F701" s="258">
        <f t="shared" ca="1" si="23"/>
        <v>0</v>
      </c>
      <c r="G701" s="624"/>
      <c r="H701" s="85"/>
      <c r="I701" s="624"/>
      <c r="J701" s="85"/>
      <c r="K701" s="624"/>
      <c r="L701" s="85"/>
      <c r="M701" s="624"/>
      <c r="N701" s="85"/>
      <c r="O701" s="624"/>
      <c r="P701" s="85"/>
      <c r="Q701" s="626">
        <f t="shared" si="22"/>
        <v>0</v>
      </c>
      <c r="R701" s="85"/>
      <c r="S701" s="624"/>
      <c r="T701" s="260"/>
      <c r="U701" s="624"/>
      <c r="V701" s="85"/>
      <c r="W701" s="624"/>
      <c r="X701" s="81"/>
      <c r="Y701" s="80"/>
      <c r="Z701" s="737">
        <f ca="1">MAX(0%,IF(Q701&lt;&gt;0,MIN((S701-Q701)/Q701/'Underwriting Risk'!$E$27,'Premium and Reserve Risk'!$Z$656),'Premium and Reserve Risk'!$Z$656))</f>
        <v>8.3000000000000004E-2</v>
      </c>
      <c r="AA701" s="80"/>
      <c r="AB701" s="80"/>
      <c r="AC701" s="737">
        <f ca="1">MAX(0%,IF(U701&lt;&gt;0,MIN((W701-U701)/U701/'Underwriting Risk'!$E$27,'Premium and Reserve Risk'!$AC$656),'Premium and Reserve Risk'!$AC$656))</f>
        <v>5.5E-2</v>
      </c>
      <c r="AD701" s="81"/>
      <c r="AE701" s="97"/>
      <c r="AF701" s="97"/>
      <c r="AG701" s="97"/>
      <c r="AH701" s="97"/>
    </row>
    <row r="702" spans="1:34" ht="13.5" customHeight="1" x14ac:dyDescent="0.25">
      <c r="A702" s="97"/>
      <c r="B702" s="257">
        <v>45</v>
      </c>
      <c r="C702" s="652"/>
      <c r="D702" s="80"/>
      <c r="E702" s="80"/>
      <c r="F702" s="258">
        <f t="shared" ca="1" si="23"/>
        <v>0</v>
      </c>
      <c r="G702" s="624"/>
      <c r="H702" s="85"/>
      <c r="I702" s="624"/>
      <c r="J702" s="85"/>
      <c r="K702" s="624"/>
      <c r="L702" s="85"/>
      <c r="M702" s="624"/>
      <c r="N702" s="85"/>
      <c r="O702" s="624"/>
      <c r="P702" s="85"/>
      <c r="Q702" s="626">
        <f t="shared" si="22"/>
        <v>0</v>
      </c>
      <c r="R702" s="85"/>
      <c r="S702" s="624"/>
      <c r="T702" s="260"/>
      <c r="U702" s="624"/>
      <c r="V702" s="85"/>
      <c r="W702" s="624"/>
      <c r="X702" s="81"/>
      <c r="Y702" s="80"/>
      <c r="Z702" s="737">
        <f ca="1">MAX(0%,IF(Q702&lt;&gt;0,MIN((S702-Q702)/Q702/'Underwriting Risk'!$E$27,'Premium and Reserve Risk'!$Z$656),'Premium and Reserve Risk'!$Z$656))</f>
        <v>8.3000000000000004E-2</v>
      </c>
      <c r="AA702" s="80"/>
      <c r="AB702" s="80"/>
      <c r="AC702" s="737">
        <f ca="1">MAX(0%,IF(U702&lt;&gt;0,MIN((W702-U702)/U702/'Underwriting Risk'!$E$27,'Premium and Reserve Risk'!$AC$656),'Premium and Reserve Risk'!$AC$656))</f>
        <v>5.5E-2</v>
      </c>
      <c r="AD702" s="81"/>
      <c r="AE702" s="97"/>
      <c r="AF702" s="97"/>
      <c r="AG702" s="97"/>
      <c r="AH702" s="97"/>
    </row>
    <row r="703" spans="1:34" ht="13.5" customHeight="1" x14ac:dyDescent="0.25">
      <c r="A703" s="97"/>
      <c r="B703" s="257">
        <v>46</v>
      </c>
      <c r="C703" s="652"/>
      <c r="D703" s="80"/>
      <c r="E703" s="80"/>
      <c r="F703" s="258">
        <f t="shared" ca="1" si="23"/>
        <v>0</v>
      </c>
      <c r="G703" s="624"/>
      <c r="H703" s="85"/>
      <c r="I703" s="624"/>
      <c r="J703" s="85"/>
      <c r="K703" s="624"/>
      <c r="L703" s="85"/>
      <c r="M703" s="624"/>
      <c r="N703" s="85"/>
      <c r="O703" s="624"/>
      <c r="P703" s="85"/>
      <c r="Q703" s="626">
        <f t="shared" si="22"/>
        <v>0</v>
      </c>
      <c r="R703" s="85"/>
      <c r="S703" s="624"/>
      <c r="T703" s="260"/>
      <c r="U703" s="624"/>
      <c r="V703" s="85"/>
      <c r="W703" s="624"/>
      <c r="X703" s="81"/>
      <c r="Y703" s="80"/>
      <c r="Z703" s="737">
        <f ca="1">MAX(0%,IF(Q703&lt;&gt;0,MIN((S703-Q703)/Q703/'Underwriting Risk'!$E$27,'Premium and Reserve Risk'!$Z$656),'Premium and Reserve Risk'!$Z$656))</f>
        <v>8.3000000000000004E-2</v>
      </c>
      <c r="AA703" s="80"/>
      <c r="AB703" s="80"/>
      <c r="AC703" s="737">
        <f ca="1">MAX(0%,IF(U703&lt;&gt;0,MIN((W703-U703)/U703/'Underwriting Risk'!$E$27,'Premium and Reserve Risk'!$AC$656),'Premium and Reserve Risk'!$AC$656))</f>
        <v>5.5E-2</v>
      </c>
      <c r="AD703" s="81"/>
      <c r="AE703" s="97"/>
      <c r="AF703" s="97"/>
      <c r="AG703" s="97"/>
      <c r="AH703" s="97"/>
    </row>
    <row r="704" spans="1:34" ht="13.5" customHeight="1" x14ac:dyDescent="0.25">
      <c r="A704" s="97"/>
      <c r="B704" s="257">
        <v>47</v>
      </c>
      <c r="C704" s="652"/>
      <c r="D704" s="80"/>
      <c r="E704" s="80"/>
      <c r="F704" s="258">
        <f t="shared" ca="1" si="23"/>
        <v>0</v>
      </c>
      <c r="G704" s="624"/>
      <c r="H704" s="85"/>
      <c r="I704" s="624"/>
      <c r="J704" s="85"/>
      <c r="K704" s="624"/>
      <c r="L704" s="85"/>
      <c r="M704" s="624"/>
      <c r="N704" s="85"/>
      <c r="O704" s="624"/>
      <c r="P704" s="85"/>
      <c r="Q704" s="626">
        <f t="shared" si="22"/>
        <v>0</v>
      </c>
      <c r="R704" s="85"/>
      <c r="S704" s="624"/>
      <c r="T704" s="260"/>
      <c r="U704" s="624"/>
      <c r="V704" s="85"/>
      <c r="W704" s="624"/>
      <c r="X704" s="81"/>
      <c r="Y704" s="80"/>
      <c r="Z704" s="737">
        <f ca="1">MAX(0%,IF(Q704&lt;&gt;0,MIN((S704-Q704)/Q704/'Underwriting Risk'!$E$27,'Premium and Reserve Risk'!$Z$656),'Premium and Reserve Risk'!$Z$656))</f>
        <v>8.3000000000000004E-2</v>
      </c>
      <c r="AA704" s="80"/>
      <c r="AB704" s="80"/>
      <c r="AC704" s="737">
        <f ca="1">MAX(0%,IF(U704&lt;&gt;0,MIN((W704-U704)/U704/'Underwriting Risk'!$E$27,'Premium and Reserve Risk'!$AC$656),'Premium and Reserve Risk'!$AC$656))</f>
        <v>5.5E-2</v>
      </c>
      <c r="AD704" s="81"/>
      <c r="AE704" s="97"/>
      <c r="AF704" s="97"/>
      <c r="AG704" s="97"/>
      <c r="AH704" s="97"/>
    </row>
    <row r="705" spans="1:34" ht="13.5" customHeight="1" x14ac:dyDescent="0.25">
      <c r="A705" s="97"/>
      <c r="B705" s="257">
        <v>48</v>
      </c>
      <c r="C705" s="652"/>
      <c r="D705" s="80"/>
      <c r="E705" s="80"/>
      <c r="F705" s="258">
        <f t="shared" ca="1" si="23"/>
        <v>0</v>
      </c>
      <c r="G705" s="624"/>
      <c r="H705" s="85"/>
      <c r="I705" s="624"/>
      <c r="J705" s="85"/>
      <c r="K705" s="624"/>
      <c r="L705" s="85"/>
      <c r="M705" s="624"/>
      <c r="N705" s="85"/>
      <c r="O705" s="624"/>
      <c r="P705" s="85"/>
      <c r="Q705" s="626">
        <f t="shared" si="22"/>
        <v>0</v>
      </c>
      <c r="R705" s="85"/>
      <c r="S705" s="624"/>
      <c r="T705" s="260"/>
      <c r="U705" s="624"/>
      <c r="V705" s="85"/>
      <c r="W705" s="624"/>
      <c r="X705" s="81"/>
      <c r="Y705" s="80"/>
      <c r="Z705" s="737">
        <f ca="1">MAX(0%,IF(Q705&lt;&gt;0,MIN((S705-Q705)/Q705/'Underwriting Risk'!$E$27,'Premium and Reserve Risk'!$Z$656),'Premium and Reserve Risk'!$Z$656))</f>
        <v>8.3000000000000004E-2</v>
      </c>
      <c r="AA705" s="80"/>
      <c r="AB705" s="80"/>
      <c r="AC705" s="737">
        <f ca="1">MAX(0%,IF(U705&lt;&gt;0,MIN((W705-U705)/U705/'Underwriting Risk'!$E$27,'Premium and Reserve Risk'!$AC$656),'Premium and Reserve Risk'!$AC$656))</f>
        <v>5.5E-2</v>
      </c>
      <c r="AD705" s="81"/>
      <c r="AE705" s="97"/>
      <c r="AF705" s="97"/>
      <c r="AG705" s="97"/>
      <c r="AH705" s="97"/>
    </row>
    <row r="706" spans="1:34" ht="13.5" customHeight="1" x14ac:dyDescent="0.25">
      <c r="A706" s="97"/>
      <c r="B706" s="257">
        <v>49</v>
      </c>
      <c r="C706" s="652"/>
      <c r="D706" s="80"/>
      <c r="E706" s="80"/>
      <c r="F706" s="258">
        <f t="shared" ca="1" si="23"/>
        <v>0</v>
      </c>
      <c r="G706" s="624"/>
      <c r="H706" s="85"/>
      <c r="I706" s="624"/>
      <c r="J706" s="85"/>
      <c r="K706" s="624"/>
      <c r="L706" s="85"/>
      <c r="M706" s="624"/>
      <c r="N706" s="85"/>
      <c r="O706" s="624"/>
      <c r="P706" s="85"/>
      <c r="Q706" s="626">
        <f t="shared" si="22"/>
        <v>0</v>
      </c>
      <c r="R706" s="85"/>
      <c r="S706" s="624"/>
      <c r="T706" s="260"/>
      <c r="U706" s="624"/>
      <c r="V706" s="85"/>
      <c r="W706" s="624"/>
      <c r="X706" s="81"/>
      <c r="Y706" s="80"/>
      <c r="Z706" s="737">
        <f ca="1">MAX(0%,IF(Q706&lt;&gt;0,MIN((S706-Q706)/Q706/'Underwriting Risk'!$E$27,'Premium and Reserve Risk'!$Z$656),'Premium and Reserve Risk'!$Z$656))</f>
        <v>8.3000000000000004E-2</v>
      </c>
      <c r="AA706" s="80"/>
      <c r="AB706" s="80"/>
      <c r="AC706" s="737">
        <f ca="1">MAX(0%,IF(U706&lt;&gt;0,MIN((W706-U706)/U706/'Underwriting Risk'!$E$27,'Premium and Reserve Risk'!$AC$656),'Premium and Reserve Risk'!$AC$656))</f>
        <v>5.5E-2</v>
      </c>
      <c r="AD706" s="81"/>
      <c r="AE706" s="97"/>
      <c r="AF706" s="97"/>
      <c r="AG706" s="97"/>
      <c r="AH706" s="97"/>
    </row>
    <row r="707" spans="1:34" ht="13.5" customHeight="1" x14ac:dyDescent="0.25">
      <c r="A707" s="97"/>
      <c r="B707" s="257">
        <v>50</v>
      </c>
      <c r="C707" s="652"/>
      <c r="D707" s="80"/>
      <c r="E707" s="80"/>
      <c r="F707" s="258">
        <f t="shared" ca="1" si="23"/>
        <v>0</v>
      </c>
      <c r="G707" s="624"/>
      <c r="H707" s="85"/>
      <c r="I707" s="624"/>
      <c r="J707" s="85"/>
      <c r="K707" s="624"/>
      <c r="L707" s="85"/>
      <c r="M707" s="624"/>
      <c r="N707" s="85"/>
      <c r="O707" s="624"/>
      <c r="P707" s="85"/>
      <c r="Q707" s="626">
        <f t="shared" si="22"/>
        <v>0</v>
      </c>
      <c r="R707" s="85"/>
      <c r="S707" s="624"/>
      <c r="T707" s="260"/>
      <c r="U707" s="624"/>
      <c r="V707" s="85"/>
      <c r="W707" s="624"/>
      <c r="X707" s="81"/>
      <c r="Y707" s="80"/>
      <c r="Z707" s="737">
        <f ca="1">MAX(0%,IF(Q707&lt;&gt;0,MIN((S707-Q707)/Q707/'Underwriting Risk'!$E$27,'Premium and Reserve Risk'!$Z$656),'Premium and Reserve Risk'!$Z$656))</f>
        <v>8.3000000000000004E-2</v>
      </c>
      <c r="AA707" s="80"/>
      <c r="AB707" s="80"/>
      <c r="AC707" s="737">
        <f ca="1">MAX(0%,IF(U707&lt;&gt;0,MIN((W707-U707)/U707/'Underwriting Risk'!$E$27,'Premium and Reserve Risk'!$AC$656),'Premium and Reserve Risk'!$AC$656))</f>
        <v>5.5E-2</v>
      </c>
      <c r="AD707" s="81"/>
      <c r="AE707" s="97"/>
      <c r="AF707" s="97"/>
      <c r="AG707" s="97"/>
      <c r="AH707" s="97"/>
    </row>
    <row r="708" spans="1:34" ht="13.5" customHeight="1" x14ac:dyDescent="0.25">
      <c r="A708" s="97"/>
      <c r="B708" s="257">
        <v>51</v>
      </c>
      <c r="C708" s="652"/>
      <c r="D708" s="80"/>
      <c r="E708" s="80"/>
      <c r="F708" s="258">
        <f t="shared" ca="1" si="23"/>
        <v>0</v>
      </c>
      <c r="G708" s="624"/>
      <c r="H708" s="85"/>
      <c r="I708" s="624"/>
      <c r="J708" s="85"/>
      <c r="K708" s="624"/>
      <c r="L708" s="85"/>
      <c r="M708" s="624"/>
      <c r="N708" s="85"/>
      <c r="O708" s="624"/>
      <c r="P708" s="85"/>
      <c r="Q708" s="626">
        <f t="shared" si="22"/>
        <v>0</v>
      </c>
      <c r="R708" s="85"/>
      <c r="S708" s="624"/>
      <c r="T708" s="260"/>
      <c r="U708" s="624"/>
      <c r="V708" s="85"/>
      <c r="W708" s="624"/>
      <c r="X708" s="81"/>
      <c r="Y708" s="80"/>
      <c r="Z708" s="737">
        <f ca="1">MAX(0%,IF(Q708&lt;&gt;0,MIN((S708-Q708)/Q708/'Underwriting Risk'!$E$27,'Premium and Reserve Risk'!$Z$656),'Premium and Reserve Risk'!$Z$656))</f>
        <v>8.3000000000000004E-2</v>
      </c>
      <c r="AA708" s="80"/>
      <c r="AB708" s="80"/>
      <c r="AC708" s="737">
        <f ca="1">MAX(0%,IF(U708&lt;&gt;0,MIN((W708-U708)/U708/'Underwriting Risk'!$E$27,'Premium and Reserve Risk'!$AC$656),'Premium and Reserve Risk'!$AC$656))</f>
        <v>5.5E-2</v>
      </c>
      <c r="AD708" s="81"/>
      <c r="AE708" s="97"/>
      <c r="AF708" s="97"/>
      <c r="AG708" s="97"/>
      <c r="AH708" s="97"/>
    </row>
    <row r="709" spans="1:34" ht="13.5" customHeight="1" x14ac:dyDescent="0.25">
      <c r="A709" s="97"/>
      <c r="B709" s="257">
        <v>52</v>
      </c>
      <c r="C709" s="652"/>
      <c r="D709" s="80"/>
      <c r="E709" s="80"/>
      <c r="F709" s="258">
        <f t="shared" ca="1" si="23"/>
        <v>0</v>
      </c>
      <c r="G709" s="624"/>
      <c r="H709" s="85"/>
      <c r="I709" s="624"/>
      <c r="J709" s="85"/>
      <c r="K709" s="624"/>
      <c r="L709" s="85"/>
      <c r="M709" s="624"/>
      <c r="N709" s="85"/>
      <c r="O709" s="624"/>
      <c r="P709" s="85"/>
      <c r="Q709" s="626">
        <f t="shared" si="22"/>
        <v>0</v>
      </c>
      <c r="R709" s="85"/>
      <c r="S709" s="624"/>
      <c r="T709" s="260"/>
      <c r="U709" s="624"/>
      <c r="V709" s="85"/>
      <c r="W709" s="624"/>
      <c r="X709" s="81"/>
      <c r="Y709" s="80"/>
      <c r="Z709" s="737">
        <f ca="1">MAX(0%,IF(Q709&lt;&gt;0,MIN((S709-Q709)/Q709/'Underwriting Risk'!$E$27,'Premium and Reserve Risk'!$Z$656),'Premium and Reserve Risk'!$Z$656))</f>
        <v>8.3000000000000004E-2</v>
      </c>
      <c r="AA709" s="80"/>
      <c r="AB709" s="80"/>
      <c r="AC709" s="737">
        <f ca="1">MAX(0%,IF(U709&lt;&gt;0,MIN((W709-U709)/U709/'Underwriting Risk'!$E$27,'Premium and Reserve Risk'!$AC$656),'Premium and Reserve Risk'!$AC$656))</f>
        <v>5.5E-2</v>
      </c>
      <c r="AD709" s="81"/>
      <c r="AE709" s="97"/>
      <c r="AF709" s="97"/>
      <c r="AG709" s="97"/>
      <c r="AH709" s="97"/>
    </row>
    <row r="710" spans="1:34" ht="13.5" customHeight="1" x14ac:dyDescent="0.25">
      <c r="A710" s="97"/>
      <c r="B710" s="257">
        <v>53</v>
      </c>
      <c r="C710" s="652"/>
      <c r="D710" s="80"/>
      <c r="E710" s="80"/>
      <c r="F710" s="258">
        <f t="shared" ca="1" si="23"/>
        <v>0</v>
      </c>
      <c r="G710" s="624"/>
      <c r="H710" s="85"/>
      <c r="I710" s="624"/>
      <c r="J710" s="85"/>
      <c r="K710" s="624"/>
      <c r="L710" s="85"/>
      <c r="M710" s="624"/>
      <c r="N710" s="85"/>
      <c r="O710" s="624"/>
      <c r="P710" s="85"/>
      <c r="Q710" s="626">
        <f t="shared" si="22"/>
        <v>0</v>
      </c>
      <c r="R710" s="85"/>
      <c r="S710" s="624"/>
      <c r="T710" s="260"/>
      <c r="U710" s="624"/>
      <c r="V710" s="85"/>
      <c r="W710" s="624"/>
      <c r="X710" s="81"/>
      <c r="Y710" s="80"/>
      <c r="Z710" s="737">
        <f ca="1">MAX(0%,IF(Q710&lt;&gt;0,MIN((S710-Q710)/Q710/'Underwriting Risk'!$E$27,'Premium and Reserve Risk'!$Z$656),'Premium and Reserve Risk'!$Z$656))</f>
        <v>8.3000000000000004E-2</v>
      </c>
      <c r="AA710" s="80"/>
      <c r="AB710" s="80"/>
      <c r="AC710" s="737">
        <f ca="1">MAX(0%,IF(U710&lt;&gt;0,MIN((W710-U710)/U710/'Underwriting Risk'!$E$27,'Premium and Reserve Risk'!$AC$656),'Premium and Reserve Risk'!$AC$656))</f>
        <v>5.5E-2</v>
      </c>
      <c r="AD710" s="81"/>
      <c r="AE710" s="97"/>
      <c r="AF710" s="97"/>
      <c r="AG710" s="97"/>
      <c r="AH710" s="97"/>
    </row>
    <row r="711" spans="1:34" ht="13.5" customHeight="1" x14ac:dyDescent="0.25">
      <c r="A711" s="97"/>
      <c r="B711" s="257">
        <v>54</v>
      </c>
      <c r="C711" s="652"/>
      <c r="D711" s="80"/>
      <c r="E711" s="80"/>
      <c r="F711" s="258">
        <f t="shared" ca="1" si="23"/>
        <v>0</v>
      </c>
      <c r="G711" s="624"/>
      <c r="H711" s="85"/>
      <c r="I711" s="624"/>
      <c r="J711" s="85"/>
      <c r="K711" s="624"/>
      <c r="L711" s="85"/>
      <c r="M711" s="624"/>
      <c r="N711" s="85"/>
      <c r="O711" s="624"/>
      <c r="P711" s="85"/>
      <c r="Q711" s="626">
        <f t="shared" si="22"/>
        <v>0</v>
      </c>
      <c r="R711" s="85"/>
      <c r="S711" s="624"/>
      <c r="T711" s="260"/>
      <c r="U711" s="624"/>
      <c r="V711" s="85"/>
      <c r="W711" s="624"/>
      <c r="X711" s="81"/>
      <c r="Y711" s="80"/>
      <c r="Z711" s="737">
        <f ca="1">MAX(0%,IF(Q711&lt;&gt;0,MIN((S711-Q711)/Q711/'Underwriting Risk'!$E$27,'Premium and Reserve Risk'!$Z$656),'Premium and Reserve Risk'!$Z$656))</f>
        <v>8.3000000000000004E-2</v>
      </c>
      <c r="AA711" s="80"/>
      <c r="AB711" s="80"/>
      <c r="AC711" s="737">
        <f ca="1">MAX(0%,IF(U711&lt;&gt;0,MIN((W711-U711)/U711/'Underwriting Risk'!$E$27,'Premium and Reserve Risk'!$AC$656),'Premium and Reserve Risk'!$AC$656))</f>
        <v>5.5E-2</v>
      </c>
      <c r="AD711" s="81"/>
      <c r="AE711" s="97"/>
      <c r="AF711" s="97"/>
      <c r="AG711" s="97"/>
      <c r="AH711" s="97"/>
    </row>
    <row r="712" spans="1:34" ht="13.5" customHeight="1" x14ac:dyDescent="0.25">
      <c r="A712" s="97"/>
      <c r="B712" s="257">
        <v>55</v>
      </c>
      <c r="C712" s="652"/>
      <c r="D712" s="80"/>
      <c r="E712" s="80"/>
      <c r="F712" s="258">
        <f t="shared" ca="1" si="23"/>
        <v>0</v>
      </c>
      <c r="G712" s="624"/>
      <c r="H712" s="85"/>
      <c r="I712" s="624"/>
      <c r="J712" s="85"/>
      <c r="K712" s="624"/>
      <c r="L712" s="85"/>
      <c r="M712" s="624"/>
      <c r="N712" s="85"/>
      <c r="O712" s="624"/>
      <c r="P712" s="85"/>
      <c r="Q712" s="626">
        <f t="shared" si="22"/>
        <v>0</v>
      </c>
      <c r="R712" s="85"/>
      <c r="S712" s="624"/>
      <c r="T712" s="260"/>
      <c r="U712" s="624"/>
      <c r="V712" s="85"/>
      <c r="W712" s="624"/>
      <c r="X712" s="81"/>
      <c r="Y712" s="80"/>
      <c r="Z712" s="737">
        <f ca="1">MAX(0%,IF(Q712&lt;&gt;0,MIN((S712-Q712)/Q712/'Underwriting Risk'!$E$27,'Premium and Reserve Risk'!$Z$656),'Premium and Reserve Risk'!$Z$656))</f>
        <v>8.3000000000000004E-2</v>
      </c>
      <c r="AA712" s="80"/>
      <c r="AB712" s="80"/>
      <c r="AC712" s="737">
        <f ca="1">MAX(0%,IF(U712&lt;&gt;0,MIN((W712-U712)/U712/'Underwriting Risk'!$E$27,'Premium and Reserve Risk'!$AC$656),'Premium and Reserve Risk'!$AC$656))</f>
        <v>5.5E-2</v>
      </c>
      <c r="AD712" s="81"/>
      <c r="AE712" s="97"/>
      <c r="AF712" s="97"/>
      <c r="AG712" s="97"/>
      <c r="AH712" s="97"/>
    </row>
    <row r="713" spans="1:34" ht="13.5" customHeight="1" x14ac:dyDescent="0.25">
      <c r="A713" s="97"/>
      <c r="B713" s="257">
        <v>56</v>
      </c>
      <c r="C713" s="652"/>
      <c r="D713" s="80"/>
      <c r="E713" s="80"/>
      <c r="F713" s="258">
        <f t="shared" ca="1" si="23"/>
        <v>0</v>
      </c>
      <c r="G713" s="624"/>
      <c r="H713" s="85"/>
      <c r="I713" s="624"/>
      <c r="J713" s="85"/>
      <c r="K713" s="624"/>
      <c r="L713" s="85"/>
      <c r="M713" s="624"/>
      <c r="N713" s="85"/>
      <c r="O713" s="624"/>
      <c r="P713" s="85"/>
      <c r="Q713" s="626">
        <f t="shared" si="22"/>
        <v>0</v>
      </c>
      <c r="R713" s="85"/>
      <c r="S713" s="624"/>
      <c r="T713" s="260"/>
      <c r="U713" s="624"/>
      <c r="V713" s="85"/>
      <c r="W713" s="624"/>
      <c r="X713" s="81"/>
      <c r="Y713" s="80"/>
      <c r="Z713" s="737">
        <f ca="1">MAX(0%,IF(Q713&lt;&gt;0,MIN((S713-Q713)/Q713/'Underwriting Risk'!$E$27,'Premium and Reserve Risk'!$Z$656),'Premium and Reserve Risk'!$Z$656))</f>
        <v>8.3000000000000004E-2</v>
      </c>
      <c r="AA713" s="80"/>
      <c r="AB713" s="80"/>
      <c r="AC713" s="737">
        <f ca="1">MAX(0%,IF(U713&lt;&gt;0,MIN((W713-U713)/U713/'Underwriting Risk'!$E$27,'Premium and Reserve Risk'!$AC$656),'Premium and Reserve Risk'!$AC$656))</f>
        <v>5.5E-2</v>
      </c>
      <c r="AD713" s="81"/>
      <c r="AE713" s="97"/>
      <c r="AF713" s="97"/>
      <c r="AG713" s="97"/>
      <c r="AH713" s="97"/>
    </row>
    <row r="714" spans="1:34" ht="13.5" customHeight="1" x14ac:dyDescent="0.25">
      <c r="A714" s="97"/>
      <c r="B714" s="257">
        <v>57</v>
      </c>
      <c r="C714" s="652"/>
      <c r="D714" s="80"/>
      <c r="E714" s="80"/>
      <c r="F714" s="258">
        <f t="shared" ca="1" si="23"/>
        <v>0</v>
      </c>
      <c r="G714" s="624"/>
      <c r="H714" s="85"/>
      <c r="I714" s="624"/>
      <c r="J714" s="85"/>
      <c r="K714" s="624"/>
      <c r="L714" s="85"/>
      <c r="M714" s="624"/>
      <c r="N714" s="85"/>
      <c r="O714" s="624"/>
      <c r="P714" s="85"/>
      <c r="Q714" s="626">
        <f t="shared" si="22"/>
        <v>0</v>
      </c>
      <c r="R714" s="85"/>
      <c r="S714" s="624"/>
      <c r="T714" s="260"/>
      <c r="U714" s="624"/>
      <c r="V714" s="85"/>
      <c r="W714" s="624"/>
      <c r="X714" s="81"/>
      <c r="Y714" s="80"/>
      <c r="Z714" s="737">
        <f ca="1">MAX(0%,IF(Q714&lt;&gt;0,MIN((S714-Q714)/Q714/'Underwriting Risk'!$E$27,'Premium and Reserve Risk'!$Z$656),'Premium and Reserve Risk'!$Z$656))</f>
        <v>8.3000000000000004E-2</v>
      </c>
      <c r="AA714" s="80"/>
      <c r="AB714" s="80"/>
      <c r="AC714" s="737">
        <f ca="1">MAX(0%,IF(U714&lt;&gt;0,MIN((W714-U714)/U714/'Underwriting Risk'!$E$27,'Premium and Reserve Risk'!$AC$656),'Premium and Reserve Risk'!$AC$656))</f>
        <v>5.5E-2</v>
      </c>
      <c r="AD714" s="81"/>
      <c r="AE714" s="97"/>
      <c r="AF714" s="97"/>
      <c r="AG714" s="97"/>
      <c r="AH714" s="97"/>
    </row>
    <row r="715" spans="1:34" ht="13.5" customHeight="1" x14ac:dyDescent="0.25">
      <c r="A715" s="97"/>
      <c r="B715" s="257">
        <v>58</v>
      </c>
      <c r="C715" s="652"/>
      <c r="D715" s="80"/>
      <c r="E715" s="80"/>
      <c r="F715" s="258">
        <f t="shared" ca="1" si="23"/>
        <v>0</v>
      </c>
      <c r="G715" s="624"/>
      <c r="H715" s="85"/>
      <c r="I715" s="624"/>
      <c r="J715" s="85"/>
      <c r="K715" s="624"/>
      <c r="L715" s="85"/>
      <c r="M715" s="624"/>
      <c r="N715" s="85"/>
      <c r="O715" s="624"/>
      <c r="P715" s="85"/>
      <c r="Q715" s="626">
        <f t="shared" si="22"/>
        <v>0</v>
      </c>
      <c r="R715" s="85"/>
      <c r="S715" s="624"/>
      <c r="T715" s="260"/>
      <c r="U715" s="624"/>
      <c r="V715" s="85"/>
      <c r="W715" s="624"/>
      <c r="X715" s="81"/>
      <c r="Y715" s="80"/>
      <c r="Z715" s="737">
        <f ca="1">MAX(0%,IF(Q715&lt;&gt;0,MIN((S715-Q715)/Q715/'Underwriting Risk'!$E$27,'Premium and Reserve Risk'!$Z$656),'Premium and Reserve Risk'!$Z$656))</f>
        <v>8.3000000000000004E-2</v>
      </c>
      <c r="AA715" s="80"/>
      <c r="AB715" s="80"/>
      <c r="AC715" s="737">
        <f ca="1">MAX(0%,IF(U715&lt;&gt;0,MIN((W715-U715)/U715/'Underwriting Risk'!$E$27,'Premium and Reserve Risk'!$AC$656),'Premium and Reserve Risk'!$AC$656))</f>
        <v>5.5E-2</v>
      </c>
      <c r="AD715" s="81"/>
      <c r="AE715" s="97"/>
      <c r="AF715" s="97"/>
      <c r="AG715" s="97"/>
      <c r="AH715" s="97"/>
    </row>
    <row r="716" spans="1:34" ht="13.5" customHeight="1" x14ac:dyDescent="0.25">
      <c r="A716" s="97"/>
      <c r="B716" s="257">
        <v>59</v>
      </c>
      <c r="C716" s="652"/>
      <c r="D716" s="80"/>
      <c r="E716" s="80"/>
      <c r="F716" s="258">
        <f t="shared" ca="1" si="23"/>
        <v>0</v>
      </c>
      <c r="G716" s="624"/>
      <c r="H716" s="85"/>
      <c r="I716" s="624"/>
      <c r="J716" s="85"/>
      <c r="K716" s="624"/>
      <c r="L716" s="85"/>
      <c r="M716" s="624"/>
      <c r="N716" s="85"/>
      <c r="O716" s="624"/>
      <c r="P716" s="85"/>
      <c r="Q716" s="626">
        <f t="shared" si="22"/>
        <v>0</v>
      </c>
      <c r="R716" s="85"/>
      <c r="S716" s="624"/>
      <c r="T716" s="260"/>
      <c r="U716" s="624"/>
      <c r="V716" s="85"/>
      <c r="W716" s="624"/>
      <c r="X716" s="81"/>
      <c r="Y716" s="80"/>
      <c r="Z716" s="737">
        <f ca="1">MAX(0%,IF(Q716&lt;&gt;0,MIN((S716-Q716)/Q716/'Underwriting Risk'!$E$27,'Premium and Reserve Risk'!$Z$656),'Premium and Reserve Risk'!$Z$656))</f>
        <v>8.3000000000000004E-2</v>
      </c>
      <c r="AA716" s="80"/>
      <c r="AB716" s="80"/>
      <c r="AC716" s="737">
        <f ca="1">MAX(0%,IF(U716&lt;&gt;0,MIN((W716-U716)/U716/'Underwriting Risk'!$E$27,'Premium and Reserve Risk'!$AC$656),'Premium and Reserve Risk'!$AC$656))</f>
        <v>5.5E-2</v>
      </c>
      <c r="AD716" s="81"/>
      <c r="AE716" s="97"/>
      <c r="AF716" s="97"/>
      <c r="AG716" s="97"/>
      <c r="AH716" s="97"/>
    </row>
    <row r="717" spans="1:34" ht="13.5" customHeight="1" x14ac:dyDescent="0.25">
      <c r="A717" s="97"/>
      <c r="B717" s="257">
        <v>60</v>
      </c>
      <c r="C717" s="652"/>
      <c r="D717" s="80"/>
      <c r="E717" s="80"/>
      <c r="F717" s="258">
        <f t="shared" ca="1" si="23"/>
        <v>0</v>
      </c>
      <c r="G717" s="624"/>
      <c r="H717" s="85"/>
      <c r="I717" s="624"/>
      <c r="J717" s="85"/>
      <c r="K717" s="624"/>
      <c r="L717" s="85"/>
      <c r="M717" s="624"/>
      <c r="N717" s="85"/>
      <c r="O717" s="624"/>
      <c r="P717" s="85"/>
      <c r="Q717" s="626">
        <f t="shared" si="22"/>
        <v>0</v>
      </c>
      <c r="R717" s="85"/>
      <c r="S717" s="624"/>
      <c r="T717" s="260"/>
      <c r="U717" s="624"/>
      <c r="V717" s="85"/>
      <c r="W717" s="624"/>
      <c r="X717" s="81"/>
      <c r="Y717" s="80"/>
      <c r="Z717" s="737">
        <f ca="1">MAX(0%,IF(Q717&lt;&gt;0,MIN((S717-Q717)/Q717/'Underwriting Risk'!$E$27,'Premium and Reserve Risk'!$Z$656),'Premium and Reserve Risk'!$Z$656))</f>
        <v>8.3000000000000004E-2</v>
      </c>
      <c r="AA717" s="80"/>
      <c r="AB717" s="80"/>
      <c r="AC717" s="737">
        <f ca="1">MAX(0%,IF(U717&lt;&gt;0,MIN((W717-U717)/U717/'Underwriting Risk'!$E$27,'Premium and Reserve Risk'!$AC$656),'Premium and Reserve Risk'!$AC$656))</f>
        <v>5.5E-2</v>
      </c>
      <c r="AD717" s="81"/>
      <c r="AE717" s="97"/>
      <c r="AF717" s="97"/>
      <c r="AG717" s="97"/>
      <c r="AH717" s="97"/>
    </row>
    <row r="718" spans="1:34" ht="13.5" customHeight="1" x14ac:dyDescent="0.25">
      <c r="A718" s="97"/>
      <c r="B718" s="257">
        <v>61</v>
      </c>
      <c r="C718" s="652"/>
      <c r="D718" s="80"/>
      <c r="E718" s="80"/>
      <c r="F718" s="258">
        <f t="shared" ca="1" si="23"/>
        <v>0</v>
      </c>
      <c r="G718" s="624"/>
      <c r="H718" s="85"/>
      <c r="I718" s="624"/>
      <c r="J718" s="85"/>
      <c r="K718" s="624"/>
      <c r="L718" s="85"/>
      <c r="M718" s="624"/>
      <c r="N718" s="85"/>
      <c r="O718" s="624"/>
      <c r="P718" s="85"/>
      <c r="Q718" s="626">
        <f t="shared" si="22"/>
        <v>0</v>
      </c>
      <c r="R718" s="85"/>
      <c r="S718" s="624"/>
      <c r="T718" s="260"/>
      <c r="U718" s="624"/>
      <c r="V718" s="85"/>
      <c r="W718" s="624"/>
      <c r="X718" s="81"/>
      <c r="Y718" s="80"/>
      <c r="Z718" s="737">
        <f ca="1">MAX(0%,IF(Q718&lt;&gt;0,MIN((S718-Q718)/Q718/'Underwriting Risk'!$E$27,'Premium and Reserve Risk'!$Z$656),'Premium and Reserve Risk'!$Z$656))</f>
        <v>8.3000000000000004E-2</v>
      </c>
      <c r="AA718" s="80"/>
      <c r="AB718" s="80"/>
      <c r="AC718" s="737">
        <f ca="1">MAX(0%,IF(U718&lt;&gt;0,MIN((W718-U718)/U718/'Underwriting Risk'!$E$27,'Premium and Reserve Risk'!$AC$656),'Premium and Reserve Risk'!$AC$656))</f>
        <v>5.5E-2</v>
      </c>
      <c r="AD718" s="81"/>
      <c r="AE718" s="97"/>
      <c r="AF718" s="97"/>
      <c r="AG718" s="97"/>
      <c r="AH718" s="97"/>
    </row>
    <row r="719" spans="1:34" ht="13.5" customHeight="1" x14ac:dyDescent="0.25">
      <c r="A719" s="97"/>
      <c r="B719" s="257">
        <v>62</v>
      </c>
      <c r="C719" s="652"/>
      <c r="D719" s="80"/>
      <c r="E719" s="80"/>
      <c r="F719" s="258">
        <f t="shared" ca="1" si="23"/>
        <v>0</v>
      </c>
      <c r="G719" s="624"/>
      <c r="H719" s="85"/>
      <c r="I719" s="624"/>
      <c r="J719" s="85"/>
      <c r="K719" s="624"/>
      <c r="L719" s="85"/>
      <c r="M719" s="624"/>
      <c r="N719" s="85"/>
      <c r="O719" s="624"/>
      <c r="P719" s="85"/>
      <c r="Q719" s="626">
        <f t="shared" si="22"/>
        <v>0</v>
      </c>
      <c r="R719" s="85"/>
      <c r="S719" s="624"/>
      <c r="T719" s="260"/>
      <c r="U719" s="624"/>
      <c r="V719" s="85"/>
      <c r="W719" s="624"/>
      <c r="X719" s="81"/>
      <c r="Y719" s="80"/>
      <c r="Z719" s="737">
        <f ca="1">MAX(0%,IF(Q719&lt;&gt;0,MIN((S719-Q719)/Q719/'Underwriting Risk'!$E$27,'Premium and Reserve Risk'!$Z$656),'Premium and Reserve Risk'!$Z$656))</f>
        <v>8.3000000000000004E-2</v>
      </c>
      <c r="AA719" s="80"/>
      <c r="AB719" s="80"/>
      <c r="AC719" s="737">
        <f ca="1">MAX(0%,IF(U719&lt;&gt;0,MIN((W719-U719)/U719/'Underwriting Risk'!$E$27,'Premium and Reserve Risk'!$AC$656),'Premium and Reserve Risk'!$AC$656))</f>
        <v>5.5E-2</v>
      </c>
      <c r="AD719" s="81"/>
      <c r="AE719" s="97"/>
      <c r="AF719" s="97"/>
      <c r="AG719" s="97"/>
      <c r="AH719" s="97"/>
    </row>
    <row r="720" spans="1:34" ht="13.5" customHeight="1" x14ac:dyDescent="0.25">
      <c r="A720" s="97"/>
      <c r="B720" s="257">
        <v>63</v>
      </c>
      <c r="C720" s="652"/>
      <c r="D720" s="80"/>
      <c r="E720" s="80"/>
      <c r="F720" s="258">
        <f t="shared" ca="1" si="23"/>
        <v>0</v>
      </c>
      <c r="G720" s="624"/>
      <c r="H720" s="85"/>
      <c r="I720" s="624"/>
      <c r="J720" s="85"/>
      <c r="K720" s="624"/>
      <c r="L720" s="85"/>
      <c r="M720" s="624"/>
      <c r="N720" s="85"/>
      <c r="O720" s="624"/>
      <c r="P720" s="85"/>
      <c r="Q720" s="626">
        <f t="shared" si="22"/>
        <v>0</v>
      </c>
      <c r="R720" s="85"/>
      <c r="S720" s="624"/>
      <c r="T720" s="260"/>
      <c r="U720" s="624"/>
      <c r="V720" s="85"/>
      <c r="W720" s="624"/>
      <c r="X720" s="81"/>
      <c r="Y720" s="80"/>
      <c r="Z720" s="737">
        <f ca="1">MAX(0%,IF(Q720&lt;&gt;0,MIN((S720-Q720)/Q720/'Underwriting Risk'!$E$27,'Premium and Reserve Risk'!$Z$656),'Premium and Reserve Risk'!$Z$656))</f>
        <v>8.3000000000000004E-2</v>
      </c>
      <c r="AA720" s="80"/>
      <c r="AB720" s="80"/>
      <c r="AC720" s="737">
        <f ca="1">MAX(0%,IF(U720&lt;&gt;0,MIN((W720-U720)/U720/'Underwriting Risk'!$E$27,'Premium and Reserve Risk'!$AC$656),'Premium and Reserve Risk'!$AC$656))</f>
        <v>5.5E-2</v>
      </c>
      <c r="AD720" s="81"/>
      <c r="AE720" s="97"/>
      <c r="AF720" s="97"/>
      <c r="AG720" s="97"/>
      <c r="AH720" s="97"/>
    </row>
    <row r="721" spans="1:34" ht="13.5" customHeight="1" x14ac:dyDescent="0.25">
      <c r="A721" s="97"/>
      <c r="B721" s="257">
        <v>64</v>
      </c>
      <c r="C721" s="652"/>
      <c r="D721" s="80"/>
      <c r="E721" s="80"/>
      <c r="F721" s="258">
        <f t="shared" ca="1" si="23"/>
        <v>0</v>
      </c>
      <c r="G721" s="624"/>
      <c r="H721" s="85"/>
      <c r="I721" s="624"/>
      <c r="J721" s="85"/>
      <c r="K721" s="624"/>
      <c r="L721" s="85"/>
      <c r="M721" s="624"/>
      <c r="N721" s="85"/>
      <c r="O721" s="624"/>
      <c r="P721" s="85"/>
      <c r="Q721" s="626">
        <f t="shared" si="22"/>
        <v>0</v>
      </c>
      <c r="R721" s="85"/>
      <c r="S721" s="624"/>
      <c r="T721" s="260"/>
      <c r="U721" s="624"/>
      <c r="V721" s="85"/>
      <c r="W721" s="624"/>
      <c r="X721" s="81"/>
      <c r="Y721" s="80"/>
      <c r="Z721" s="737">
        <f ca="1">MAX(0%,IF(Q721&lt;&gt;0,MIN((S721-Q721)/Q721/'Underwriting Risk'!$E$27,'Premium and Reserve Risk'!$Z$656),'Premium and Reserve Risk'!$Z$656))</f>
        <v>8.3000000000000004E-2</v>
      </c>
      <c r="AA721" s="80"/>
      <c r="AB721" s="80"/>
      <c r="AC721" s="737">
        <f ca="1">MAX(0%,IF(U721&lt;&gt;0,MIN((W721-U721)/U721/'Underwriting Risk'!$E$27,'Premium and Reserve Risk'!$AC$656),'Premium and Reserve Risk'!$AC$656))</f>
        <v>5.5E-2</v>
      </c>
      <c r="AD721" s="81"/>
      <c r="AE721" s="97"/>
      <c r="AF721" s="97"/>
      <c r="AG721" s="97"/>
      <c r="AH721" s="97"/>
    </row>
    <row r="722" spans="1:34" ht="13.5" customHeight="1" x14ac:dyDescent="0.25">
      <c r="A722" s="97"/>
      <c r="B722" s="257">
        <v>65</v>
      </c>
      <c r="C722" s="652"/>
      <c r="D722" s="80"/>
      <c r="E722" s="80"/>
      <c r="F722" s="258">
        <f t="shared" ca="1" si="23"/>
        <v>0</v>
      </c>
      <c r="G722" s="624"/>
      <c r="H722" s="85"/>
      <c r="I722" s="624"/>
      <c r="J722" s="85"/>
      <c r="K722" s="624"/>
      <c r="L722" s="85"/>
      <c r="M722" s="624"/>
      <c r="N722" s="85"/>
      <c r="O722" s="624"/>
      <c r="P722" s="85"/>
      <c r="Q722" s="626">
        <f t="shared" si="22"/>
        <v>0</v>
      </c>
      <c r="R722" s="85"/>
      <c r="S722" s="624"/>
      <c r="T722" s="260"/>
      <c r="U722" s="624"/>
      <c r="V722" s="85"/>
      <c r="W722" s="624"/>
      <c r="X722" s="81"/>
      <c r="Y722" s="80"/>
      <c r="Z722" s="737">
        <f ca="1">MAX(0%,IF(Q722&lt;&gt;0,MIN((S722-Q722)/Q722/'Underwriting Risk'!$E$27,'Premium and Reserve Risk'!$Z$656),'Premium and Reserve Risk'!$Z$656))</f>
        <v>8.3000000000000004E-2</v>
      </c>
      <c r="AA722" s="80"/>
      <c r="AB722" s="80"/>
      <c r="AC722" s="737">
        <f ca="1">MAX(0%,IF(U722&lt;&gt;0,MIN((W722-U722)/U722/'Underwriting Risk'!$E$27,'Premium and Reserve Risk'!$AC$656),'Premium and Reserve Risk'!$AC$656))</f>
        <v>5.5E-2</v>
      </c>
      <c r="AD722" s="81"/>
      <c r="AE722" s="97"/>
      <c r="AF722" s="97"/>
      <c r="AG722" s="97"/>
      <c r="AH722" s="97"/>
    </row>
    <row r="723" spans="1:34" ht="13.5" customHeight="1" x14ac:dyDescent="0.25">
      <c r="A723" s="97"/>
      <c r="B723" s="257">
        <v>66</v>
      </c>
      <c r="C723" s="652"/>
      <c r="D723" s="80"/>
      <c r="E723" s="80"/>
      <c r="F723" s="258">
        <f t="shared" ref="F723:F757" ca="1" si="24">IF(B723&lt;=OFFSET($Z$8,B$655-1,0),0,1)</f>
        <v>0</v>
      </c>
      <c r="G723" s="624"/>
      <c r="H723" s="85"/>
      <c r="I723" s="624"/>
      <c r="J723" s="85"/>
      <c r="K723" s="624"/>
      <c r="L723" s="85"/>
      <c r="M723" s="624"/>
      <c r="N723" s="85"/>
      <c r="O723" s="624"/>
      <c r="P723" s="85"/>
      <c r="Q723" s="626">
        <f t="shared" si="22"/>
        <v>0</v>
      </c>
      <c r="R723" s="85"/>
      <c r="S723" s="624"/>
      <c r="T723" s="260"/>
      <c r="U723" s="624"/>
      <c r="V723" s="85"/>
      <c r="W723" s="624"/>
      <c r="X723" s="81"/>
      <c r="Y723" s="80"/>
      <c r="Z723" s="737">
        <f ca="1">MAX(0%,IF(Q723&lt;&gt;0,MIN((S723-Q723)/Q723/'Underwriting Risk'!$E$27,'Premium and Reserve Risk'!$Z$656),'Premium and Reserve Risk'!$Z$656))</f>
        <v>8.3000000000000004E-2</v>
      </c>
      <c r="AA723" s="80"/>
      <c r="AB723" s="80"/>
      <c r="AC723" s="737">
        <f ca="1">MAX(0%,IF(U723&lt;&gt;0,MIN((W723-U723)/U723/'Underwriting Risk'!$E$27,'Premium and Reserve Risk'!$AC$656),'Premium and Reserve Risk'!$AC$656))</f>
        <v>5.5E-2</v>
      </c>
      <c r="AD723" s="81"/>
      <c r="AE723" s="97"/>
      <c r="AF723" s="97"/>
      <c r="AG723" s="97"/>
      <c r="AH723" s="97"/>
    </row>
    <row r="724" spans="1:34" ht="13.5" customHeight="1" x14ac:dyDescent="0.25">
      <c r="A724" s="97"/>
      <c r="B724" s="257">
        <v>67</v>
      </c>
      <c r="C724" s="652"/>
      <c r="D724" s="80"/>
      <c r="E724" s="80"/>
      <c r="F724" s="258">
        <f t="shared" ca="1" si="24"/>
        <v>0</v>
      </c>
      <c r="G724" s="624"/>
      <c r="H724" s="85"/>
      <c r="I724" s="624"/>
      <c r="J724" s="85"/>
      <c r="K724" s="624"/>
      <c r="L724" s="85"/>
      <c r="M724" s="624"/>
      <c r="N724" s="85"/>
      <c r="O724" s="624"/>
      <c r="P724" s="85"/>
      <c r="Q724" s="626">
        <f t="shared" si="22"/>
        <v>0</v>
      </c>
      <c r="R724" s="85"/>
      <c r="S724" s="624"/>
      <c r="T724" s="260"/>
      <c r="U724" s="624"/>
      <c r="V724" s="85"/>
      <c r="W724" s="624"/>
      <c r="X724" s="81"/>
      <c r="Y724" s="80"/>
      <c r="Z724" s="737">
        <f ca="1">MAX(0%,IF(Q724&lt;&gt;0,MIN((S724-Q724)/Q724/'Underwriting Risk'!$E$27,'Premium and Reserve Risk'!$Z$656),'Premium and Reserve Risk'!$Z$656))</f>
        <v>8.3000000000000004E-2</v>
      </c>
      <c r="AA724" s="80"/>
      <c r="AB724" s="80"/>
      <c r="AC724" s="737">
        <f ca="1">MAX(0%,IF(U724&lt;&gt;0,MIN((W724-U724)/U724/'Underwriting Risk'!$E$27,'Premium and Reserve Risk'!$AC$656),'Premium and Reserve Risk'!$AC$656))</f>
        <v>5.5E-2</v>
      </c>
      <c r="AD724" s="81"/>
      <c r="AE724" s="97"/>
      <c r="AF724" s="97"/>
      <c r="AG724" s="97"/>
      <c r="AH724" s="97"/>
    </row>
    <row r="725" spans="1:34" ht="13.5" customHeight="1" x14ac:dyDescent="0.25">
      <c r="A725" s="97"/>
      <c r="B725" s="257">
        <v>68</v>
      </c>
      <c r="C725" s="652"/>
      <c r="D725" s="80"/>
      <c r="E725" s="80"/>
      <c r="F725" s="258">
        <f t="shared" ca="1" si="24"/>
        <v>0</v>
      </c>
      <c r="G725" s="624"/>
      <c r="H725" s="85"/>
      <c r="I725" s="624"/>
      <c r="J725" s="85"/>
      <c r="K725" s="624"/>
      <c r="L725" s="85"/>
      <c r="M725" s="624"/>
      <c r="N725" s="85"/>
      <c r="O725" s="624"/>
      <c r="P725" s="85"/>
      <c r="Q725" s="626">
        <f t="shared" si="22"/>
        <v>0</v>
      </c>
      <c r="R725" s="85"/>
      <c r="S725" s="624"/>
      <c r="T725" s="260"/>
      <c r="U725" s="624"/>
      <c r="V725" s="85"/>
      <c r="W725" s="624"/>
      <c r="X725" s="81"/>
      <c r="Y725" s="80"/>
      <c r="Z725" s="737">
        <f ca="1">MAX(0%,IF(Q725&lt;&gt;0,MIN((S725-Q725)/Q725/'Underwriting Risk'!$E$27,'Premium and Reserve Risk'!$Z$656),'Premium and Reserve Risk'!$Z$656))</f>
        <v>8.3000000000000004E-2</v>
      </c>
      <c r="AA725" s="80"/>
      <c r="AB725" s="80"/>
      <c r="AC725" s="737">
        <f ca="1">MAX(0%,IF(U725&lt;&gt;0,MIN((W725-U725)/U725/'Underwriting Risk'!$E$27,'Premium and Reserve Risk'!$AC$656),'Premium and Reserve Risk'!$AC$656))</f>
        <v>5.5E-2</v>
      </c>
      <c r="AD725" s="81"/>
      <c r="AE725" s="97"/>
      <c r="AF725" s="97"/>
      <c r="AG725" s="97"/>
      <c r="AH725" s="97"/>
    </row>
    <row r="726" spans="1:34" ht="13.5" customHeight="1" x14ac:dyDescent="0.25">
      <c r="A726" s="97"/>
      <c r="B726" s="257">
        <v>69</v>
      </c>
      <c r="C726" s="652"/>
      <c r="D726" s="80"/>
      <c r="E726" s="80"/>
      <c r="F726" s="258">
        <f t="shared" ca="1" si="24"/>
        <v>0</v>
      </c>
      <c r="G726" s="624"/>
      <c r="H726" s="85"/>
      <c r="I726" s="624"/>
      <c r="J726" s="85"/>
      <c r="K726" s="624"/>
      <c r="L726" s="85"/>
      <c r="M726" s="624"/>
      <c r="N726" s="85"/>
      <c r="O726" s="624"/>
      <c r="P726" s="85"/>
      <c r="Q726" s="626">
        <f t="shared" si="22"/>
        <v>0</v>
      </c>
      <c r="R726" s="85"/>
      <c r="S726" s="624"/>
      <c r="T726" s="260"/>
      <c r="U726" s="624"/>
      <c r="V726" s="85"/>
      <c r="W726" s="624"/>
      <c r="X726" s="81"/>
      <c r="Y726" s="80"/>
      <c r="Z726" s="737">
        <f ca="1">MAX(0%,IF(Q726&lt;&gt;0,MIN((S726-Q726)/Q726/'Underwriting Risk'!$E$27,'Premium and Reserve Risk'!$Z$656),'Premium and Reserve Risk'!$Z$656))</f>
        <v>8.3000000000000004E-2</v>
      </c>
      <c r="AA726" s="80"/>
      <c r="AB726" s="80"/>
      <c r="AC726" s="737">
        <f ca="1">MAX(0%,IF(U726&lt;&gt;0,MIN((W726-U726)/U726/'Underwriting Risk'!$E$27,'Premium and Reserve Risk'!$AC$656),'Premium and Reserve Risk'!$AC$656))</f>
        <v>5.5E-2</v>
      </c>
      <c r="AD726" s="81"/>
      <c r="AE726" s="97"/>
      <c r="AF726" s="97"/>
      <c r="AG726" s="97"/>
      <c r="AH726" s="97"/>
    </row>
    <row r="727" spans="1:34" ht="13.5" customHeight="1" x14ac:dyDescent="0.25">
      <c r="A727" s="97"/>
      <c r="B727" s="257">
        <v>70</v>
      </c>
      <c r="C727" s="652"/>
      <c r="D727" s="80"/>
      <c r="E727" s="80"/>
      <c r="F727" s="258">
        <f t="shared" ca="1" si="24"/>
        <v>0</v>
      </c>
      <c r="G727" s="624"/>
      <c r="H727" s="85"/>
      <c r="I727" s="624"/>
      <c r="J727" s="85"/>
      <c r="K727" s="624"/>
      <c r="L727" s="85"/>
      <c r="M727" s="624"/>
      <c r="N727" s="85"/>
      <c r="O727" s="624"/>
      <c r="P727" s="85"/>
      <c r="Q727" s="626">
        <f t="shared" si="22"/>
        <v>0</v>
      </c>
      <c r="R727" s="85"/>
      <c r="S727" s="624"/>
      <c r="T727" s="260"/>
      <c r="U727" s="624"/>
      <c r="V727" s="85"/>
      <c r="W727" s="624"/>
      <c r="X727" s="81"/>
      <c r="Y727" s="80"/>
      <c r="Z727" s="737">
        <f ca="1">MAX(0%,IF(Q727&lt;&gt;0,MIN((S727-Q727)/Q727/'Underwriting Risk'!$E$27,'Premium and Reserve Risk'!$Z$656),'Premium and Reserve Risk'!$Z$656))</f>
        <v>8.3000000000000004E-2</v>
      </c>
      <c r="AA727" s="80"/>
      <c r="AB727" s="80"/>
      <c r="AC727" s="737">
        <f ca="1">MAX(0%,IF(U727&lt;&gt;0,MIN((W727-U727)/U727/'Underwriting Risk'!$E$27,'Premium and Reserve Risk'!$AC$656),'Premium and Reserve Risk'!$AC$656))</f>
        <v>5.5E-2</v>
      </c>
      <c r="AD727" s="81"/>
      <c r="AE727" s="97"/>
      <c r="AF727" s="97"/>
      <c r="AG727" s="97"/>
      <c r="AH727" s="97"/>
    </row>
    <row r="728" spans="1:34" ht="13.5" customHeight="1" x14ac:dyDescent="0.25">
      <c r="A728" s="97"/>
      <c r="B728" s="257">
        <v>71</v>
      </c>
      <c r="C728" s="652"/>
      <c r="D728" s="80"/>
      <c r="E728" s="80"/>
      <c r="F728" s="258">
        <f t="shared" ca="1" si="24"/>
        <v>0</v>
      </c>
      <c r="G728" s="624"/>
      <c r="H728" s="85"/>
      <c r="I728" s="624"/>
      <c r="J728" s="85"/>
      <c r="K728" s="624"/>
      <c r="L728" s="85"/>
      <c r="M728" s="624"/>
      <c r="N728" s="85"/>
      <c r="O728" s="624"/>
      <c r="P728" s="85"/>
      <c r="Q728" s="626">
        <f t="shared" si="22"/>
        <v>0</v>
      </c>
      <c r="R728" s="85"/>
      <c r="S728" s="624"/>
      <c r="T728" s="260"/>
      <c r="U728" s="624"/>
      <c r="V728" s="85"/>
      <c r="W728" s="624"/>
      <c r="X728" s="81"/>
      <c r="Y728" s="80"/>
      <c r="Z728" s="737">
        <f ca="1">MAX(0%,IF(Q728&lt;&gt;0,MIN((S728-Q728)/Q728/'Underwriting Risk'!$E$27,'Premium and Reserve Risk'!$Z$656),'Premium and Reserve Risk'!$Z$656))</f>
        <v>8.3000000000000004E-2</v>
      </c>
      <c r="AA728" s="80"/>
      <c r="AB728" s="80"/>
      <c r="AC728" s="737">
        <f ca="1">MAX(0%,IF(U728&lt;&gt;0,MIN((W728-U728)/U728/'Underwriting Risk'!$E$27,'Premium and Reserve Risk'!$AC$656),'Premium and Reserve Risk'!$AC$656))</f>
        <v>5.5E-2</v>
      </c>
      <c r="AD728" s="81"/>
      <c r="AE728" s="97"/>
      <c r="AF728" s="97"/>
      <c r="AG728" s="97"/>
      <c r="AH728" s="97"/>
    </row>
    <row r="729" spans="1:34" ht="13.5" customHeight="1" x14ac:dyDescent="0.25">
      <c r="A729" s="97"/>
      <c r="B729" s="257">
        <v>72</v>
      </c>
      <c r="C729" s="652"/>
      <c r="D729" s="80"/>
      <c r="E729" s="80"/>
      <c r="F729" s="258">
        <f t="shared" ca="1" si="24"/>
        <v>0</v>
      </c>
      <c r="G729" s="624"/>
      <c r="H729" s="85"/>
      <c r="I729" s="624"/>
      <c r="J729" s="85"/>
      <c r="K729" s="624"/>
      <c r="L729" s="85"/>
      <c r="M729" s="624"/>
      <c r="N729" s="85"/>
      <c r="O729" s="624"/>
      <c r="P729" s="85"/>
      <c r="Q729" s="626">
        <f t="shared" si="22"/>
        <v>0</v>
      </c>
      <c r="R729" s="85"/>
      <c r="S729" s="624"/>
      <c r="T729" s="260"/>
      <c r="U729" s="624"/>
      <c r="V729" s="85"/>
      <c r="W729" s="624"/>
      <c r="X729" s="81"/>
      <c r="Y729" s="80"/>
      <c r="Z729" s="737">
        <f ca="1">MAX(0%,IF(Q729&lt;&gt;0,MIN((S729-Q729)/Q729/'Underwriting Risk'!$E$27,'Premium and Reserve Risk'!$Z$656),'Premium and Reserve Risk'!$Z$656))</f>
        <v>8.3000000000000004E-2</v>
      </c>
      <c r="AA729" s="80"/>
      <c r="AB729" s="80"/>
      <c r="AC729" s="737">
        <f ca="1">MAX(0%,IF(U729&lt;&gt;0,MIN((W729-U729)/U729/'Underwriting Risk'!$E$27,'Premium and Reserve Risk'!$AC$656),'Premium and Reserve Risk'!$AC$656))</f>
        <v>5.5E-2</v>
      </c>
      <c r="AD729" s="81"/>
      <c r="AE729" s="97"/>
      <c r="AF729" s="97"/>
      <c r="AG729" s="97"/>
      <c r="AH729" s="97"/>
    </row>
    <row r="730" spans="1:34" ht="13.5" customHeight="1" x14ac:dyDescent="0.25">
      <c r="A730" s="97"/>
      <c r="B730" s="257">
        <v>73</v>
      </c>
      <c r="C730" s="652"/>
      <c r="D730" s="80"/>
      <c r="E730" s="80"/>
      <c r="F730" s="258">
        <f t="shared" ca="1" si="24"/>
        <v>0</v>
      </c>
      <c r="G730" s="624"/>
      <c r="H730" s="85"/>
      <c r="I730" s="624"/>
      <c r="J730" s="85"/>
      <c r="K730" s="624"/>
      <c r="L730" s="85"/>
      <c r="M730" s="624"/>
      <c r="N730" s="85"/>
      <c r="O730" s="624"/>
      <c r="P730" s="85"/>
      <c r="Q730" s="626">
        <f t="shared" si="22"/>
        <v>0</v>
      </c>
      <c r="R730" s="85"/>
      <c r="S730" s="624"/>
      <c r="T730" s="260"/>
      <c r="U730" s="624"/>
      <c r="V730" s="85"/>
      <c r="W730" s="624"/>
      <c r="X730" s="81"/>
      <c r="Y730" s="80"/>
      <c r="Z730" s="737">
        <f ca="1">MAX(0%,IF(Q730&lt;&gt;0,MIN((S730-Q730)/Q730/'Underwriting Risk'!$E$27,'Premium and Reserve Risk'!$Z$656),'Premium and Reserve Risk'!$Z$656))</f>
        <v>8.3000000000000004E-2</v>
      </c>
      <c r="AA730" s="80"/>
      <c r="AB730" s="80"/>
      <c r="AC730" s="737">
        <f ca="1">MAX(0%,IF(U730&lt;&gt;0,MIN((W730-U730)/U730/'Underwriting Risk'!$E$27,'Premium and Reserve Risk'!$AC$656),'Premium and Reserve Risk'!$AC$656))</f>
        <v>5.5E-2</v>
      </c>
      <c r="AD730" s="81"/>
      <c r="AE730" s="97"/>
      <c r="AF730" s="97"/>
      <c r="AG730" s="97"/>
      <c r="AH730" s="97"/>
    </row>
    <row r="731" spans="1:34" ht="13.5" customHeight="1" x14ac:dyDescent="0.25">
      <c r="A731" s="97"/>
      <c r="B731" s="257">
        <v>74</v>
      </c>
      <c r="C731" s="652"/>
      <c r="D731" s="80"/>
      <c r="E731" s="80"/>
      <c r="F731" s="258">
        <f t="shared" ca="1" si="24"/>
        <v>0</v>
      </c>
      <c r="G731" s="624"/>
      <c r="H731" s="85"/>
      <c r="I731" s="624"/>
      <c r="J731" s="85"/>
      <c r="K731" s="624"/>
      <c r="L731" s="85"/>
      <c r="M731" s="624"/>
      <c r="N731" s="85"/>
      <c r="O731" s="624"/>
      <c r="P731" s="85"/>
      <c r="Q731" s="626">
        <f t="shared" si="22"/>
        <v>0</v>
      </c>
      <c r="R731" s="85"/>
      <c r="S731" s="624"/>
      <c r="T731" s="260"/>
      <c r="U731" s="624"/>
      <c r="V731" s="85"/>
      <c r="W731" s="624"/>
      <c r="X731" s="81"/>
      <c r="Y731" s="80"/>
      <c r="Z731" s="737">
        <f ca="1">MAX(0%,IF(Q731&lt;&gt;0,MIN((S731-Q731)/Q731/'Underwriting Risk'!$E$27,'Premium and Reserve Risk'!$Z$656),'Premium and Reserve Risk'!$Z$656))</f>
        <v>8.3000000000000004E-2</v>
      </c>
      <c r="AA731" s="80"/>
      <c r="AB731" s="80"/>
      <c r="AC731" s="737">
        <f ca="1">MAX(0%,IF(U731&lt;&gt;0,MIN((W731-U731)/U731/'Underwriting Risk'!$E$27,'Premium and Reserve Risk'!$AC$656),'Premium and Reserve Risk'!$AC$656))</f>
        <v>5.5E-2</v>
      </c>
      <c r="AD731" s="81"/>
      <c r="AE731" s="97"/>
      <c r="AF731" s="97"/>
      <c r="AG731" s="97"/>
      <c r="AH731" s="97"/>
    </row>
    <row r="732" spans="1:34" ht="13.5" customHeight="1" x14ac:dyDescent="0.25">
      <c r="A732" s="97"/>
      <c r="B732" s="257">
        <v>75</v>
      </c>
      <c r="C732" s="652"/>
      <c r="D732" s="80"/>
      <c r="E732" s="80"/>
      <c r="F732" s="258">
        <f t="shared" ca="1" si="24"/>
        <v>0</v>
      </c>
      <c r="G732" s="624"/>
      <c r="H732" s="85"/>
      <c r="I732" s="624"/>
      <c r="J732" s="85"/>
      <c r="K732" s="624"/>
      <c r="L732" s="85"/>
      <c r="M732" s="624"/>
      <c r="N732" s="85"/>
      <c r="O732" s="624"/>
      <c r="P732" s="85"/>
      <c r="Q732" s="626">
        <f t="shared" si="22"/>
        <v>0</v>
      </c>
      <c r="R732" s="85"/>
      <c r="S732" s="624"/>
      <c r="T732" s="260"/>
      <c r="U732" s="624"/>
      <c r="V732" s="85"/>
      <c r="W732" s="624"/>
      <c r="X732" s="81"/>
      <c r="Y732" s="80"/>
      <c r="Z732" s="737">
        <f ca="1">MAX(0%,IF(Q732&lt;&gt;0,MIN((S732-Q732)/Q732/'Underwriting Risk'!$E$27,'Premium and Reserve Risk'!$Z$656),'Premium and Reserve Risk'!$Z$656))</f>
        <v>8.3000000000000004E-2</v>
      </c>
      <c r="AA732" s="80"/>
      <c r="AB732" s="80"/>
      <c r="AC732" s="737">
        <f ca="1">MAX(0%,IF(U732&lt;&gt;0,MIN((W732-U732)/U732/'Underwriting Risk'!$E$27,'Premium and Reserve Risk'!$AC$656),'Premium and Reserve Risk'!$AC$656))</f>
        <v>5.5E-2</v>
      </c>
      <c r="AD732" s="81"/>
      <c r="AE732" s="97"/>
      <c r="AF732" s="97"/>
      <c r="AG732" s="97"/>
      <c r="AH732" s="97"/>
    </row>
    <row r="733" spans="1:34" ht="13.5" customHeight="1" x14ac:dyDescent="0.25">
      <c r="A733" s="97"/>
      <c r="B733" s="257">
        <v>76</v>
      </c>
      <c r="C733" s="652"/>
      <c r="D733" s="80"/>
      <c r="E733" s="80"/>
      <c r="F733" s="258">
        <f t="shared" ca="1" si="24"/>
        <v>0</v>
      </c>
      <c r="G733" s="624"/>
      <c r="H733" s="85"/>
      <c r="I733" s="624"/>
      <c r="J733" s="85"/>
      <c r="K733" s="624"/>
      <c r="L733" s="85"/>
      <c r="M733" s="624"/>
      <c r="N733" s="85"/>
      <c r="O733" s="624"/>
      <c r="P733" s="85"/>
      <c r="Q733" s="626">
        <f t="shared" si="22"/>
        <v>0</v>
      </c>
      <c r="R733" s="85"/>
      <c r="S733" s="624"/>
      <c r="T733" s="260"/>
      <c r="U733" s="624"/>
      <c r="V733" s="85"/>
      <c r="W733" s="624"/>
      <c r="X733" s="81"/>
      <c r="Y733" s="80"/>
      <c r="Z733" s="737">
        <f ca="1">MAX(0%,IF(Q733&lt;&gt;0,MIN((S733-Q733)/Q733/'Underwriting Risk'!$E$27,'Premium and Reserve Risk'!$Z$656),'Premium and Reserve Risk'!$Z$656))</f>
        <v>8.3000000000000004E-2</v>
      </c>
      <c r="AA733" s="80"/>
      <c r="AB733" s="80"/>
      <c r="AC733" s="737">
        <f ca="1">MAX(0%,IF(U733&lt;&gt;0,MIN((W733-U733)/U733/'Underwriting Risk'!$E$27,'Premium and Reserve Risk'!$AC$656),'Premium and Reserve Risk'!$AC$656))</f>
        <v>5.5E-2</v>
      </c>
      <c r="AD733" s="81"/>
      <c r="AE733" s="97"/>
      <c r="AF733" s="97"/>
      <c r="AG733" s="97"/>
      <c r="AH733" s="97"/>
    </row>
    <row r="734" spans="1:34" ht="13.5" customHeight="1" x14ac:dyDescent="0.25">
      <c r="A734" s="97"/>
      <c r="B734" s="257">
        <v>77</v>
      </c>
      <c r="C734" s="652"/>
      <c r="D734" s="80"/>
      <c r="E734" s="80"/>
      <c r="F734" s="258">
        <f t="shared" ca="1" si="24"/>
        <v>0</v>
      </c>
      <c r="G734" s="624"/>
      <c r="H734" s="85"/>
      <c r="I734" s="624"/>
      <c r="J734" s="85"/>
      <c r="K734" s="624"/>
      <c r="L734" s="85"/>
      <c r="M734" s="624"/>
      <c r="N734" s="85"/>
      <c r="O734" s="624"/>
      <c r="P734" s="85"/>
      <c r="Q734" s="626">
        <f t="shared" si="22"/>
        <v>0</v>
      </c>
      <c r="R734" s="85"/>
      <c r="S734" s="624"/>
      <c r="T734" s="260"/>
      <c r="U734" s="624"/>
      <c r="V734" s="85"/>
      <c r="W734" s="624"/>
      <c r="X734" s="81"/>
      <c r="Y734" s="80"/>
      <c r="Z734" s="737">
        <f ca="1">MAX(0%,IF(Q734&lt;&gt;0,MIN((S734-Q734)/Q734/'Underwriting Risk'!$E$27,'Premium and Reserve Risk'!$Z$656),'Premium and Reserve Risk'!$Z$656))</f>
        <v>8.3000000000000004E-2</v>
      </c>
      <c r="AA734" s="80"/>
      <c r="AB734" s="80"/>
      <c r="AC734" s="737">
        <f ca="1">MAX(0%,IF(U734&lt;&gt;0,MIN((W734-U734)/U734/'Underwriting Risk'!$E$27,'Premium and Reserve Risk'!$AC$656),'Premium and Reserve Risk'!$AC$656))</f>
        <v>5.5E-2</v>
      </c>
      <c r="AD734" s="81"/>
      <c r="AE734" s="97"/>
      <c r="AF734" s="97"/>
      <c r="AG734" s="97"/>
      <c r="AH734" s="97"/>
    </row>
    <row r="735" spans="1:34" ht="13.5" customHeight="1" x14ac:dyDescent="0.25">
      <c r="A735" s="97"/>
      <c r="B735" s="257">
        <v>78</v>
      </c>
      <c r="C735" s="652"/>
      <c r="D735" s="80"/>
      <c r="E735" s="80"/>
      <c r="F735" s="258">
        <f t="shared" ca="1" si="24"/>
        <v>0</v>
      </c>
      <c r="G735" s="624"/>
      <c r="H735" s="85"/>
      <c r="I735" s="624"/>
      <c r="J735" s="85"/>
      <c r="K735" s="624"/>
      <c r="L735" s="85"/>
      <c r="M735" s="624"/>
      <c r="N735" s="85"/>
      <c r="O735" s="624"/>
      <c r="P735" s="85"/>
      <c r="Q735" s="626">
        <f t="shared" si="22"/>
        <v>0</v>
      </c>
      <c r="R735" s="85"/>
      <c r="S735" s="624"/>
      <c r="T735" s="260"/>
      <c r="U735" s="624"/>
      <c r="V735" s="85"/>
      <c r="W735" s="624"/>
      <c r="X735" s="81"/>
      <c r="Y735" s="80"/>
      <c r="Z735" s="737">
        <f ca="1">MAX(0%,IF(Q735&lt;&gt;0,MIN((S735-Q735)/Q735/'Underwriting Risk'!$E$27,'Premium and Reserve Risk'!$Z$656),'Premium and Reserve Risk'!$Z$656))</f>
        <v>8.3000000000000004E-2</v>
      </c>
      <c r="AA735" s="80"/>
      <c r="AB735" s="80"/>
      <c r="AC735" s="737">
        <f ca="1">MAX(0%,IF(U735&lt;&gt;0,MIN((W735-U735)/U735/'Underwriting Risk'!$E$27,'Premium and Reserve Risk'!$AC$656),'Premium and Reserve Risk'!$AC$656))</f>
        <v>5.5E-2</v>
      </c>
      <c r="AD735" s="81"/>
      <c r="AE735" s="97"/>
      <c r="AF735" s="97"/>
      <c r="AG735" s="97"/>
      <c r="AH735" s="97"/>
    </row>
    <row r="736" spans="1:34" ht="13.5" customHeight="1" x14ac:dyDescent="0.25">
      <c r="A736" s="97"/>
      <c r="B736" s="257">
        <v>79</v>
      </c>
      <c r="C736" s="652"/>
      <c r="D736" s="80"/>
      <c r="E736" s="80"/>
      <c r="F736" s="258">
        <f t="shared" ca="1" si="24"/>
        <v>0</v>
      </c>
      <c r="G736" s="624"/>
      <c r="H736" s="85"/>
      <c r="I736" s="624"/>
      <c r="J736" s="85"/>
      <c r="K736" s="624"/>
      <c r="L736" s="85"/>
      <c r="M736" s="624"/>
      <c r="N736" s="85"/>
      <c r="O736" s="624"/>
      <c r="P736" s="85"/>
      <c r="Q736" s="626">
        <f t="shared" si="22"/>
        <v>0</v>
      </c>
      <c r="R736" s="85"/>
      <c r="S736" s="624"/>
      <c r="T736" s="260"/>
      <c r="U736" s="624"/>
      <c r="V736" s="85"/>
      <c r="W736" s="624"/>
      <c r="X736" s="81"/>
      <c r="Y736" s="80"/>
      <c r="Z736" s="737">
        <f ca="1">MAX(0%,IF(Q736&lt;&gt;0,MIN((S736-Q736)/Q736/'Underwriting Risk'!$E$27,'Premium and Reserve Risk'!$Z$656),'Premium and Reserve Risk'!$Z$656))</f>
        <v>8.3000000000000004E-2</v>
      </c>
      <c r="AA736" s="80"/>
      <c r="AB736" s="80"/>
      <c r="AC736" s="737">
        <f ca="1">MAX(0%,IF(U736&lt;&gt;0,MIN((W736-U736)/U736/'Underwriting Risk'!$E$27,'Premium and Reserve Risk'!$AC$656),'Premium and Reserve Risk'!$AC$656))</f>
        <v>5.5E-2</v>
      </c>
      <c r="AD736" s="81"/>
      <c r="AE736" s="97"/>
      <c r="AF736" s="97"/>
      <c r="AG736" s="97"/>
      <c r="AH736" s="97"/>
    </row>
    <row r="737" spans="1:34" ht="13.5" customHeight="1" x14ac:dyDescent="0.25">
      <c r="A737" s="97"/>
      <c r="B737" s="257">
        <v>80</v>
      </c>
      <c r="C737" s="652"/>
      <c r="D737" s="80"/>
      <c r="E737" s="80"/>
      <c r="F737" s="258">
        <f t="shared" ca="1" si="24"/>
        <v>0</v>
      </c>
      <c r="G737" s="624"/>
      <c r="H737" s="85"/>
      <c r="I737" s="624"/>
      <c r="J737" s="85"/>
      <c r="K737" s="624"/>
      <c r="L737" s="85"/>
      <c r="M737" s="624"/>
      <c r="N737" s="85"/>
      <c r="O737" s="624"/>
      <c r="P737" s="85"/>
      <c r="Q737" s="626">
        <f t="shared" si="22"/>
        <v>0</v>
      </c>
      <c r="R737" s="85"/>
      <c r="S737" s="624"/>
      <c r="T737" s="260"/>
      <c r="U737" s="624"/>
      <c r="V737" s="85"/>
      <c r="W737" s="624"/>
      <c r="X737" s="81"/>
      <c r="Y737" s="80"/>
      <c r="Z737" s="737">
        <f ca="1">MAX(0%,IF(Q737&lt;&gt;0,MIN((S737-Q737)/Q737/'Underwriting Risk'!$E$27,'Premium and Reserve Risk'!$Z$656),'Premium and Reserve Risk'!$Z$656))</f>
        <v>8.3000000000000004E-2</v>
      </c>
      <c r="AA737" s="80"/>
      <c r="AB737" s="80"/>
      <c r="AC737" s="737">
        <f ca="1">MAX(0%,IF(U737&lt;&gt;0,MIN((W737-U737)/U737/'Underwriting Risk'!$E$27,'Premium and Reserve Risk'!$AC$656),'Premium and Reserve Risk'!$AC$656))</f>
        <v>5.5E-2</v>
      </c>
      <c r="AD737" s="81"/>
      <c r="AE737" s="97"/>
      <c r="AF737" s="97"/>
      <c r="AG737" s="97"/>
      <c r="AH737" s="97"/>
    </row>
    <row r="738" spans="1:34" ht="13.5" customHeight="1" x14ac:dyDescent="0.25">
      <c r="A738" s="97"/>
      <c r="B738" s="257">
        <v>81</v>
      </c>
      <c r="C738" s="652"/>
      <c r="D738" s="80"/>
      <c r="E738" s="80"/>
      <c r="F738" s="258">
        <f t="shared" ca="1" si="24"/>
        <v>0</v>
      </c>
      <c r="G738" s="624"/>
      <c r="H738" s="85"/>
      <c r="I738" s="624"/>
      <c r="J738" s="85"/>
      <c r="K738" s="624"/>
      <c r="L738" s="85"/>
      <c r="M738" s="624"/>
      <c r="N738" s="85"/>
      <c r="O738" s="624"/>
      <c r="P738" s="85"/>
      <c r="Q738" s="626">
        <f t="shared" si="22"/>
        <v>0</v>
      </c>
      <c r="R738" s="85"/>
      <c r="S738" s="624"/>
      <c r="T738" s="260"/>
      <c r="U738" s="624"/>
      <c r="V738" s="85"/>
      <c r="W738" s="624"/>
      <c r="X738" s="81"/>
      <c r="Y738" s="80"/>
      <c r="Z738" s="737">
        <f ca="1">MAX(0%,IF(Q738&lt;&gt;0,MIN((S738-Q738)/Q738/'Underwriting Risk'!$E$27,'Premium and Reserve Risk'!$Z$656),'Premium and Reserve Risk'!$Z$656))</f>
        <v>8.3000000000000004E-2</v>
      </c>
      <c r="AA738" s="80"/>
      <c r="AB738" s="80"/>
      <c r="AC738" s="737">
        <f ca="1">MAX(0%,IF(U738&lt;&gt;0,MIN((W738-U738)/U738/'Underwriting Risk'!$E$27,'Premium and Reserve Risk'!$AC$656),'Premium and Reserve Risk'!$AC$656))</f>
        <v>5.5E-2</v>
      </c>
      <c r="AD738" s="81"/>
      <c r="AE738" s="97"/>
      <c r="AF738" s="97"/>
      <c r="AG738" s="97"/>
      <c r="AH738" s="97"/>
    </row>
    <row r="739" spans="1:34" ht="13.5" customHeight="1" x14ac:dyDescent="0.25">
      <c r="A739" s="97"/>
      <c r="B739" s="257">
        <v>82</v>
      </c>
      <c r="C739" s="652"/>
      <c r="D739" s="80"/>
      <c r="E739" s="80"/>
      <c r="F739" s="258">
        <f t="shared" ca="1" si="24"/>
        <v>0</v>
      </c>
      <c r="G739" s="624"/>
      <c r="H739" s="85"/>
      <c r="I739" s="624"/>
      <c r="J739" s="85"/>
      <c r="K739" s="624"/>
      <c r="L739" s="85"/>
      <c r="M739" s="624"/>
      <c r="N739" s="85"/>
      <c r="O739" s="624"/>
      <c r="P739" s="85"/>
      <c r="Q739" s="626">
        <f t="shared" si="22"/>
        <v>0</v>
      </c>
      <c r="R739" s="85"/>
      <c r="S739" s="624"/>
      <c r="T739" s="260"/>
      <c r="U739" s="624"/>
      <c r="V739" s="85"/>
      <c r="W739" s="624"/>
      <c r="X739" s="81"/>
      <c r="Y739" s="80"/>
      <c r="Z739" s="737">
        <f ca="1">MAX(0%,IF(Q739&lt;&gt;0,MIN((S739-Q739)/Q739/'Underwriting Risk'!$E$27,'Premium and Reserve Risk'!$Z$656),'Premium and Reserve Risk'!$Z$656))</f>
        <v>8.3000000000000004E-2</v>
      </c>
      <c r="AA739" s="80"/>
      <c r="AB739" s="80"/>
      <c r="AC739" s="737">
        <f ca="1">MAX(0%,IF(U739&lt;&gt;0,MIN((W739-U739)/U739/'Underwriting Risk'!$E$27,'Premium and Reserve Risk'!$AC$656),'Premium and Reserve Risk'!$AC$656))</f>
        <v>5.5E-2</v>
      </c>
      <c r="AD739" s="81"/>
      <c r="AE739" s="97"/>
      <c r="AF739" s="97"/>
      <c r="AG739" s="97"/>
      <c r="AH739" s="97"/>
    </row>
    <row r="740" spans="1:34" ht="13.5" customHeight="1" x14ac:dyDescent="0.25">
      <c r="A740" s="97"/>
      <c r="B740" s="257">
        <v>83</v>
      </c>
      <c r="C740" s="652"/>
      <c r="D740" s="80"/>
      <c r="E740" s="80"/>
      <c r="F740" s="258">
        <f t="shared" ca="1" si="24"/>
        <v>0</v>
      </c>
      <c r="G740" s="624"/>
      <c r="H740" s="85"/>
      <c r="I740" s="624"/>
      <c r="J740" s="85"/>
      <c r="K740" s="624"/>
      <c r="L740" s="85"/>
      <c r="M740" s="624"/>
      <c r="N740" s="85"/>
      <c r="O740" s="624"/>
      <c r="P740" s="85"/>
      <c r="Q740" s="626">
        <f t="shared" si="22"/>
        <v>0</v>
      </c>
      <c r="R740" s="85"/>
      <c r="S740" s="624"/>
      <c r="T740" s="260"/>
      <c r="U740" s="624"/>
      <c r="V740" s="85"/>
      <c r="W740" s="624"/>
      <c r="X740" s="81"/>
      <c r="Y740" s="80"/>
      <c r="Z740" s="737">
        <f ca="1">MAX(0%,IF(Q740&lt;&gt;0,MIN((S740-Q740)/Q740/'Underwriting Risk'!$E$27,'Premium and Reserve Risk'!$Z$656),'Premium and Reserve Risk'!$Z$656))</f>
        <v>8.3000000000000004E-2</v>
      </c>
      <c r="AA740" s="80"/>
      <c r="AB740" s="80"/>
      <c r="AC740" s="737">
        <f ca="1">MAX(0%,IF(U740&lt;&gt;0,MIN((W740-U740)/U740/'Underwriting Risk'!$E$27,'Premium and Reserve Risk'!$AC$656),'Premium and Reserve Risk'!$AC$656))</f>
        <v>5.5E-2</v>
      </c>
      <c r="AD740" s="81"/>
      <c r="AE740" s="97"/>
      <c r="AF740" s="97"/>
      <c r="AG740" s="97"/>
      <c r="AH740" s="97"/>
    </row>
    <row r="741" spans="1:34" ht="13.5" customHeight="1" x14ac:dyDescent="0.25">
      <c r="A741" s="97"/>
      <c r="B741" s="257">
        <v>84</v>
      </c>
      <c r="C741" s="652"/>
      <c r="D741" s="80"/>
      <c r="E741" s="80"/>
      <c r="F741" s="258">
        <f t="shared" ca="1" si="24"/>
        <v>0</v>
      </c>
      <c r="G741" s="624"/>
      <c r="H741" s="85"/>
      <c r="I741" s="624"/>
      <c r="J741" s="85"/>
      <c r="K741" s="624"/>
      <c r="L741" s="85"/>
      <c r="M741" s="624"/>
      <c r="N741" s="85"/>
      <c r="O741" s="624"/>
      <c r="P741" s="85"/>
      <c r="Q741" s="626">
        <f t="shared" si="22"/>
        <v>0</v>
      </c>
      <c r="R741" s="85"/>
      <c r="S741" s="624"/>
      <c r="T741" s="260"/>
      <c r="U741" s="624"/>
      <c r="V741" s="85"/>
      <c r="W741" s="624"/>
      <c r="X741" s="81"/>
      <c r="Y741" s="80"/>
      <c r="Z741" s="737">
        <f ca="1">MAX(0%,IF(Q741&lt;&gt;0,MIN((S741-Q741)/Q741/'Underwriting Risk'!$E$27,'Premium and Reserve Risk'!$Z$656),'Premium and Reserve Risk'!$Z$656))</f>
        <v>8.3000000000000004E-2</v>
      </c>
      <c r="AA741" s="80"/>
      <c r="AB741" s="80"/>
      <c r="AC741" s="737">
        <f ca="1">MAX(0%,IF(U741&lt;&gt;0,MIN((W741-U741)/U741/'Underwriting Risk'!$E$27,'Premium and Reserve Risk'!$AC$656),'Premium and Reserve Risk'!$AC$656))</f>
        <v>5.5E-2</v>
      </c>
      <c r="AD741" s="81"/>
      <c r="AE741" s="97"/>
      <c r="AF741" s="97"/>
      <c r="AG741" s="97"/>
      <c r="AH741" s="97"/>
    </row>
    <row r="742" spans="1:34" ht="13.5" customHeight="1" x14ac:dyDescent="0.25">
      <c r="A742" s="97"/>
      <c r="B742" s="257">
        <v>85</v>
      </c>
      <c r="C742" s="652"/>
      <c r="D742" s="80"/>
      <c r="E742" s="80"/>
      <c r="F742" s="258">
        <f t="shared" ca="1" si="24"/>
        <v>0</v>
      </c>
      <c r="G742" s="624"/>
      <c r="H742" s="85"/>
      <c r="I742" s="624"/>
      <c r="J742" s="85"/>
      <c r="K742" s="624"/>
      <c r="L742" s="85"/>
      <c r="M742" s="624"/>
      <c r="N742" s="85"/>
      <c r="O742" s="624"/>
      <c r="P742" s="85"/>
      <c r="Q742" s="626">
        <f t="shared" si="22"/>
        <v>0</v>
      </c>
      <c r="R742" s="85"/>
      <c r="S742" s="624"/>
      <c r="T742" s="260"/>
      <c r="U742" s="624"/>
      <c r="V742" s="85"/>
      <c r="W742" s="624"/>
      <c r="X742" s="81"/>
      <c r="Y742" s="80"/>
      <c r="Z742" s="737">
        <f ca="1">MAX(0%,IF(Q742&lt;&gt;0,MIN((S742-Q742)/Q742/'Underwriting Risk'!$E$27,'Premium and Reserve Risk'!$Z$656),'Premium and Reserve Risk'!$Z$656))</f>
        <v>8.3000000000000004E-2</v>
      </c>
      <c r="AA742" s="80"/>
      <c r="AB742" s="80"/>
      <c r="AC742" s="737">
        <f ca="1">MAX(0%,IF(U742&lt;&gt;0,MIN((W742-U742)/U742/'Underwriting Risk'!$E$27,'Premium and Reserve Risk'!$AC$656),'Premium and Reserve Risk'!$AC$656))</f>
        <v>5.5E-2</v>
      </c>
      <c r="AD742" s="81"/>
      <c r="AE742" s="97"/>
      <c r="AF742" s="97"/>
      <c r="AG742" s="97"/>
      <c r="AH742" s="97"/>
    </row>
    <row r="743" spans="1:34" ht="13.5" customHeight="1" x14ac:dyDescent="0.25">
      <c r="A743" s="97"/>
      <c r="B743" s="257">
        <v>86</v>
      </c>
      <c r="C743" s="652"/>
      <c r="D743" s="80"/>
      <c r="E743" s="80"/>
      <c r="F743" s="258">
        <f t="shared" ca="1" si="24"/>
        <v>0</v>
      </c>
      <c r="G743" s="624"/>
      <c r="H743" s="85"/>
      <c r="I743" s="624"/>
      <c r="J743" s="85"/>
      <c r="K743" s="624"/>
      <c r="L743" s="85"/>
      <c r="M743" s="624"/>
      <c r="N743" s="85"/>
      <c r="O743" s="624"/>
      <c r="P743" s="85"/>
      <c r="Q743" s="626">
        <f t="shared" si="22"/>
        <v>0</v>
      </c>
      <c r="R743" s="85"/>
      <c r="S743" s="624"/>
      <c r="T743" s="260"/>
      <c r="U743" s="624"/>
      <c r="V743" s="85"/>
      <c r="W743" s="624"/>
      <c r="X743" s="81"/>
      <c r="Y743" s="80"/>
      <c r="Z743" s="737">
        <f ca="1">MAX(0%,IF(Q743&lt;&gt;0,MIN((S743-Q743)/Q743/'Underwriting Risk'!$E$27,'Premium and Reserve Risk'!$Z$656),'Premium and Reserve Risk'!$Z$656))</f>
        <v>8.3000000000000004E-2</v>
      </c>
      <c r="AA743" s="80"/>
      <c r="AB743" s="80"/>
      <c r="AC743" s="737">
        <f ca="1">MAX(0%,IF(U743&lt;&gt;0,MIN((W743-U743)/U743/'Underwriting Risk'!$E$27,'Premium and Reserve Risk'!$AC$656),'Premium and Reserve Risk'!$AC$656))</f>
        <v>5.5E-2</v>
      </c>
      <c r="AD743" s="81"/>
      <c r="AE743" s="97"/>
      <c r="AF743" s="97"/>
      <c r="AG743" s="97"/>
      <c r="AH743" s="97"/>
    </row>
    <row r="744" spans="1:34" ht="13.5" customHeight="1" x14ac:dyDescent="0.25">
      <c r="A744" s="97"/>
      <c r="B744" s="257">
        <v>87</v>
      </c>
      <c r="C744" s="652"/>
      <c r="D744" s="80"/>
      <c r="E744" s="80"/>
      <c r="F744" s="258">
        <f t="shared" ca="1" si="24"/>
        <v>0</v>
      </c>
      <c r="G744" s="624"/>
      <c r="H744" s="85"/>
      <c r="I744" s="624"/>
      <c r="J744" s="85"/>
      <c r="K744" s="624"/>
      <c r="L744" s="85"/>
      <c r="M744" s="624"/>
      <c r="N744" s="85"/>
      <c r="O744" s="624"/>
      <c r="P744" s="85"/>
      <c r="Q744" s="626">
        <f t="shared" si="22"/>
        <v>0</v>
      </c>
      <c r="R744" s="85"/>
      <c r="S744" s="624"/>
      <c r="T744" s="260"/>
      <c r="U744" s="624"/>
      <c r="V744" s="85"/>
      <c r="W744" s="624"/>
      <c r="X744" s="81"/>
      <c r="Y744" s="80"/>
      <c r="Z744" s="737">
        <f ca="1">MAX(0%,IF(Q744&lt;&gt;0,MIN((S744-Q744)/Q744/'Underwriting Risk'!$E$27,'Premium and Reserve Risk'!$Z$656),'Premium and Reserve Risk'!$Z$656))</f>
        <v>8.3000000000000004E-2</v>
      </c>
      <c r="AA744" s="80"/>
      <c r="AB744" s="80"/>
      <c r="AC744" s="737">
        <f ca="1">MAX(0%,IF(U744&lt;&gt;0,MIN((W744-U744)/U744/'Underwriting Risk'!$E$27,'Premium and Reserve Risk'!$AC$656),'Premium and Reserve Risk'!$AC$656))</f>
        <v>5.5E-2</v>
      </c>
      <c r="AD744" s="81"/>
      <c r="AE744" s="97"/>
      <c r="AF744" s="97"/>
      <c r="AG744" s="97"/>
      <c r="AH744" s="97"/>
    </row>
    <row r="745" spans="1:34" ht="13.5" customHeight="1" x14ac:dyDescent="0.25">
      <c r="A745" s="97"/>
      <c r="B745" s="257">
        <v>88</v>
      </c>
      <c r="C745" s="652"/>
      <c r="D745" s="80"/>
      <c r="E745" s="80"/>
      <c r="F745" s="258">
        <f t="shared" ca="1" si="24"/>
        <v>0</v>
      </c>
      <c r="G745" s="624"/>
      <c r="H745" s="85"/>
      <c r="I745" s="624"/>
      <c r="J745" s="85"/>
      <c r="K745" s="624"/>
      <c r="L745" s="85"/>
      <c r="M745" s="624"/>
      <c r="N745" s="85"/>
      <c r="O745" s="624"/>
      <c r="P745" s="85"/>
      <c r="Q745" s="626">
        <f t="shared" si="22"/>
        <v>0</v>
      </c>
      <c r="R745" s="85"/>
      <c r="S745" s="624"/>
      <c r="T745" s="260"/>
      <c r="U745" s="624"/>
      <c r="V745" s="85"/>
      <c r="W745" s="624"/>
      <c r="X745" s="81"/>
      <c r="Y745" s="80"/>
      <c r="Z745" s="737">
        <f ca="1">MAX(0%,IF(Q745&lt;&gt;0,MIN((S745-Q745)/Q745/'Underwriting Risk'!$E$27,'Premium and Reserve Risk'!$Z$656),'Premium and Reserve Risk'!$Z$656))</f>
        <v>8.3000000000000004E-2</v>
      </c>
      <c r="AA745" s="80"/>
      <c r="AB745" s="80"/>
      <c r="AC745" s="737">
        <f ca="1">MAX(0%,IF(U745&lt;&gt;0,MIN((W745-U745)/U745/'Underwriting Risk'!$E$27,'Premium and Reserve Risk'!$AC$656),'Premium and Reserve Risk'!$AC$656))</f>
        <v>5.5E-2</v>
      </c>
      <c r="AD745" s="81"/>
      <c r="AE745" s="97"/>
      <c r="AF745" s="97"/>
      <c r="AG745" s="97"/>
      <c r="AH745" s="97"/>
    </row>
    <row r="746" spans="1:34" ht="13.5" customHeight="1" x14ac:dyDescent="0.25">
      <c r="A746" s="97"/>
      <c r="B746" s="257">
        <v>89</v>
      </c>
      <c r="C746" s="652"/>
      <c r="D746" s="80"/>
      <c r="E746" s="80"/>
      <c r="F746" s="258">
        <f t="shared" ca="1" si="24"/>
        <v>0</v>
      </c>
      <c r="G746" s="624"/>
      <c r="H746" s="85"/>
      <c r="I746" s="624"/>
      <c r="J746" s="85"/>
      <c r="K746" s="624"/>
      <c r="L746" s="85"/>
      <c r="M746" s="624"/>
      <c r="N746" s="85"/>
      <c r="O746" s="624"/>
      <c r="P746" s="85"/>
      <c r="Q746" s="626">
        <f t="shared" si="22"/>
        <v>0</v>
      </c>
      <c r="R746" s="85"/>
      <c r="S746" s="624"/>
      <c r="T746" s="260"/>
      <c r="U746" s="624"/>
      <c r="V746" s="85"/>
      <c r="W746" s="624"/>
      <c r="X746" s="81"/>
      <c r="Y746" s="80"/>
      <c r="Z746" s="737">
        <f ca="1">MAX(0%,IF(Q746&lt;&gt;0,MIN((S746-Q746)/Q746/'Underwriting Risk'!$E$27,'Premium and Reserve Risk'!$Z$656),'Premium and Reserve Risk'!$Z$656))</f>
        <v>8.3000000000000004E-2</v>
      </c>
      <c r="AA746" s="80"/>
      <c r="AB746" s="80"/>
      <c r="AC746" s="737">
        <f ca="1">MAX(0%,IF(U746&lt;&gt;0,MIN((W746-U746)/U746/'Underwriting Risk'!$E$27,'Premium and Reserve Risk'!$AC$656),'Premium and Reserve Risk'!$AC$656))</f>
        <v>5.5E-2</v>
      </c>
      <c r="AD746" s="81"/>
      <c r="AE746" s="97"/>
      <c r="AF746" s="97"/>
      <c r="AG746" s="97"/>
      <c r="AH746" s="97"/>
    </row>
    <row r="747" spans="1:34" ht="13.5" customHeight="1" x14ac:dyDescent="0.25">
      <c r="A747" s="97"/>
      <c r="B747" s="257">
        <v>90</v>
      </c>
      <c r="C747" s="652"/>
      <c r="D747" s="80"/>
      <c r="E747" s="80"/>
      <c r="F747" s="258">
        <f t="shared" ca="1" si="24"/>
        <v>0</v>
      </c>
      <c r="G747" s="624"/>
      <c r="H747" s="85"/>
      <c r="I747" s="624"/>
      <c r="J747" s="85"/>
      <c r="K747" s="624"/>
      <c r="L747" s="85"/>
      <c r="M747" s="624"/>
      <c r="N747" s="85"/>
      <c r="O747" s="624"/>
      <c r="P747" s="85"/>
      <c r="Q747" s="626">
        <f t="shared" si="22"/>
        <v>0</v>
      </c>
      <c r="R747" s="85"/>
      <c r="S747" s="624"/>
      <c r="T747" s="260"/>
      <c r="U747" s="624"/>
      <c r="V747" s="85"/>
      <c r="W747" s="624"/>
      <c r="X747" s="81"/>
      <c r="Y747" s="80"/>
      <c r="Z747" s="737">
        <f ca="1">MAX(0%,IF(Q747&lt;&gt;0,MIN((S747-Q747)/Q747/'Underwriting Risk'!$E$27,'Premium and Reserve Risk'!$Z$656),'Premium and Reserve Risk'!$Z$656))</f>
        <v>8.3000000000000004E-2</v>
      </c>
      <c r="AA747" s="80"/>
      <c r="AB747" s="80"/>
      <c r="AC747" s="737">
        <f ca="1">MAX(0%,IF(U747&lt;&gt;0,MIN((W747-U747)/U747/'Underwriting Risk'!$E$27,'Premium and Reserve Risk'!$AC$656),'Premium and Reserve Risk'!$AC$656))</f>
        <v>5.5E-2</v>
      </c>
      <c r="AD747" s="81"/>
      <c r="AE747" s="97"/>
      <c r="AF747" s="97"/>
      <c r="AG747" s="97"/>
      <c r="AH747" s="97"/>
    </row>
    <row r="748" spans="1:34" ht="13.5" customHeight="1" x14ac:dyDescent="0.25">
      <c r="A748" s="97"/>
      <c r="B748" s="257">
        <v>91</v>
      </c>
      <c r="C748" s="652"/>
      <c r="D748" s="80"/>
      <c r="E748" s="80"/>
      <c r="F748" s="258">
        <f t="shared" ca="1" si="24"/>
        <v>0</v>
      </c>
      <c r="G748" s="624"/>
      <c r="H748" s="85"/>
      <c r="I748" s="624"/>
      <c r="J748" s="85"/>
      <c r="K748" s="624"/>
      <c r="L748" s="85"/>
      <c r="M748" s="624"/>
      <c r="N748" s="85"/>
      <c r="O748" s="624"/>
      <c r="P748" s="85"/>
      <c r="Q748" s="626">
        <f t="shared" si="22"/>
        <v>0</v>
      </c>
      <c r="R748" s="85"/>
      <c r="S748" s="624"/>
      <c r="T748" s="260"/>
      <c r="U748" s="624"/>
      <c r="V748" s="85"/>
      <c r="W748" s="624"/>
      <c r="X748" s="81"/>
      <c r="Y748" s="80"/>
      <c r="Z748" s="737">
        <f ca="1">MAX(0%,IF(Q748&lt;&gt;0,MIN((S748-Q748)/Q748/'Underwriting Risk'!$E$27,'Premium and Reserve Risk'!$Z$656),'Premium and Reserve Risk'!$Z$656))</f>
        <v>8.3000000000000004E-2</v>
      </c>
      <c r="AA748" s="80"/>
      <c r="AB748" s="80"/>
      <c r="AC748" s="737">
        <f ca="1">MAX(0%,IF(U748&lt;&gt;0,MIN((W748-U748)/U748/'Underwriting Risk'!$E$27,'Premium and Reserve Risk'!$AC$656),'Premium and Reserve Risk'!$AC$656))</f>
        <v>5.5E-2</v>
      </c>
      <c r="AD748" s="81"/>
      <c r="AE748" s="97"/>
      <c r="AF748" s="97"/>
      <c r="AG748" s="97"/>
      <c r="AH748" s="97"/>
    </row>
    <row r="749" spans="1:34" ht="13.5" customHeight="1" x14ac:dyDescent="0.25">
      <c r="A749" s="97"/>
      <c r="B749" s="257">
        <v>92</v>
      </c>
      <c r="C749" s="652"/>
      <c r="D749" s="80"/>
      <c r="E749" s="80"/>
      <c r="F749" s="258">
        <f t="shared" ca="1" si="24"/>
        <v>0</v>
      </c>
      <c r="G749" s="624"/>
      <c r="H749" s="85"/>
      <c r="I749" s="624"/>
      <c r="J749" s="85"/>
      <c r="K749" s="624"/>
      <c r="L749" s="85"/>
      <c r="M749" s="624"/>
      <c r="N749" s="85"/>
      <c r="O749" s="624"/>
      <c r="P749" s="85"/>
      <c r="Q749" s="626">
        <f t="shared" si="22"/>
        <v>0</v>
      </c>
      <c r="R749" s="85"/>
      <c r="S749" s="624"/>
      <c r="T749" s="260"/>
      <c r="U749" s="624"/>
      <c r="V749" s="85"/>
      <c r="W749" s="624"/>
      <c r="X749" s="81"/>
      <c r="Y749" s="80"/>
      <c r="Z749" s="737">
        <f ca="1">MAX(0%,IF(Q749&lt;&gt;0,MIN((S749-Q749)/Q749/'Underwriting Risk'!$E$27,'Premium and Reserve Risk'!$Z$656),'Premium and Reserve Risk'!$Z$656))</f>
        <v>8.3000000000000004E-2</v>
      </c>
      <c r="AA749" s="80"/>
      <c r="AB749" s="80"/>
      <c r="AC749" s="737">
        <f ca="1">MAX(0%,IF(U749&lt;&gt;0,MIN((W749-U749)/U749/'Underwriting Risk'!$E$27,'Premium and Reserve Risk'!$AC$656),'Premium and Reserve Risk'!$AC$656))</f>
        <v>5.5E-2</v>
      </c>
      <c r="AD749" s="81"/>
      <c r="AE749" s="97"/>
      <c r="AF749" s="97"/>
      <c r="AG749" s="97"/>
      <c r="AH749" s="97"/>
    </row>
    <row r="750" spans="1:34" ht="13.5" customHeight="1" x14ac:dyDescent="0.25">
      <c r="A750" s="97"/>
      <c r="B750" s="257">
        <v>93</v>
      </c>
      <c r="C750" s="652"/>
      <c r="D750" s="80"/>
      <c r="E750" s="80"/>
      <c r="F750" s="258">
        <f t="shared" ca="1" si="24"/>
        <v>0</v>
      </c>
      <c r="G750" s="624"/>
      <c r="H750" s="85"/>
      <c r="I750" s="624"/>
      <c r="J750" s="85"/>
      <c r="K750" s="624"/>
      <c r="L750" s="85"/>
      <c r="M750" s="624"/>
      <c r="N750" s="85"/>
      <c r="O750" s="624"/>
      <c r="P750" s="85"/>
      <c r="Q750" s="626">
        <f t="shared" si="22"/>
        <v>0</v>
      </c>
      <c r="R750" s="85"/>
      <c r="S750" s="624"/>
      <c r="T750" s="260"/>
      <c r="U750" s="624"/>
      <c r="V750" s="85"/>
      <c r="W750" s="624"/>
      <c r="X750" s="81"/>
      <c r="Y750" s="80"/>
      <c r="Z750" s="737">
        <f ca="1">MAX(0%,IF(Q750&lt;&gt;0,MIN((S750-Q750)/Q750/'Underwriting Risk'!$E$27,'Premium and Reserve Risk'!$Z$656),'Premium and Reserve Risk'!$Z$656))</f>
        <v>8.3000000000000004E-2</v>
      </c>
      <c r="AA750" s="80"/>
      <c r="AB750" s="80"/>
      <c r="AC750" s="737">
        <f ca="1">MAX(0%,IF(U750&lt;&gt;0,MIN((W750-U750)/U750/'Underwriting Risk'!$E$27,'Premium and Reserve Risk'!$AC$656),'Premium and Reserve Risk'!$AC$656))</f>
        <v>5.5E-2</v>
      </c>
      <c r="AD750" s="81"/>
      <c r="AE750" s="97"/>
      <c r="AF750" s="97"/>
      <c r="AG750" s="97"/>
      <c r="AH750" s="97"/>
    </row>
    <row r="751" spans="1:34" ht="13.5" customHeight="1" x14ac:dyDescent="0.25">
      <c r="A751" s="97"/>
      <c r="B751" s="257">
        <v>94</v>
      </c>
      <c r="C751" s="652"/>
      <c r="D751" s="80"/>
      <c r="E751" s="80"/>
      <c r="F751" s="258">
        <f t="shared" ca="1" si="24"/>
        <v>0</v>
      </c>
      <c r="G751" s="624"/>
      <c r="H751" s="85"/>
      <c r="I751" s="624"/>
      <c r="J751" s="85"/>
      <c r="K751" s="624"/>
      <c r="L751" s="85"/>
      <c r="M751" s="624"/>
      <c r="N751" s="85"/>
      <c r="O751" s="624"/>
      <c r="P751" s="85"/>
      <c r="Q751" s="626">
        <f t="shared" si="22"/>
        <v>0</v>
      </c>
      <c r="R751" s="85"/>
      <c r="S751" s="624"/>
      <c r="T751" s="260"/>
      <c r="U751" s="624"/>
      <c r="V751" s="85"/>
      <c r="W751" s="624"/>
      <c r="X751" s="81"/>
      <c r="Y751" s="80"/>
      <c r="Z751" s="737">
        <f ca="1">MAX(0%,IF(Q751&lt;&gt;0,MIN((S751-Q751)/Q751/'Underwriting Risk'!$E$27,'Premium and Reserve Risk'!$Z$656),'Premium and Reserve Risk'!$Z$656))</f>
        <v>8.3000000000000004E-2</v>
      </c>
      <c r="AA751" s="80"/>
      <c r="AB751" s="80"/>
      <c r="AC751" s="737">
        <f ca="1">MAX(0%,IF(U751&lt;&gt;0,MIN((W751-U751)/U751/'Underwriting Risk'!$E$27,'Premium and Reserve Risk'!$AC$656),'Premium and Reserve Risk'!$AC$656))</f>
        <v>5.5E-2</v>
      </c>
      <c r="AD751" s="81"/>
      <c r="AE751" s="97"/>
      <c r="AF751" s="97"/>
      <c r="AG751" s="97"/>
      <c r="AH751" s="97"/>
    </row>
    <row r="752" spans="1:34" ht="13.5" customHeight="1" x14ac:dyDescent="0.25">
      <c r="A752" s="97"/>
      <c r="B752" s="257">
        <v>95</v>
      </c>
      <c r="C752" s="652"/>
      <c r="D752" s="80"/>
      <c r="E752" s="80"/>
      <c r="F752" s="258">
        <f t="shared" ca="1" si="24"/>
        <v>0</v>
      </c>
      <c r="G752" s="624"/>
      <c r="H752" s="85"/>
      <c r="I752" s="624"/>
      <c r="J752" s="85"/>
      <c r="K752" s="624"/>
      <c r="L752" s="85"/>
      <c r="M752" s="624"/>
      <c r="N752" s="85"/>
      <c r="O752" s="624"/>
      <c r="P752" s="85"/>
      <c r="Q752" s="626">
        <f t="shared" si="22"/>
        <v>0</v>
      </c>
      <c r="R752" s="85"/>
      <c r="S752" s="624"/>
      <c r="T752" s="260"/>
      <c r="U752" s="624"/>
      <c r="V752" s="85"/>
      <c r="W752" s="624"/>
      <c r="X752" s="81"/>
      <c r="Y752" s="80"/>
      <c r="Z752" s="737">
        <f ca="1">MAX(0%,IF(Q752&lt;&gt;0,MIN((S752-Q752)/Q752/'Underwriting Risk'!$E$27,'Premium and Reserve Risk'!$Z$656),'Premium and Reserve Risk'!$Z$656))</f>
        <v>8.3000000000000004E-2</v>
      </c>
      <c r="AA752" s="80"/>
      <c r="AB752" s="80"/>
      <c r="AC752" s="737">
        <f ca="1">MAX(0%,IF(U752&lt;&gt;0,MIN((W752-U752)/U752/'Underwriting Risk'!$E$27,'Premium and Reserve Risk'!$AC$656),'Premium and Reserve Risk'!$AC$656))</f>
        <v>5.5E-2</v>
      </c>
      <c r="AD752" s="81"/>
      <c r="AE752" s="97"/>
      <c r="AF752" s="97"/>
      <c r="AG752" s="97"/>
      <c r="AH752" s="97"/>
    </row>
    <row r="753" spans="1:34" ht="13.5" customHeight="1" x14ac:dyDescent="0.25">
      <c r="A753" s="97"/>
      <c r="B753" s="257">
        <v>96</v>
      </c>
      <c r="C753" s="652"/>
      <c r="D753" s="80"/>
      <c r="E753" s="80"/>
      <c r="F753" s="258">
        <f t="shared" ca="1" si="24"/>
        <v>0</v>
      </c>
      <c r="G753" s="624"/>
      <c r="H753" s="85"/>
      <c r="I753" s="624"/>
      <c r="J753" s="85"/>
      <c r="K753" s="624"/>
      <c r="L753" s="85"/>
      <c r="M753" s="624"/>
      <c r="N753" s="85"/>
      <c r="O753" s="624"/>
      <c r="P753" s="85"/>
      <c r="Q753" s="626">
        <f t="shared" si="22"/>
        <v>0</v>
      </c>
      <c r="R753" s="85"/>
      <c r="S753" s="624"/>
      <c r="T753" s="260"/>
      <c r="U753" s="624"/>
      <c r="V753" s="85"/>
      <c r="W753" s="624"/>
      <c r="X753" s="81"/>
      <c r="Y753" s="80"/>
      <c r="Z753" s="737">
        <f ca="1">MAX(0%,IF(Q753&lt;&gt;0,MIN((S753-Q753)/Q753/'Underwriting Risk'!$E$27,'Premium and Reserve Risk'!$Z$656),'Premium and Reserve Risk'!$Z$656))</f>
        <v>8.3000000000000004E-2</v>
      </c>
      <c r="AA753" s="80"/>
      <c r="AB753" s="80"/>
      <c r="AC753" s="737">
        <f ca="1">MAX(0%,IF(U753&lt;&gt;0,MIN((W753-U753)/U753/'Underwriting Risk'!$E$27,'Premium and Reserve Risk'!$AC$656),'Premium and Reserve Risk'!$AC$656))</f>
        <v>5.5E-2</v>
      </c>
      <c r="AD753" s="81"/>
      <c r="AE753" s="97"/>
      <c r="AF753" s="97"/>
      <c r="AG753" s="97"/>
      <c r="AH753" s="97"/>
    </row>
    <row r="754" spans="1:34" ht="13.5" customHeight="1" x14ac:dyDescent="0.25">
      <c r="A754" s="97"/>
      <c r="B754" s="257">
        <v>97</v>
      </c>
      <c r="C754" s="652"/>
      <c r="D754" s="80"/>
      <c r="E754" s="80"/>
      <c r="F754" s="258">
        <f t="shared" ca="1" si="24"/>
        <v>0</v>
      </c>
      <c r="G754" s="624"/>
      <c r="H754" s="85"/>
      <c r="I754" s="624"/>
      <c r="J754" s="85"/>
      <c r="K754" s="624"/>
      <c r="L754" s="85"/>
      <c r="M754" s="624"/>
      <c r="N754" s="85"/>
      <c r="O754" s="624"/>
      <c r="P754" s="85"/>
      <c r="Q754" s="626">
        <f t="shared" si="22"/>
        <v>0</v>
      </c>
      <c r="R754" s="85"/>
      <c r="S754" s="624"/>
      <c r="T754" s="260"/>
      <c r="U754" s="624"/>
      <c r="V754" s="85"/>
      <c r="W754" s="624"/>
      <c r="X754" s="81"/>
      <c r="Y754" s="80"/>
      <c r="Z754" s="737">
        <f ca="1">MAX(0%,IF(Q754&lt;&gt;0,MIN((S754-Q754)/Q754/'Underwriting Risk'!$E$27,'Premium and Reserve Risk'!$Z$656),'Premium and Reserve Risk'!$Z$656))</f>
        <v>8.3000000000000004E-2</v>
      </c>
      <c r="AA754" s="80"/>
      <c r="AB754" s="80"/>
      <c r="AC754" s="737">
        <f ca="1">MAX(0%,IF(U754&lt;&gt;0,MIN((W754-U754)/U754/'Underwriting Risk'!$E$27,'Premium and Reserve Risk'!$AC$656),'Premium and Reserve Risk'!$AC$656))</f>
        <v>5.5E-2</v>
      </c>
      <c r="AD754" s="81"/>
      <c r="AE754" s="97"/>
      <c r="AF754" s="97"/>
      <c r="AG754" s="97"/>
      <c r="AH754" s="97"/>
    </row>
    <row r="755" spans="1:34" ht="13.5" customHeight="1" x14ac:dyDescent="0.25">
      <c r="A755" s="97"/>
      <c r="B755" s="257">
        <v>98</v>
      </c>
      <c r="C755" s="652"/>
      <c r="D755" s="80"/>
      <c r="E755" s="80"/>
      <c r="F755" s="258">
        <f t="shared" ca="1" si="24"/>
        <v>0</v>
      </c>
      <c r="G755" s="624"/>
      <c r="H755" s="85"/>
      <c r="I755" s="624"/>
      <c r="J755" s="85"/>
      <c r="K755" s="624"/>
      <c r="L755" s="85"/>
      <c r="M755" s="624"/>
      <c r="N755" s="85"/>
      <c r="O755" s="624"/>
      <c r="P755" s="85"/>
      <c r="Q755" s="626">
        <f t="shared" si="22"/>
        <v>0</v>
      </c>
      <c r="R755" s="85"/>
      <c r="S755" s="624"/>
      <c r="T755" s="260"/>
      <c r="U755" s="624"/>
      <c r="V755" s="85"/>
      <c r="W755" s="624"/>
      <c r="X755" s="81"/>
      <c r="Y755" s="80"/>
      <c r="Z755" s="737">
        <f ca="1">MAX(0%,IF(Q755&lt;&gt;0,MIN((S755-Q755)/Q755/'Underwriting Risk'!$E$27,'Premium and Reserve Risk'!$Z$656),'Premium and Reserve Risk'!$Z$656))</f>
        <v>8.3000000000000004E-2</v>
      </c>
      <c r="AA755" s="80"/>
      <c r="AB755" s="80"/>
      <c r="AC755" s="737">
        <f ca="1">MAX(0%,IF(U755&lt;&gt;0,MIN((W755-U755)/U755/'Underwriting Risk'!$E$27,'Premium and Reserve Risk'!$AC$656),'Premium and Reserve Risk'!$AC$656))</f>
        <v>5.5E-2</v>
      </c>
      <c r="AD755" s="81"/>
      <c r="AE755" s="97"/>
      <c r="AF755" s="97"/>
      <c r="AG755" s="97"/>
      <c r="AH755" s="97"/>
    </row>
    <row r="756" spans="1:34" ht="13.5" customHeight="1" x14ac:dyDescent="0.25">
      <c r="A756" s="97"/>
      <c r="B756" s="257">
        <v>99</v>
      </c>
      <c r="C756" s="652"/>
      <c r="D756" s="80"/>
      <c r="E756" s="80"/>
      <c r="F756" s="258">
        <f t="shared" ca="1" si="24"/>
        <v>0</v>
      </c>
      <c r="G756" s="624"/>
      <c r="H756" s="85"/>
      <c r="I756" s="624"/>
      <c r="J756" s="85"/>
      <c r="K756" s="624"/>
      <c r="L756" s="85"/>
      <c r="M756" s="624"/>
      <c r="N756" s="85"/>
      <c r="O756" s="624"/>
      <c r="P756" s="85"/>
      <c r="Q756" s="626">
        <f t="shared" si="22"/>
        <v>0</v>
      </c>
      <c r="R756" s="85"/>
      <c r="S756" s="624"/>
      <c r="T756" s="260"/>
      <c r="U756" s="624"/>
      <c r="V756" s="85"/>
      <c r="W756" s="624"/>
      <c r="X756" s="81"/>
      <c r="Y756" s="80"/>
      <c r="Z756" s="737">
        <f ca="1">MAX(0%,IF(Q756&lt;&gt;0,MIN((S756-Q756)/Q756/'Underwriting Risk'!$E$27,'Premium and Reserve Risk'!$Z$656),'Premium and Reserve Risk'!$Z$656))</f>
        <v>8.3000000000000004E-2</v>
      </c>
      <c r="AA756" s="80"/>
      <c r="AB756" s="80"/>
      <c r="AC756" s="737">
        <f ca="1">MAX(0%,IF(U756&lt;&gt;0,MIN((W756-U756)/U756/'Underwriting Risk'!$E$27,'Premium and Reserve Risk'!$AC$656),'Premium and Reserve Risk'!$AC$656))</f>
        <v>5.5E-2</v>
      </c>
      <c r="AD756" s="81"/>
      <c r="AE756" s="97"/>
      <c r="AF756" s="97"/>
      <c r="AG756" s="97"/>
      <c r="AH756" s="97"/>
    </row>
    <row r="757" spans="1:34" ht="13.5" customHeight="1" x14ac:dyDescent="0.25">
      <c r="A757" s="97"/>
      <c r="B757" s="257">
        <v>100</v>
      </c>
      <c r="C757" s="652"/>
      <c r="D757" s="80"/>
      <c r="E757" s="80"/>
      <c r="F757" s="258">
        <f t="shared" ca="1" si="24"/>
        <v>0</v>
      </c>
      <c r="G757" s="624"/>
      <c r="H757" s="85"/>
      <c r="I757" s="624"/>
      <c r="J757" s="85"/>
      <c r="K757" s="624"/>
      <c r="L757" s="85"/>
      <c r="M757" s="624"/>
      <c r="N757" s="85"/>
      <c r="O757" s="624"/>
      <c r="P757" s="85"/>
      <c r="Q757" s="626">
        <f t="shared" si="22"/>
        <v>0</v>
      </c>
      <c r="R757" s="85"/>
      <c r="S757" s="624"/>
      <c r="T757" s="260"/>
      <c r="U757" s="624"/>
      <c r="V757" s="85"/>
      <c r="W757" s="624"/>
      <c r="X757" s="81"/>
      <c r="Y757" s="80"/>
      <c r="Z757" s="737">
        <f ca="1">MAX(0%,IF(Q757&lt;&gt;0,MIN((S757-Q757)/Q757/'Underwriting Risk'!$E$27,'Premium and Reserve Risk'!$Z$656),'Premium and Reserve Risk'!$Z$656))</f>
        <v>8.3000000000000004E-2</v>
      </c>
      <c r="AA757" s="80"/>
      <c r="AB757" s="80"/>
      <c r="AC757" s="737">
        <f ca="1">MAX(0%,IF(U757&lt;&gt;0,MIN((W757-U757)/U757/'Underwriting Risk'!$E$27,'Premium and Reserve Risk'!$AC$656),'Premium and Reserve Risk'!$AC$656))</f>
        <v>5.5E-2</v>
      </c>
      <c r="AD757" s="81"/>
      <c r="AE757" s="97"/>
      <c r="AF757" s="97"/>
      <c r="AG757" s="97"/>
      <c r="AH757" s="97"/>
    </row>
    <row r="758" spans="1:34" ht="6" customHeight="1" thickBot="1" x14ac:dyDescent="0.3">
      <c r="A758" s="97"/>
      <c r="B758" s="110"/>
      <c r="C758" s="93"/>
      <c r="D758" s="93"/>
      <c r="E758" s="93"/>
      <c r="F758" s="261">
        <f ca="1">IF(OFFSET($Z$8,B655-1,0)=0,1,0)</f>
        <v>0</v>
      </c>
      <c r="G758" s="134"/>
      <c r="H758" s="134"/>
      <c r="I758" s="134"/>
      <c r="J758" s="134"/>
      <c r="K758" s="134"/>
      <c r="L758" s="134"/>
      <c r="M758" s="134"/>
      <c r="N758" s="134"/>
      <c r="O758" s="134"/>
      <c r="P758" s="134"/>
      <c r="Q758" s="134"/>
      <c r="R758" s="134"/>
      <c r="S758" s="134"/>
      <c r="T758" s="134"/>
      <c r="U758" s="134"/>
      <c r="V758" s="134"/>
      <c r="W758" s="134"/>
      <c r="X758" s="94"/>
      <c r="Y758" s="93"/>
      <c r="Z758" s="93"/>
      <c r="AA758" s="93"/>
      <c r="AB758" s="93"/>
      <c r="AC758" s="93"/>
      <c r="AD758" s="94"/>
      <c r="AE758" s="97"/>
      <c r="AF758" s="97"/>
      <c r="AG758" s="97"/>
      <c r="AH758" s="97"/>
    </row>
    <row r="759" spans="1:34" ht="16.5" thickBot="1" x14ac:dyDescent="0.3">
      <c r="A759" s="97"/>
      <c r="B759" s="53"/>
      <c r="C759" s="53"/>
      <c r="D759" s="53"/>
      <c r="E759" s="53"/>
      <c r="F759" s="53"/>
      <c r="G759" s="109"/>
      <c r="H759" s="109"/>
      <c r="I759" s="109"/>
      <c r="J759" s="109"/>
      <c r="K759" s="109"/>
      <c r="L759" s="109"/>
      <c r="M759" s="109"/>
      <c r="N759" s="109"/>
      <c r="O759" s="109"/>
      <c r="P759" s="109"/>
      <c r="Q759" s="109"/>
      <c r="R759" s="109"/>
      <c r="S759" s="109"/>
      <c r="T759" s="109"/>
      <c r="U759" s="109"/>
      <c r="V759" s="109"/>
      <c r="W759" s="109"/>
      <c r="X759" s="53"/>
      <c r="Y759" s="53"/>
      <c r="Z759" s="53"/>
      <c r="AA759" s="53"/>
      <c r="AB759" s="53"/>
      <c r="AC759" s="53"/>
      <c r="AD759" s="53"/>
      <c r="AE759" s="97"/>
      <c r="AF759" s="97"/>
      <c r="AG759" s="97"/>
      <c r="AH759" s="97"/>
    </row>
    <row r="760" spans="1:34" ht="31.5" x14ac:dyDescent="0.25">
      <c r="A760" s="97"/>
      <c r="B760" s="187">
        <v>8</v>
      </c>
      <c r="C760" s="187" t="str">
        <f ca="1">RIGHT(OFFSET($B$8,B760-1,0),LEN(OFFSET($B$8,B760-1,0))-5)</f>
        <v xml:space="preserve"> Assistance &amp; 20 Prop. Reins.</v>
      </c>
      <c r="D760" s="68"/>
      <c r="E760" s="68"/>
      <c r="F760" s="68"/>
      <c r="G760" s="68"/>
      <c r="H760" s="68"/>
      <c r="I760" s="68"/>
      <c r="J760" s="68"/>
      <c r="K760" s="68"/>
      <c r="L760" s="68"/>
      <c r="M760" s="68"/>
      <c r="N760" s="68"/>
      <c r="O760" s="68"/>
      <c r="P760" s="68"/>
      <c r="Q760" s="68"/>
      <c r="R760" s="68"/>
      <c r="S760" s="68"/>
      <c r="T760" s="68"/>
      <c r="U760" s="68"/>
      <c r="V760" s="68"/>
      <c r="W760" s="68"/>
      <c r="X760" s="251"/>
      <c r="Y760" s="68"/>
      <c r="Z760" s="250" t="s">
        <v>458</v>
      </c>
      <c r="AA760" s="736"/>
      <c r="AB760" s="736"/>
      <c r="AC760" s="250" t="s">
        <v>459</v>
      </c>
      <c r="AD760" s="251"/>
      <c r="AE760" s="97"/>
      <c r="AF760" s="97"/>
      <c r="AG760" s="97"/>
      <c r="AH760" s="97"/>
    </row>
    <row r="761" spans="1:34" ht="129.75" thickBot="1" x14ac:dyDescent="0.3">
      <c r="A761" s="97"/>
      <c r="B761" s="252"/>
      <c r="C761" s="253" t="s">
        <v>460</v>
      </c>
      <c r="D761" s="237"/>
      <c r="E761" s="237"/>
      <c r="F761" s="254">
        <f ca="1">IF(OFFSET($Z$8,B760-1,0)=0,1,0)</f>
        <v>0</v>
      </c>
      <c r="G761" s="792" t="s">
        <v>1130</v>
      </c>
      <c r="H761" s="793"/>
      <c r="I761" s="791" t="s">
        <v>438</v>
      </c>
      <c r="J761" s="791"/>
      <c r="K761" s="791" t="s">
        <v>439</v>
      </c>
      <c r="L761" s="791"/>
      <c r="M761" s="791" t="s">
        <v>1131</v>
      </c>
      <c r="N761" s="791"/>
      <c r="O761" s="791" t="s">
        <v>1132</v>
      </c>
      <c r="P761" s="363"/>
      <c r="Q761" s="237" t="s">
        <v>440</v>
      </c>
      <c r="R761" s="237"/>
      <c r="S761" s="237" t="s">
        <v>461</v>
      </c>
      <c r="T761" s="237"/>
      <c r="U761" s="237" t="s">
        <v>463</v>
      </c>
      <c r="V761" s="237"/>
      <c r="W761" s="237" t="s">
        <v>464</v>
      </c>
      <c r="X761" s="238"/>
      <c r="Y761" s="237"/>
      <c r="Z761" s="255">
        <f ca="1">OFFSET('Underwriting Risk'!$K$55,'Premium and Reserve Risk'!B760-1,0)</f>
        <v>6.4000000000000001E-2</v>
      </c>
      <c r="AA761" s="237"/>
      <c r="AB761" s="237"/>
      <c r="AC761" s="255">
        <f ca="1">OFFSET('Underwriting Risk'!$M$55,'Premium and Reserve Risk'!B760-1,0)</f>
        <v>0.22</v>
      </c>
      <c r="AD761" s="238"/>
      <c r="AE761" s="97"/>
      <c r="AF761" s="97"/>
      <c r="AG761" s="97"/>
      <c r="AH761" s="97"/>
    </row>
    <row r="762" spans="1:34" ht="6" customHeight="1" x14ac:dyDescent="0.25">
      <c r="A762" s="97"/>
      <c r="B762" s="106"/>
      <c r="C762" s="80"/>
      <c r="D762" s="80"/>
      <c r="E762" s="80"/>
      <c r="F762" s="258">
        <f ca="1">IF(B762&lt;=OFFSET($Z$8,B$760-1,0),0,1)</f>
        <v>0</v>
      </c>
      <c r="G762" s="85"/>
      <c r="H762" s="85"/>
      <c r="I762" s="85"/>
      <c r="J762" s="85"/>
      <c r="K762" s="85"/>
      <c r="L762" s="85"/>
      <c r="M762" s="85"/>
      <c r="N762" s="85"/>
      <c r="O762" s="85"/>
      <c r="P762" s="85"/>
      <c r="Q762" s="85"/>
      <c r="R762" s="85"/>
      <c r="S762" s="85"/>
      <c r="T762" s="85"/>
      <c r="U762" s="85"/>
      <c r="V762" s="85"/>
      <c r="W762" s="85"/>
      <c r="X762" s="81"/>
      <c r="Y762" s="80"/>
      <c r="Z762" s="80"/>
      <c r="AA762" s="80"/>
      <c r="AB762" s="80"/>
      <c r="AC762" s="80"/>
      <c r="AD762" s="81"/>
      <c r="AE762" s="97"/>
      <c r="AF762" s="97"/>
      <c r="AG762" s="97"/>
      <c r="AH762" s="97"/>
    </row>
    <row r="763" spans="1:34" ht="13.5" customHeight="1" x14ac:dyDescent="0.25">
      <c r="A763" s="97"/>
      <c r="B763" s="257">
        <v>1</v>
      </c>
      <c r="C763" s="652"/>
      <c r="D763" s="80"/>
      <c r="E763" s="80"/>
      <c r="F763" s="258">
        <f ca="1">IF(B763&lt;=OFFSET($Z$8,B$760-1,0),0,1)</f>
        <v>0</v>
      </c>
      <c r="G763" s="624"/>
      <c r="H763" s="85"/>
      <c r="I763" s="624"/>
      <c r="J763" s="85"/>
      <c r="K763" s="624"/>
      <c r="L763" s="85"/>
      <c r="M763" s="624"/>
      <c r="N763" s="85"/>
      <c r="O763" s="624"/>
      <c r="P763" s="85"/>
      <c r="Q763" s="626">
        <f t="shared" ref="Q763:Q862" si="25">MAX(G763,I763)+K763+M763+0.3*O763</f>
        <v>0</v>
      </c>
      <c r="R763" s="85"/>
      <c r="S763" s="624"/>
      <c r="T763" s="260"/>
      <c r="U763" s="624"/>
      <c r="V763" s="85"/>
      <c r="W763" s="624"/>
      <c r="X763" s="81"/>
      <c r="Y763" s="80"/>
      <c r="Z763" s="737">
        <f ca="1">MAX(0%,IF(Q763&lt;&gt;0,MIN((S763-Q763)/Q763/'Underwriting Risk'!$E$27,'Premium and Reserve Risk'!$Z$761),'Premium and Reserve Risk'!$Z$761))</f>
        <v>6.4000000000000001E-2</v>
      </c>
      <c r="AA763" s="80"/>
      <c r="AB763" s="80"/>
      <c r="AC763" s="737">
        <f ca="1">MAX(0%,IF(U763&lt;&gt;0,MIN((W763-U763)/U763/'Underwriting Risk'!$E$27,'Premium and Reserve Risk'!$AC$761),'Premium and Reserve Risk'!$AC$761))</f>
        <v>0.22</v>
      </c>
      <c r="AD763" s="81"/>
      <c r="AE763" s="97"/>
      <c r="AF763" s="97"/>
      <c r="AG763" s="97"/>
      <c r="AH763" s="97"/>
    </row>
    <row r="764" spans="1:34" ht="13.5" customHeight="1" x14ac:dyDescent="0.25">
      <c r="A764" s="97"/>
      <c r="B764" s="257">
        <v>2</v>
      </c>
      <c r="C764" s="652"/>
      <c r="D764" s="80"/>
      <c r="E764" s="80"/>
      <c r="F764" s="258">
        <f t="shared" ref="F764:F827" ca="1" si="26">IF(B764&lt;=OFFSET($Z$8,B$760-1,0),0,1)</f>
        <v>0</v>
      </c>
      <c r="G764" s="624"/>
      <c r="H764" s="85"/>
      <c r="I764" s="624"/>
      <c r="J764" s="85"/>
      <c r="K764" s="624"/>
      <c r="L764" s="85"/>
      <c r="M764" s="624"/>
      <c r="N764" s="85"/>
      <c r="O764" s="624"/>
      <c r="P764" s="85"/>
      <c r="Q764" s="626">
        <f t="shared" si="25"/>
        <v>0</v>
      </c>
      <c r="R764" s="85"/>
      <c r="S764" s="624"/>
      <c r="T764" s="260"/>
      <c r="U764" s="624"/>
      <c r="V764" s="85"/>
      <c r="W764" s="624"/>
      <c r="X764" s="81"/>
      <c r="Y764" s="80"/>
      <c r="Z764" s="737">
        <f ca="1">MAX(0%,IF(Q764&lt;&gt;0,MIN((S764-Q764)/Q764/'Underwriting Risk'!$E$27,'Premium and Reserve Risk'!$Z$761),'Premium and Reserve Risk'!$Z$761))</f>
        <v>6.4000000000000001E-2</v>
      </c>
      <c r="AA764" s="80"/>
      <c r="AB764" s="80"/>
      <c r="AC764" s="737">
        <f ca="1">MAX(0%,IF(U764&lt;&gt;0,MIN((W764-U764)/U764/'Underwriting Risk'!$E$27,'Premium and Reserve Risk'!$AC$761),'Premium and Reserve Risk'!$AC$761))</f>
        <v>0.22</v>
      </c>
      <c r="AD764" s="81"/>
      <c r="AE764" s="97"/>
      <c r="AF764" s="97"/>
      <c r="AG764" s="97"/>
      <c r="AH764" s="97"/>
    </row>
    <row r="765" spans="1:34" ht="13.5" customHeight="1" x14ac:dyDescent="0.25">
      <c r="A765" s="97"/>
      <c r="B765" s="257">
        <v>3</v>
      </c>
      <c r="C765" s="652"/>
      <c r="D765" s="80"/>
      <c r="E765" s="80"/>
      <c r="F765" s="258">
        <f t="shared" ca="1" si="26"/>
        <v>0</v>
      </c>
      <c r="G765" s="624"/>
      <c r="H765" s="85"/>
      <c r="I765" s="624"/>
      <c r="J765" s="85"/>
      <c r="K765" s="624"/>
      <c r="L765" s="85"/>
      <c r="M765" s="624"/>
      <c r="N765" s="85"/>
      <c r="O765" s="624"/>
      <c r="P765" s="85"/>
      <c r="Q765" s="626">
        <f t="shared" si="25"/>
        <v>0</v>
      </c>
      <c r="R765" s="85"/>
      <c r="S765" s="624"/>
      <c r="T765" s="260"/>
      <c r="U765" s="624"/>
      <c r="V765" s="85"/>
      <c r="W765" s="624"/>
      <c r="X765" s="81"/>
      <c r="Y765" s="80"/>
      <c r="Z765" s="737">
        <f ca="1">MAX(0%,IF(Q765&lt;&gt;0,MIN((S765-Q765)/Q765/'Underwriting Risk'!$E$27,'Premium and Reserve Risk'!$Z$761),'Premium and Reserve Risk'!$Z$761))</f>
        <v>6.4000000000000001E-2</v>
      </c>
      <c r="AA765" s="80"/>
      <c r="AB765" s="80"/>
      <c r="AC765" s="737">
        <f ca="1">MAX(0%,IF(U765&lt;&gt;0,MIN((W765-U765)/U765/'Underwriting Risk'!$E$27,'Premium and Reserve Risk'!$AC$761),'Premium and Reserve Risk'!$AC$761))</f>
        <v>0.22</v>
      </c>
      <c r="AD765" s="81"/>
      <c r="AE765" s="97"/>
      <c r="AF765" s="97"/>
      <c r="AG765" s="97"/>
      <c r="AH765" s="97"/>
    </row>
    <row r="766" spans="1:34" ht="13.5" customHeight="1" x14ac:dyDescent="0.25">
      <c r="A766" s="97"/>
      <c r="B766" s="257">
        <v>4</v>
      </c>
      <c r="C766" s="652"/>
      <c r="D766" s="80"/>
      <c r="E766" s="80"/>
      <c r="F766" s="258">
        <f t="shared" ca="1" si="26"/>
        <v>0</v>
      </c>
      <c r="G766" s="624"/>
      <c r="H766" s="85"/>
      <c r="I766" s="624"/>
      <c r="J766" s="85"/>
      <c r="K766" s="624"/>
      <c r="L766" s="85"/>
      <c r="M766" s="624"/>
      <c r="N766" s="85"/>
      <c r="O766" s="624"/>
      <c r="P766" s="85"/>
      <c r="Q766" s="626">
        <f t="shared" si="25"/>
        <v>0</v>
      </c>
      <c r="R766" s="85"/>
      <c r="S766" s="624"/>
      <c r="T766" s="260"/>
      <c r="U766" s="624"/>
      <c r="V766" s="85"/>
      <c r="W766" s="624"/>
      <c r="X766" s="81"/>
      <c r="Y766" s="80"/>
      <c r="Z766" s="737">
        <f ca="1">MAX(0%,IF(Q766&lt;&gt;0,MIN((S766-Q766)/Q766/'Underwriting Risk'!$E$27,'Premium and Reserve Risk'!$Z$761),'Premium and Reserve Risk'!$Z$761))</f>
        <v>6.4000000000000001E-2</v>
      </c>
      <c r="AA766" s="80"/>
      <c r="AB766" s="80"/>
      <c r="AC766" s="737">
        <f ca="1">MAX(0%,IF(U766&lt;&gt;0,MIN((W766-U766)/U766/'Underwriting Risk'!$E$27,'Premium and Reserve Risk'!$AC$761),'Premium and Reserve Risk'!$AC$761))</f>
        <v>0.22</v>
      </c>
      <c r="AD766" s="81"/>
      <c r="AE766" s="97"/>
      <c r="AF766" s="97"/>
      <c r="AG766" s="97"/>
      <c r="AH766" s="97"/>
    </row>
    <row r="767" spans="1:34" ht="13.5" customHeight="1" x14ac:dyDescent="0.25">
      <c r="A767" s="97"/>
      <c r="B767" s="257">
        <v>5</v>
      </c>
      <c r="C767" s="652"/>
      <c r="D767" s="80"/>
      <c r="E767" s="80"/>
      <c r="F767" s="258">
        <f t="shared" ca="1" si="26"/>
        <v>0</v>
      </c>
      <c r="G767" s="624"/>
      <c r="H767" s="85"/>
      <c r="I767" s="624"/>
      <c r="J767" s="85"/>
      <c r="K767" s="624"/>
      <c r="L767" s="85"/>
      <c r="M767" s="624"/>
      <c r="N767" s="85"/>
      <c r="O767" s="624"/>
      <c r="P767" s="85"/>
      <c r="Q767" s="626">
        <f t="shared" si="25"/>
        <v>0</v>
      </c>
      <c r="R767" s="85"/>
      <c r="S767" s="624"/>
      <c r="T767" s="260"/>
      <c r="U767" s="624"/>
      <c r="V767" s="85"/>
      <c r="W767" s="624"/>
      <c r="X767" s="81"/>
      <c r="Y767" s="80"/>
      <c r="Z767" s="737">
        <f ca="1">MAX(0%,IF(Q767&lt;&gt;0,MIN((S767-Q767)/Q767/'Underwriting Risk'!$E$27,'Premium and Reserve Risk'!$Z$761),'Premium and Reserve Risk'!$Z$761))</f>
        <v>6.4000000000000001E-2</v>
      </c>
      <c r="AA767" s="80"/>
      <c r="AB767" s="80"/>
      <c r="AC767" s="737">
        <f ca="1">MAX(0%,IF(U767&lt;&gt;0,MIN((W767-U767)/U767/'Underwriting Risk'!$E$27,'Premium and Reserve Risk'!$AC$761),'Premium and Reserve Risk'!$AC$761))</f>
        <v>0.22</v>
      </c>
      <c r="AD767" s="81"/>
      <c r="AE767" s="97"/>
      <c r="AF767" s="97"/>
      <c r="AG767" s="97"/>
      <c r="AH767" s="97"/>
    </row>
    <row r="768" spans="1:34" ht="13.5" customHeight="1" x14ac:dyDescent="0.25">
      <c r="A768" s="97"/>
      <c r="B768" s="257">
        <v>6</v>
      </c>
      <c r="C768" s="652"/>
      <c r="D768" s="80"/>
      <c r="E768" s="80"/>
      <c r="F768" s="258">
        <f t="shared" ca="1" si="26"/>
        <v>0</v>
      </c>
      <c r="G768" s="624"/>
      <c r="H768" s="85"/>
      <c r="I768" s="624"/>
      <c r="J768" s="85"/>
      <c r="K768" s="624"/>
      <c r="L768" s="85"/>
      <c r="M768" s="624"/>
      <c r="N768" s="85"/>
      <c r="O768" s="624"/>
      <c r="P768" s="85"/>
      <c r="Q768" s="626">
        <f t="shared" si="25"/>
        <v>0</v>
      </c>
      <c r="R768" s="85"/>
      <c r="S768" s="624"/>
      <c r="T768" s="260"/>
      <c r="U768" s="624"/>
      <c r="V768" s="85"/>
      <c r="W768" s="624"/>
      <c r="X768" s="81"/>
      <c r="Y768" s="80"/>
      <c r="Z768" s="737">
        <f ca="1">MAX(0%,IF(Q768&lt;&gt;0,MIN((S768-Q768)/Q768/'Underwriting Risk'!$E$27,'Premium and Reserve Risk'!$Z$761),'Premium and Reserve Risk'!$Z$761))</f>
        <v>6.4000000000000001E-2</v>
      </c>
      <c r="AA768" s="80"/>
      <c r="AB768" s="80"/>
      <c r="AC768" s="737">
        <f ca="1">MAX(0%,IF(U768&lt;&gt;0,MIN((W768-U768)/U768/'Underwriting Risk'!$E$27,'Premium and Reserve Risk'!$AC$761),'Premium and Reserve Risk'!$AC$761))</f>
        <v>0.22</v>
      </c>
      <c r="AD768" s="81"/>
      <c r="AE768" s="97"/>
      <c r="AF768" s="97"/>
      <c r="AG768" s="97"/>
      <c r="AH768" s="97"/>
    </row>
    <row r="769" spans="1:34" ht="13.5" customHeight="1" x14ac:dyDescent="0.25">
      <c r="A769" s="97"/>
      <c r="B769" s="257">
        <v>7</v>
      </c>
      <c r="C769" s="652"/>
      <c r="D769" s="80"/>
      <c r="E769" s="80"/>
      <c r="F769" s="258">
        <f t="shared" ca="1" si="26"/>
        <v>0</v>
      </c>
      <c r="G769" s="624"/>
      <c r="H769" s="85"/>
      <c r="I769" s="624"/>
      <c r="J769" s="85"/>
      <c r="K769" s="624"/>
      <c r="L769" s="85"/>
      <c r="M769" s="624"/>
      <c r="N769" s="85"/>
      <c r="O769" s="624"/>
      <c r="P769" s="85"/>
      <c r="Q769" s="626">
        <f t="shared" si="25"/>
        <v>0</v>
      </c>
      <c r="R769" s="85"/>
      <c r="S769" s="624"/>
      <c r="T769" s="260"/>
      <c r="U769" s="624"/>
      <c r="V769" s="85"/>
      <c r="W769" s="624"/>
      <c r="X769" s="81"/>
      <c r="Y769" s="80"/>
      <c r="Z769" s="737">
        <f ca="1">MAX(0%,IF(Q769&lt;&gt;0,MIN((S769-Q769)/Q769/'Underwriting Risk'!$E$27,'Premium and Reserve Risk'!$Z$761),'Premium and Reserve Risk'!$Z$761))</f>
        <v>6.4000000000000001E-2</v>
      </c>
      <c r="AA769" s="80"/>
      <c r="AB769" s="80"/>
      <c r="AC769" s="737">
        <f ca="1">MAX(0%,IF(U769&lt;&gt;0,MIN((W769-U769)/U769/'Underwriting Risk'!$E$27,'Premium and Reserve Risk'!$AC$761),'Premium and Reserve Risk'!$AC$761))</f>
        <v>0.22</v>
      </c>
      <c r="AD769" s="81"/>
      <c r="AE769" s="97"/>
      <c r="AF769" s="97"/>
      <c r="AG769" s="97"/>
      <c r="AH769" s="97"/>
    </row>
    <row r="770" spans="1:34" ht="13.5" customHeight="1" x14ac:dyDescent="0.25">
      <c r="A770" s="97"/>
      <c r="B770" s="257">
        <v>8</v>
      </c>
      <c r="C770" s="652"/>
      <c r="D770" s="80"/>
      <c r="E770" s="80"/>
      <c r="F770" s="258">
        <f t="shared" ca="1" si="26"/>
        <v>0</v>
      </c>
      <c r="G770" s="624"/>
      <c r="H770" s="85"/>
      <c r="I770" s="624"/>
      <c r="J770" s="85"/>
      <c r="K770" s="624"/>
      <c r="L770" s="85"/>
      <c r="M770" s="624"/>
      <c r="N770" s="85"/>
      <c r="O770" s="624"/>
      <c r="P770" s="85"/>
      <c r="Q770" s="626">
        <f t="shared" si="25"/>
        <v>0</v>
      </c>
      <c r="R770" s="85"/>
      <c r="S770" s="624"/>
      <c r="T770" s="260"/>
      <c r="U770" s="624"/>
      <c r="V770" s="85"/>
      <c r="W770" s="624"/>
      <c r="X770" s="81"/>
      <c r="Y770" s="80"/>
      <c r="Z770" s="737">
        <f ca="1">MAX(0%,IF(Q770&lt;&gt;0,MIN((S770-Q770)/Q770/'Underwriting Risk'!$E$27,'Premium and Reserve Risk'!$Z$761),'Premium and Reserve Risk'!$Z$761))</f>
        <v>6.4000000000000001E-2</v>
      </c>
      <c r="AA770" s="80"/>
      <c r="AB770" s="80"/>
      <c r="AC770" s="737">
        <f ca="1">MAX(0%,IF(U770&lt;&gt;0,MIN((W770-U770)/U770/'Underwriting Risk'!$E$27,'Premium and Reserve Risk'!$AC$761),'Premium and Reserve Risk'!$AC$761))</f>
        <v>0.22</v>
      </c>
      <c r="AD770" s="81"/>
      <c r="AE770" s="97"/>
      <c r="AF770" s="97"/>
      <c r="AG770" s="97"/>
      <c r="AH770" s="97"/>
    </row>
    <row r="771" spans="1:34" ht="13.5" customHeight="1" x14ac:dyDescent="0.25">
      <c r="A771" s="97"/>
      <c r="B771" s="257">
        <v>9</v>
      </c>
      <c r="C771" s="652"/>
      <c r="D771" s="80"/>
      <c r="E771" s="80"/>
      <c r="F771" s="258">
        <f t="shared" ca="1" si="26"/>
        <v>0</v>
      </c>
      <c r="G771" s="624"/>
      <c r="H771" s="85"/>
      <c r="I771" s="624"/>
      <c r="J771" s="85"/>
      <c r="K771" s="624"/>
      <c r="L771" s="85"/>
      <c r="M771" s="624"/>
      <c r="N771" s="85"/>
      <c r="O771" s="624"/>
      <c r="P771" s="85"/>
      <c r="Q771" s="626">
        <f t="shared" si="25"/>
        <v>0</v>
      </c>
      <c r="R771" s="85"/>
      <c r="S771" s="624"/>
      <c r="T771" s="260"/>
      <c r="U771" s="624"/>
      <c r="V771" s="85"/>
      <c r="W771" s="624"/>
      <c r="X771" s="81"/>
      <c r="Y771" s="80"/>
      <c r="Z771" s="737">
        <f ca="1">MAX(0%,IF(Q771&lt;&gt;0,MIN((S771-Q771)/Q771/'Underwriting Risk'!$E$27,'Premium and Reserve Risk'!$Z$761),'Premium and Reserve Risk'!$Z$761))</f>
        <v>6.4000000000000001E-2</v>
      </c>
      <c r="AA771" s="80"/>
      <c r="AB771" s="80"/>
      <c r="AC771" s="737">
        <f ca="1">MAX(0%,IF(U771&lt;&gt;0,MIN((W771-U771)/U771/'Underwriting Risk'!$E$27,'Premium and Reserve Risk'!$AC$761),'Premium and Reserve Risk'!$AC$761))</f>
        <v>0.22</v>
      </c>
      <c r="AD771" s="81"/>
      <c r="AE771" s="97"/>
      <c r="AF771" s="97"/>
      <c r="AG771" s="97"/>
      <c r="AH771" s="97"/>
    </row>
    <row r="772" spans="1:34" ht="13.5" customHeight="1" x14ac:dyDescent="0.25">
      <c r="A772" s="97"/>
      <c r="B772" s="257">
        <v>10</v>
      </c>
      <c r="C772" s="652"/>
      <c r="D772" s="80"/>
      <c r="E772" s="80"/>
      <c r="F772" s="258">
        <f t="shared" ca="1" si="26"/>
        <v>0</v>
      </c>
      <c r="G772" s="624"/>
      <c r="H772" s="85"/>
      <c r="I772" s="624"/>
      <c r="J772" s="85"/>
      <c r="K772" s="624"/>
      <c r="L772" s="85"/>
      <c r="M772" s="624"/>
      <c r="N772" s="85"/>
      <c r="O772" s="624"/>
      <c r="P772" s="85"/>
      <c r="Q772" s="626">
        <f t="shared" si="25"/>
        <v>0</v>
      </c>
      <c r="R772" s="85"/>
      <c r="S772" s="624"/>
      <c r="T772" s="260"/>
      <c r="U772" s="624"/>
      <c r="V772" s="85"/>
      <c r="W772" s="624"/>
      <c r="X772" s="81"/>
      <c r="Y772" s="80"/>
      <c r="Z772" s="737">
        <f ca="1">MAX(0%,IF(Q772&lt;&gt;0,MIN((S772-Q772)/Q772/'Underwriting Risk'!$E$27,'Premium and Reserve Risk'!$Z$761),'Premium and Reserve Risk'!$Z$761))</f>
        <v>6.4000000000000001E-2</v>
      </c>
      <c r="AA772" s="80"/>
      <c r="AB772" s="80"/>
      <c r="AC772" s="737">
        <f ca="1">MAX(0%,IF(U772&lt;&gt;0,MIN((W772-U772)/U772/'Underwriting Risk'!$E$27,'Premium and Reserve Risk'!$AC$761),'Premium and Reserve Risk'!$AC$761))</f>
        <v>0.22</v>
      </c>
      <c r="AD772" s="81"/>
      <c r="AE772" s="97"/>
      <c r="AF772" s="97"/>
      <c r="AG772" s="97"/>
      <c r="AH772" s="97"/>
    </row>
    <row r="773" spans="1:34" ht="13.5" customHeight="1" x14ac:dyDescent="0.25">
      <c r="A773" s="97"/>
      <c r="B773" s="257">
        <v>11</v>
      </c>
      <c r="C773" s="652"/>
      <c r="D773" s="80"/>
      <c r="E773" s="80"/>
      <c r="F773" s="258">
        <f t="shared" ca="1" si="26"/>
        <v>0</v>
      </c>
      <c r="G773" s="624"/>
      <c r="H773" s="85"/>
      <c r="I773" s="624"/>
      <c r="J773" s="85"/>
      <c r="K773" s="624"/>
      <c r="L773" s="85"/>
      <c r="M773" s="624"/>
      <c r="N773" s="85"/>
      <c r="O773" s="624"/>
      <c r="P773" s="85"/>
      <c r="Q773" s="626">
        <f t="shared" si="25"/>
        <v>0</v>
      </c>
      <c r="R773" s="85"/>
      <c r="S773" s="624"/>
      <c r="T773" s="260"/>
      <c r="U773" s="624"/>
      <c r="V773" s="85"/>
      <c r="W773" s="624"/>
      <c r="X773" s="81"/>
      <c r="Y773" s="80"/>
      <c r="Z773" s="737">
        <f ca="1">MAX(0%,IF(Q773&lt;&gt;0,MIN((S773-Q773)/Q773/'Underwriting Risk'!$E$27,'Premium and Reserve Risk'!$Z$761),'Premium and Reserve Risk'!$Z$761))</f>
        <v>6.4000000000000001E-2</v>
      </c>
      <c r="AA773" s="80"/>
      <c r="AB773" s="80"/>
      <c r="AC773" s="737">
        <f ca="1">MAX(0%,IF(U773&lt;&gt;0,MIN((W773-U773)/U773/'Underwriting Risk'!$E$27,'Premium and Reserve Risk'!$AC$761),'Premium and Reserve Risk'!$AC$761))</f>
        <v>0.22</v>
      </c>
      <c r="AD773" s="81"/>
      <c r="AE773" s="97"/>
      <c r="AF773" s="97"/>
      <c r="AG773" s="97"/>
      <c r="AH773" s="97"/>
    </row>
    <row r="774" spans="1:34" ht="13.5" customHeight="1" x14ac:dyDescent="0.25">
      <c r="A774" s="97"/>
      <c r="B774" s="257">
        <v>12</v>
      </c>
      <c r="C774" s="652"/>
      <c r="D774" s="80"/>
      <c r="E774" s="80"/>
      <c r="F774" s="258">
        <f t="shared" ca="1" si="26"/>
        <v>0</v>
      </c>
      <c r="G774" s="624"/>
      <c r="H774" s="85"/>
      <c r="I774" s="624"/>
      <c r="J774" s="85"/>
      <c r="K774" s="624"/>
      <c r="L774" s="85"/>
      <c r="M774" s="624"/>
      <c r="N774" s="85"/>
      <c r="O774" s="624"/>
      <c r="P774" s="85"/>
      <c r="Q774" s="626">
        <f t="shared" si="25"/>
        <v>0</v>
      </c>
      <c r="R774" s="85"/>
      <c r="S774" s="624"/>
      <c r="T774" s="260"/>
      <c r="U774" s="624"/>
      <c r="V774" s="85"/>
      <c r="W774" s="624"/>
      <c r="X774" s="81"/>
      <c r="Y774" s="80"/>
      <c r="Z774" s="737">
        <f ca="1">MAX(0%,IF(Q774&lt;&gt;0,MIN((S774-Q774)/Q774/'Underwriting Risk'!$E$27,'Premium and Reserve Risk'!$Z$761),'Premium and Reserve Risk'!$Z$761))</f>
        <v>6.4000000000000001E-2</v>
      </c>
      <c r="AA774" s="80"/>
      <c r="AB774" s="80"/>
      <c r="AC774" s="737">
        <f ca="1">MAX(0%,IF(U774&lt;&gt;0,MIN((W774-U774)/U774/'Underwriting Risk'!$E$27,'Premium and Reserve Risk'!$AC$761),'Premium and Reserve Risk'!$AC$761))</f>
        <v>0.22</v>
      </c>
      <c r="AD774" s="81"/>
      <c r="AE774" s="97"/>
      <c r="AF774" s="97"/>
      <c r="AG774" s="97"/>
      <c r="AH774" s="97"/>
    </row>
    <row r="775" spans="1:34" ht="13.5" customHeight="1" x14ac:dyDescent="0.25">
      <c r="A775" s="97"/>
      <c r="B775" s="257">
        <v>13</v>
      </c>
      <c r="C775" s="652"/>
      <c r="D775" s="80"/>
      <c r="E775" s="80"/>
      <c r="F775" s="258">
        <f t="shared" ca="1" si="26"/>
        <v>0</v>
      </c>
      <c r="G775" s="624"/>
      <c r="H775" s="85"/>
      <c r="I775" s="624"/>
      <c r="J775" s="85"/>
      <c r="K775" s="624"/>
      <c r="L775" s="85"/>
      <c r="M775" s="624"/>
      <c r="N775" s="85"/>
      <c r="O775" s="624"/>
      <c r="P775" s="85"/>
      <c r="Q775" s="626">
        <f t="shared" si="25"/>
        <v>0</v>
      </c>
      <c r="R775" s="85"/>
      <c r="S775" s="624"/>
      <c r="T775" s="260"/>
      <c r="U775" s="624"/>
      <c r="V775" s="85"/>
      <c r="W775" s="624"/>
      <c r="X775" s="81"/>
      <c r="Y775" s="80"/>
      <c r="Z775" s="737">
        <f ca="1">MAX(0%,IF(Q775&lt;&gt;0,MIN((S775-Q775)/Q775/'Underwriting Risk'!$E$27,'Premium and Reserve Risk'!$Z$761),'Premium and Reserve Risk'!$Z$761))</f>
        <v>6.4000000000000001E-2</v>
      </c>
      <c r="AA775" s="80"/>
      <c r="AB775" s="80"/>
      <c r="AC775" s="737">
        <f ca="1">MAX(0%,IF(U775&lt;&gt;0,MIN((W775-U775)/U775/'Underwriting Risk'!$E$27,'Premium and Reserve Risk'!$AC$761),'Premium and Reserve Risk'!$AC$761))</f>
        <v>0.22</v>
      </c>
      <c r="AD775" s="81"/>
      <c r="AE775" s="97"/>
      <c r="AF775" s="97"/>
      <c r="AG775" s="97"/>
      <c r="AH775" s="97"/>
    </row>
    <row r="776" spans="1:34" ht="13.5" customHeight="1" x14ac:dyDescent="0.25">
      <c r="A776" s="97"/>
      <c r="B776" s="257">
        <v>14</v>
      </c>
      <c r="C776" s="652"/>
      <c r="D776" s="80"/>
      <c r="E776" s="80"/>
      <c r="F776" s="258">
        <f t="shared" ca="1" si="26"/>
        <v>0</v>
      </c>
      <c r="G776" s="624"/>
      <c r="H776" s="85"/>
      <c r="I776" s="624"/>
      <c r="J776" s="85"/>
      <c r="K776" s="624"/>
      <c r="L776" s="85"/>
      <c r="M776" s="624"/>
      <c r="N776" s="85"/>
      <c r="O776" s="624"/>
      <c r="P776" s="85"/>
      <c r="Q776" s="626">
        <f t="shared" si="25"/>
        <v>0</v>
      </c>
      <c r="R776" s="85"/>
      <c r="S776" s="624"/>
      <c r="T776" s="260"/>
      <c r="U776" s="624"/>
      <c r="V776" s="85"/>
      <c r="W776" s="624"/>
      <c r="X776" s="81"/>
      <c r="Y776" s="80"/>
      <c r="Z776" s="737">
        <f ca="1">MAX(0%,IF(Q776&lt;&gt;0,MIN((S776-Q776)/Q776/'Underwriting Risk'!$E$27,'Premium and Reserve Risk'!$Z$761),'Premium and Reserve Risk'!$Z$761))</f>
        <v>6.4000000000000001E-2</v>
      </c>
      <c r="AA776" s="80"/>
      <c r="AB776" s="80"/>
      <c r="AC776" s="737">
        <f ca="1">MAX(0%,IF(U776&lt;&gt;0,MIN((W776-U776)/U776/'Underwriting Risk'!$E$27,'Premium and Reserve Risk'!$AC$761),'Premium and Reserve Risk'!$AC$761))</f>
        <v>0.22</v>
      </c>
      <c r="AD776" s="81"/>
      <c r="AE776" s="97"/>
      <c r="AF776" s="97"/>
      <c r="AG776" s="97"/>
      <c r="AH776" s="97"/>
    </row>
    <row r="777" spans="1:34" ht="13.5" customHeight="1" x14ac:dyDescent="0.25">
      <c r="A777" s="97"/>
      <c r="B777" s="257">
        <v>15</v>
      </c>
      <c r="C777" s="652"/>
      <c r="D777" s="80"/>
      <c r="E777" s="80"/>
      <c r="F777" s="258">
        <f t="shared" ca="1" si="26"/>
        <v>0</v>
      </c>
      <c r="G777" s="624"/>
      <c r="H777" s="85"/>
      <c r="I777" s="624"/>
      <c r="J777" s="85"/>
      <c r="K777" s="624"/>
      <c r="L777" s="85"/>
      <c r="M777" s="624"/>
      <c r="N777" s="85"/>
      <c r="O777" s="624"/>
      <c r="P777" s="85"/>
      <c r="Q777" s="626">
        <f t="shared" si="25"/>
        <v>0</v>
      </c>
      <c r="R777" s="85"/>
      <c r="S777" s="624"/>
      <c r="T777" s="260"/>
      <c r="U777" s="624"/>
      <c r="V777" s="85"/>
      <c r="W777" s="624"/>
      <c r="X777" s="81"/>
      <c r="Y777" s="80"/>
      <c r="Z777" s="737">
        <f ca="1">MAX(0%,IF(Q777&lt;&gt;0,MIN((S777-Q777)/Q777/'Underwriting Risk'!$E$27,'Premium and Reserve Risk'!$Z$761),'Premium and Reserve Risk'!$Z$761))</f>
        <v>6.4000000000000001E-2</v>
      </c>
      <c r="AA777" s="80"/>
      <c r="AB777" s="80"/>
      <c r="AC777" s="737">
        <f ca="1">MAX(0%,IF(U777&lt;&gt;0,MIN((W777-U777)/U777/'Underwriting Risk'!$E$27,'Premium and Reserve Risk'!$AC$761),'Premium and Reserve Risk'!$AC$761))</f>
        <v>0.22</v>
      </c>
      <c r="AD777" s="81"/>
      <c r="AE777" s="97"/>
      <c r="AF777" s="97"/>
      <c r="AG777" s="97"/>
      <c r="AH777" s="97"/>
    </row>
    <row r="778" spans="1:34" ht="13.5" customHeight="1" x14ac:dyDescent="0.25">
      <c r="A778" s="97"/>
      <c r="B778" s="257">
        <v>16</v>
      </c>
      <c r="C778" s="652"/>
      <c r="D778" s="80"/>
      <c r="E778" s="80"/>
      <c r="F778" s="258">
        <f t="shared" ca="1" si="26"/>
        <v>0</v>
      </c>
      <c r="G778" s="624"/>
      <c r="H778" s="85"/>
      <c r="I778" s="624"/>
      <c r="J778" s="85"/>
      <c r="K778" s="624"/>
      <c r="L778" s="85"/>
      <c r="M778" s="624"/>
      <c r="N778" s="85"/>
      <c r="O778" s="624"/>
      <c r="P778" s="85"/>
      <c r="Q778" s="626">
        <f t="shared" si="25"/>
        <v>0</v>
      </c>
      <c r="R778" s="85"/>
      <c r="S778" s="624"/>
      <c r="T778" s="260"/>
      <c r="U778" s="624"/>
      <c r="V778" s="85"/>
      <c r="W778" s="624"/>
      <c r="X778" s="81"/>
      <c r="Y778" s="80"/>
      <c r="Z778" s="737">
        <f ca="1">MAX(0%,IF(Q778&lt;&gt;0,MIN((S778-Q778)/Q778/'Underwriting Risk'!$E$27,'Premium and Reserve Risk'!$Z$761),'Premium and Reserve Risk'!$Z$761))</f>
        <v>6.4000000000000001E-2</v>
      </c>
      <c r="AA778" s="80"/>
      <c r="AB778" s="80"/>
      <c r="AC778" s="737">
        <f ca="1">MAX(0%,IF(U778&lt;&gt;0,MIN((W778-U778)/U778/'Underwriting Risk'!$E$27,'Premium and Reserve Risk'!$AC$761),'Premium and Reserve Risk'!$AC$761))</f>
        <v>0.22</v>
      </c>
      <c r="AD778" s="81"/>
      <c r="AE778" s="97"/>
      <c r="AF778" s="97"/>
      <c r="AG778" s="97"/>
      <c r="AH778" s="97"/>
    </row>
    <row r="779" spans="1:34" ht="13.5" customHeight="1" x14ac:dyDescent="0.25">
      <c r="A779" s="97"/>
      <c r="B779" s="257">
        <v>17</v>
      </c>
      <c r="C779" s="652"/>
      <c r="D779" s="80"/>
      <c r="E779" s="80"/>
      <c r="F779" s="258">
        <f t="shared" ca="1" si="26"/>
        <v>0</v>
      </c>
      <c r="G779" s="624"/>
      <c r="H779" s="85"/>
      <c r="I779" s="624"/>
      <c r="J779" s="85"/>
      <c r="K779" s="624"/>
      <c r="L779" s="85"/>
      <c r="M779" s="624"/>
      <c r="N779" s="85"/>
      <c r="O779" s="624"/>
      <c r="P779" s="85"/>
      <c r="Q779" s="626">
        <f t="shared" si="25"/>
        <v>0</v>
      </c>
      <c r="R779" s="85"/>
      <c r="S779" s="624"/>
      <c r="T779" s="260"/>
      <c r="U779" s="624"/>
      <c r="V779" s="85"/>
      <c r="W779" s="624"/>
      <c r="X779" s="81"/>
      <c r="Y779" s="80"/>
      <c r="Z779" s="737">
        <f ca="1">MAX(0%,IF(Q779&lt;&gt;0,MIN((S779-Q779)/Q779/'Underwriting Risk'!$E$27,'Premium and Reserve Risk'!$Z$761),'Premium and Reserve Risk'!$Z$761))</f>
        <v>6.4000000000000001E-2</v>
      </c>
      <c r="AA779" s="80"/>
      <c r="AB779" s="80"/>
      <c r="AC779" s="737">
        <f ca="1">MAX(0%,IF(U779&lt;&gt;0,MIN((W779-U779)/U779/'Underwriting Risk'!$E$27,'Premium and Reserve Risk'!$AC$761),'Premium and Reserve Risk'!$AC$761))</f>
        <v>0.22</v>
      </c>
      <c r="AD779" s="81"/>
      <c r="AE779" s="97"/>
      <c r="AF779" s="97"/>
      <c r="AG779" s="97"/>
      <c r="AH779" s="97"/>
    </row>
    <row r="780" spans="1:34" ht="13.5" customHeight="1" x14ac:dyDescent="0.25">
      <c r="A780" s="97"/>
      <c r="B780" s="257">
        <v>18</v>
      </c>
      <c r="C780" s="652"/>
      <c r="D780" s="80"/>
      <c r="E780" s="80"/>
      <c r="F780" s="258">
        <f t="shared" ca="1" si="26"/>
        <v>0</v>
      </c>
      <c r="G780" s="624"/>
      <c r="H780" s="85"/>
      <c r="I780" s="624"/>
      <c r="J780" s="85"/>
      <c r="K780" s="624"/>
      <c r="L780" s="85"/>
      <c r="M780" s="624"/>
      <c r="N780" s="85"/>
      <c r="O780" s="624"/>
      <c r="P780" s="85"/>
      <c r="Q780" s="626">
        <f t="shared" si="25"/>
        <v>0</v>
      </c>
      <c r="R780" s="85"/>
      <c r="S780" s="624"/>
      <c r="T780" s="260"/>
      <c r="U780" s="624"/>
      <c r="V780" s="85"/>
      <c r="W780" s="624"/>
      <c r="X780" s="81"/>
      <c r="Y780" s="80"/>
      <c r="Z780" s="737">
        <f ca="1">MAX(0%,IF(Q780&lt;&gt;0,MIN((S780-Q780)/Q780/'Underwriting Risk'!$E$27,'Premium and Reserve Risk'!$Z$761),'Premium and Reserve Risk'!$Z$761))</f>
        <v>6.4000000000000001E-2</v>
      </c>
      <c r="AA780" s="80"/>
      <c r="AB780" s="80"/>
      <c r="AC780" s="737">
        <f ca="1">MAX(0%,IF(U780&lt;&gt;0,MIN((W780-U780)/U780/'Underwriting Risk'!$E$27,'Premium and Reserve Risk'!$AC$761),'Premium and Reserve Risk'!$AC$761))</f>
        <v>0.22</v>
      </c>
      <c r="AD780" s="81"/>
      <c r="AE780" s="97"/>
      <c r="AF780" s="97"/>
      <c r="AG780" s="97"/>
      <c r="AH780" s="97"/>
    </row>
    <row r="781" spans="1:34" ht="13.5" customHeight="1" x14ac:dyDescent="0.25">
      <c r="A781" s="97"/>
      <c r="B781" s="257">
        <v>19</v>
      </c>
      <c r="C781" s="652"/>
      <c r="D781" s="80"/>
      <c r="E781" s="80"/>
      <c r="F781" s="258">
        <f t="shared" ca="1" si="26"/>
        <v>0</v>
      </c>
      <c r="G781" s="624"/>
      <c r="H781" s="85"/>
      <c r="I781" s="624"/>
      <c r="J781" s="85"/>
      <c r="K781" s="624"/>
      <c r="L781" s="85"/>
      <c r="M781" s="624"/>
      <c r="N781" s="85"/>
      <c r="O781" s="624"/>
      <c r="P781" s="85"/>
      <c r="Q781" s="626">
        <f t="shared" si="25"/>
        <v>0</v>
      </c>
      <c r="R781" s="85"/>
      <c r="S781" s="624"/>
      <c r="T781" s="260"/>
      <c r="U781" s="624"/>
      <c r="V781" s="85"/>
      <c r="W781" s="624"/>
      <c r="X781" s="81"/>
      <c r="Y781" s="80"/>
      <c r="Z781" s="737">
        <f ca="1">MAX(0%,IF(Q781&lt;&gt;0,MIN((S781-Q781)/Q781/'Underwriting Risk'!$E$27,'Premium and Reserve Risk'!$Z$761),'Premium and Reserve Risk'!$Z$761))</f>
        <v>6.4000000000000001E-2</v>
      </c>
      <c r="AA781" s="80"/>
      <c r="AB781" s="80"/>
      <c r="AC781" s="737">
        <f ca="1">MAX(0%,IF(U781&lt;&gt;0,MIN((W781-U781)/U781/'Underwriting Risk'!$E$27,'Premium and Reserve Risk'!$AC$761),'Premium and Reserve Risk'!$AC$761))</f>
        <v>0.22</v>
      </c>
      <c r="AD781" s="81"/>
      <c r="AE781" s="97"/>
      <c r="AF781" s="97"/>
      <c r="AG781" s="97"/>
      <c r="AH781" s="97"/>
    </row>
    <row r="782" spans="1:34" ht="13.5" customHeight="1" x14ac:dyDescent="0.25">
      <c r="A782" s="97"/>
      <c r="B782" s="257">
        <v>20</v>
      </c>
      <c r="C782" s="652"/>
      <c r="D782" s="80"/>
      <c r="E782" s="80"/>
      <c r="F782" s="258">
        <f t="shared" ca="1" si="26"/>
        <v>0</v>
      </c>
      <c r="G782" s="624"/>
      <c r="H782" s="85"/>
      <c r="I782" s="624"/>
      <c r="J782" s="85"/>
      <c r="K782" s="624"/>
      <c r="L782" s="85"/>
      <c r="M782" s="624"/>
      <c r="N782" s="85"/>
      <c r="O782" s="624"/>
      <c r="P782" s="85"/>
      <c r="Q782" s="626">
        <f t="shared" si="25"/>
        <v>0</v>
      </c>
      <c r="R782" s="85"/>
      <c r="S782" s="624"/>
      <c r="T782" s="260"/>
      <c r="U782" s="624"/>
      <c r="V782" s="85"/>
      <c r="W782" s="624"/>
      <c r="X782" s="81"/>
      <c r="Y782" s="80"/>
      <c r="Z782" s="737">
        <f ca="1">MAX(0%,IF(Q782&lt;&gt;0,MIN((S782-Q782)/Q782/'Underwriting Risk'!$E$27,'Premium and Reserve Risk'!$Z$761),'Premium and Reserve Risk'!$Z$761))</f>
        <v>6.4000000000000001E-2</v>
      </c>
      <c r="AA782" s="80"/>
      <c r="AB782" s="80"/>
      <c r="AC782" s="737">
        <f ca="1">MAX(0%,IF(U782&lt;&gt;0,MIN((W782-U782)/U782/'Underwriting Risk'!$E$27,'Premium and Reserve Risk'!$AC$761),'Premium and Reserve Risk'!$AC$761))</f>
        <v>0.22</v>
      </c>
      <c r="AD782" s="81"/>
      <c r="AE782" s="97"/>
      <c r="AF782" s="97"/>
      <c r="AG782" s="97"/>
      <c r="AH782" s="97"/>
    </row>
    <row r="783" spans="1:34" ht="13.5" customHeight="1" x14ac:dyDescent="0.25">
      <c r="A783" s="97"/>
      <c r="B783" s="257">
        <v>21</v>
      </c>
      <c r="C783" s="652"/>
      <c r="D783" s="80"/>
      <c r="E783" s="80"/>
      <c r="F783" s="258">
        <f t="shared" ca="1" si="26"/>
        <v>0</v>
      </c>
      <c r="G783" s="624"/>
      <c r="H783" s="85"/>
      <c r="I783" s="624"/>
      <c r="J783" s="85"/>
      <c r="K783" s="624"/>
      <c r="L783" s="85"/>
      <c r="M783" s="624"/>
      <c r="N783" s="85"/>
      <c r="O783" s="624"/>
      <c r="P783" s="85"/>
      <c r="Q783" s="626">
        <f t="shared" si="25"/>
        <v>0</v>
      </c>
      <c r="R783" s="85"/>
      <c r="S783" s="624"/>
      <c r="T783" s="260"/>
      <c r="U783" s="624"/>
      <c r="V783" s="85"/>
      <c r="W783" s="624"/>
      <c r="X783" s="81"/>
      <c r="Y783" s="80"/>
      <c r="Z783" s="737">
        <f ca="1">MAX(0%,IF(Q783&lt;&gt;0,MIN((S783-Q783)/Q783/'Underwriting Risk'!$E$27,'Premium and Reserve Risk'!$Z$761),'Premium and Reserve Risk'!$Z$761))</f>
        <v>6.4000000000000001E-2</v>
      </c>
      <c r="AA783" s="80"/>
      <c r="AB783" s="80"/>
      <c r="AC783" s="737">
        <f ca="1">MAX(0%,IF(U783&lt;&gt;0,MIN((W783-U783)/U783/'Underwriting Risk'!$E$27,'Premium and Reserve Risk'!$AC$761),'Premium and Reserve Risk'!$AC$761))</f>
        <v>0.22</v>
      </c>
      <c r="AD783" s="81"/>
      <c r="AE783" s="97"/>
      <c r="AF783" s="97"/>
      <c r="AG783" s="97"/>
      <c r="AH783" s="97"/>
    </row>
    <row r="784" spans="1:34" ht="13.5" customHeight="1" x14ac:dyDescent="0.25">
      <c r="A784" s="97"/>
      <c r="B784" s="257">
        <v>22</v>
      </c>
      <c r="C784" s="652"/>
      <c r="D784" s="80"/>
      <c r="E784" s="80"/>
      <c r="F784" s="258">
        <f t="shared" ca="1" si="26"/>
        <v>0</v>
      </c>
      <c r="G784" s="624"/>
      <c r="H784" s="85"/>
      <c r="I784" s="624"/>
      <c r="J784" s="85"/>
      <c r="K784" s="624"/>
      <c r="L784" s="85"/>
      <c r="M784" s="624"/>
      <c r="N784" s="85"/>
      <c r="O784" s="624"/>
      <c r="P784" s="85"/>
      <c r="Q784" s="626">
        <f t="shared" si="25"/>
        <v>0</v>
      </c>
      <c r="R784" s="85"/>
      <c r="S784" s="624"/>
      <c r="T784" s="260"/>
      <c r="U784" s="624"/>
      <c r="V784" s="85"/>
      <c r="W784" s="624"/>
      <c r="X784" s="81"/>
      <c r="Y784" s="80"/>
      <c r="Z784" s="737">
        <f ca="1">MAX(0%,IF(Q784&lt;&gt;0,MIN((S784-Q784)/Q784/'Underwriting Risk'!$E$27,'Premium and Reserve Risk'!$Z$761),'Premium and Reserve Risk'!$Z$761))</f>
        <v>6.4000000000000001E-2</v>
      </c>
      <c r="AA784" s="80"/>
      <c r="AB784" s="80"/>
      <c r="AC784" s="737">
        <f ca="1">MAX(0%,IF(U784&lt;&gt;0,MIN((W784-U784)/U784/'Underwriting Risk'!$E$27,'Premium and Reserve Risk'!$AC$761),'Premium and Reserve Risk'!$AC$761))</f>
        <v>0.22</v>
      </c>
      <c r="AD784" s="81"/>
      <c r="AE784" s="97"/>
      <c r="AF784" s="97"/>
      <c r="AG784" s="97"/>
      <c r="AH784" s="97"/>
    </row>
    <row r="785" spans="1:34" ht="13.5" customHeight="1" x14ac:dyDescent="0.25">
      <c r="A785" s="97"/>
      <c r="B785" s="257">
        <v>23</v>
      </c>
      <c r="C785" s="652"/>
      <c r="D785" s="80"/>
      <c r="E785" s="80"/>
      <c r="F785" s="258">
        <f t="shared" ca="1" si="26"/>
        <v>0</v>
      </c>
      <c r="G785" s="624"/>
      <c r="H785" s="85"/>
      <c r="I785" s="624"/>
      <c r="J785" s="85"/>
      <c r="K785" s="624"/>
      <c r="L785" s="85"/>
      <c r="M785" s="624"/>
      <c r="N785" s="85"/>
      <c r="O785" s="624"/>
      <c r="P785" s="85"/>
      <c r="Q785" s="626">
        <f t="shared" si="25"/>
        <v>0</v>
      </c>
      <c r="R785" s="85"/>
      <c r="S785" s="624"/>
      <c r="T785" s="260"/>
      <c r="U785" s="624"/>
      <c r="V785" s="85"/>
      <c r="W785" s="624"/>
      <c r="X785" s="81"/>
      <c r="Y785" s="80"/>
      <c r="Z785" s="737">
        <f ca="1">MAX(0%,IF(Q785&lt;&gt;0,MIN((S785-Q785)/Q785/'Underwriting Risk'!$E$27,'Premium and Reserve Risk'!$Z$761),'Premium and Reserve Risk'!$Z$761))</f>
        <v>6.4000000000000001E-2</v>
      </c>
      <c r="AA785" s="80"/>
      <c r="AB785" s="80"/>
      <c r="AC785" s="737">
        <f ca="1">MAX(0%,IF(U785&lt;&gt;0,MIN((W785-U785)/U785/'Underwriting Risk'!$E$27,'Premium and Reserve Risk'!$AC$761),'Premium and Reserve Risk'!$AC$761))</f>
        <v>0.22</v>
      </c>
      <c r="AD785" s="81"/>
      <c r="AE785" s="97"/>
      <c r="AF785" s="97"/>
      <c r="AG785" s="97"/>
      <c r="AH785" s="97"/>
    </row>
    <row r="786" spans="1:34" ht="13.5" customHeight="1" x14ac:dyDescent="0.25">
      <c r="A786" s="97"/>
      <c r="B786" s="257">
        <v>24</v>
      </c>
      <c r="C786" s="652"/>
      <c r="D786" s="80"/>
      <c r="E786" s="80"/>
      <c r="F786" s="258">
        <f t="shared" ca="1" si="26"/>
        <v>0</v>
      </c>
      <c r="G786" s="624"/>
      <c r="H786" s="85"/>
      <c r="I786" s="624"/>
      <c r="J786" s="85"/>
      <c r="K786" s="624"/>
      <c r="L786" s="85"/>
      <c r="M786" s="624"/>
      <c r="N786" s="85"/>
      <c r="O786" s="624"/>
      <c r="P786" s="85"/>
      <c r="Q786" s="626">
        <f t="shared" si="25"/>
        <v>0</v>
      </c>
      <c r="R786" s="85"/>
      <c r="S786" s="624"/>
      <c r="T786" s="260"/>
      <c r="U786" s="624"/>
      <c r="V786" s="85"/>
      <c r="W786" s="624"/>
      <c r="X786" s="81"/>
      <c r="Y786" s="80"/>
      <c r="Z786" s="737">
        <f ca="1">MAX(0%,IF(Q786&lt;&gt;0,MIN((S786-Q786)/Q786/'Underwriting Risk'!$E$27,'Premium and Reserve Risk'!$Z$761),'Premium and Reserve Risk'!$Z$761))</f>
        <v>6.4000000000000001E-2</v>
      </c>
      <c r="AA786" s="80"/>
      <c r="AB786" s="80"/>
      <c r="AC786" s="737">
        <f ca="1">MAX(0%,IF(U786&lt;&gt;0,MIN((W786-U786)/U786/'Underwriting Risk'!$E$27,'Premium and Reserve Risk'!$AC$761),'Premium and Reserve Risk'!$AC$761))</f>
        <v>0.22</v>
      </c>
      <c r="AD786" s="81"/>
      <c r="AE786" s="97"/>
      <c r="AF786" s="97"/>
      <c r="AG786" s="97"/>
      <c r="AH786" s="97"/>
    </row>
    <row r="787" spans="1:34" ht="13.5" customHeight="1" x14ac:dyDescent="0.25">
      <c r="A787" s="97"/>
      <c r="B787" s="257">
        <v>25</v>
      </c>
      <c r="C787" s="652"/>
      <c r="D787" s="80"/>
      <c r="E787" s="80"/>
      <c r="F787" s="258">
        <f t="shared" ca="1" si="26"/>
        <v>0</v>
      </c>
      <c r="G787" s="624"/>
      <c r="H787" s="85"/>
      <c r="I787" s="624"/>
      <c r="J787" s="85"/>
      <c r="K787" s="624"/>
      <c r="L787" s="85"/>
      <c r="M787" s="624"/>
      <c r="N787" s="85"/>
      <c r="O787" s="624"/>
      <c r="P787" s="85"/>
      <c r="Q787" s="626">
        <f t="shared" si="25"/>
        <v>0</v>
      </c>
      <c r="R787" s="85"/>
      <c r="S787" s="624"/>
      <c r="T787" s="260"/>
      <c r="U787" s="624"/>
      <c r="V787" s="85"/>
      <c r="W787" s="624"/>
      <c r="X787" s="81"/>
      <c r="Y787" s="80"/>
      <c r="Z787" s="737">
        <f ca="1">MAX(0%,IF(Q787&lt;&gt;0,MIN((S787-Q787)/Q787/'Underwriting Risk'!$E$27,'Premium and Reserve Risk'!$Z$761),'Premium and Reserve Risk'!$Z$761))</f>
        <v>6.4000000000000001E-2</v>
      </c>
      <c r="AA787" s="80"/>
      <c r="AB787" s="80"/>
      <c r="AC787" s="737">
        <f ca="1">MAX(0%,IF(U787&lt;&gt;0,MIN((W787-U787)/U787/'Underwriting Risk'!$E$27,'Premium and Reserve Risk'!$AC$761),'Premium and Reserve Risk'!$AC$761))</f>
        <v>0.22</v>
      </c>
      <c r="AD787" s="81"/>
      <c r="AE787" s="97"/>
      <c r="AF787" s="97"/>
      <c r="AG787" s="97"/>
      <c r="AH787" s="97"/>
    </row>
    <row r="788" spans="1:34" ht="13.5" customHeight="1" x14ac:dyDescent="0.25">
      <c r="A788" s="97"/>
      <c r="B788" s="257">
        <v>26</v>
      </c>
      <c r="C788" s="652"/>
      <c r="D788" s="80"/>
      <c r="E788" s="80"/>
      <c r="F788" s="258">
        <f t="shared" ca="1" si="26"/>
        <v>0</v>
      </c>
      <c r="G788" s="624"/>
      <c r="H788" s="85"/>
      <c r="I788" s="624"/>
      <c r="J788" s="85"/>
      <c r="K788" s="624"/>
      <c r="L788" s="85"/>
      <c r="M788" s="624"/>
      <c r="N788" s="85"/>
      <c r="O788" s="624"/>
      <c r="P788" s="85"/>
      <c r="Q788" s="626">
        <f t="shared" si="25"/>
        <v>0</v>
      </c>
      <c r="R788" s="85"/>
      <c r="S788" s="624"/>
      <c r="T788" s="260"/>
      <c r="U788" s="624"/>
      <c r="V788" s="85"/>
      <c r="W788" s="624"/>
      <c r="X788" s="81"/>
      <c r="Y788" s="80"/>
      <c r="Z788" s="737">
        <f ca="1">MAX(0%,IF(Q788&lt;&gt;0,MIN((S788-Q788)/Q788/'Underwriting Risk'!$E$27,'Premium and Reserve Risk'!$Z$761),'Premium and Reserve Risk'!$Z$761))</f>
        <v>6.4000000000000001E-2</v>
      </c>
      <c r="AA788" s="80"/>
      <c r="AB788" s="80"/>
      <c r="AC788" s="737">
        <f ca="1">MAX(0%,IF(U788&lt;&gt;0,MIN((W788-U788)/U788/'Underwriting Risk'!$E$27,'Premium and Reserve Risk'!$AC$761),'Premium and Reserve Risk'!$AC$761))</f>
        <v>0.22</v>
      </c>
      <c r="AD788" s="81"/>
      <c r="AE788" s="97"/>
      <c r="AF788" s="97"/>
      <c r="AG788" s="97"/>
      <c r="AH788" s="97"/>
    </row>
    <row r="789" spans="1:34" ht="13.5" customHeight="1" x14ac:dyDescent="0.25">
      <c r="A789" s="97"/>
      <c r="B789" s="257">
        <v>27</v>
      </c>
      <c r="C789" s="652"/>
      <c r="D789" s="80"/>
      <c r="E789" s="80"/>
      <c r="F789" s="258">
        <f t="shared" ca="1" si="26"/>
        <v>0</v>
      </c>
      <c r="G789" s="624"/>
      <c r="H789" s="85"/>
      <c r="I789" s="624"/>
      <c r="J789" s="85"/>
      <c r="K789" s="624"/>
      <c r="L789" s="85"/>
      <c r="M789" s="624"/>
      <c r="N789" s="85"/>
      <c r="O789" s="624"/>
      <c r="P789" s="85"/>
      <c r="Q789" s="626">
        <f t="shared" si="25"/>
        <v>0</v>
      </c>
      <c r="R789" s="85"/>
      <c r="S789" s="624"/>
      <c r="T789" s="260"/>
      <c r="U789" s="624"/>
      <c r="V789" s="85"/>
      <c r="W789" s="624"/>
      <c r="X789" s="81"/>
      <c r="Y789" s="80"/>
      <c r="Z789" s="737">
        <f ca="1">MAX(0%,IF(Q789&lt;&gt;0,MIN((S789-Q789)/Q789/'Underwriting Risk'!$E$27,'Premium and Reserve Risk'!$Z$761),'Premium and Reserve Risk'!$Z$761))</f>
        <v>6.4000000000000001E-2</v>
      </c>
      <c r="AA789" s="80"/>
      <c r="AB789" s="80"/>
      <c r="AC789" s="737">
        <f ca="1">MAX(0%,IF(U789&lt;&gt;0,MIN((W789-U789)/U789/'Underwriting Risk'!$E$27,'Premium and Reserve Risk'!$AC$761),'Premium and Reserve Risk'!$AC$761))</f>
        <v>0.22</v>
      </c>
      <c r="AD789" s="81"/>
      <c r="AE789" s="97"/>
      <c r="AF789" s="97"/>
      <c r="AG789" s="97"/>
      <c r="AH789" s="97"/>
    </row>
    <row r="790" spans="1:34" ht="13.5" customHeight="1" x14ac:dyDescent="0.25">
      <c r="A790" s="97"/>
      <c r="B790" s="257">
        <v>28</v>
      </c>
      <c r="C790" s="652"/>
      <c r="D790" s="80"/>
      <c r="E790" s="80"/>
      <c r="F790" s="258">
        <f t="shared" ca="1" si="26"/>
        <v>0</v>
      </c>
      <c r="G790" s="624"/>
      <c r="H790" s="85"/>
      <c r="I790" s="624"/>
      <c r="J790" s="85"/>
      <c r="K790" s="624"/>
      <c r="L790" s="85"/>
      <c r="M790" s="624"/>
      <c r="N790" s="85"/>
      <c r="O790" s="624"/>
      <c r="P790" s="85"/>
      <c r="Q790" s="626">
        <f t="shared" si="25"/>
        <v>0</v>
      </c>
      <c r="R790" s="85"/>
      <c r="S790" s="624"/>
      <c r="T790" s="260"/>
      <c r="U790" s="624"/>
      <c r="V790" s="85"/>
      <c r="W790" s="624"/>
      <c r="X790" s="81"/>
      <c r="Y790" s="80"/>
      <c r="Z790" s="737">
        <f ca="1">MAX(0%,IF(Q790&lt;&gt;0,MIN((S790-Q790)/Q790/'Underwriting Risk'!$E$27,'Premium and Reserve Risk'!$Z$761),'Premium and Reserve Risk'!$Z$761))</f>
        <v>6.4000000000000001E-2</v>
      </c>
      <c r="AA790" s="80"/>
      <c r="AB790" s="80"/>
      <c r="AC790" s="737">
        <f ca="1">MAX(0%,IF(U790&lt;&gt;0,MIN((W790-U790)/U790/'Underwriting Risk'!$E$27,'Premium and Reserve Risk'!$AC$761),'Premium and Reserve Risk'!$AC$761))</f>
        <v>0.22</v>
      </c>
      <c r="AD790" s="81"/>
      <c r="AE790" s="97"/>
      <c r="AF790" s="97"/>
      <c r="AG790" s="97"/>
      <c r="AH790" s="97"/>
    </row>
    <row r="791" spans="1:34" ht="13.5" customHeight="1" x14ac:dyDescent="0.25">
      <c r="A791" s="97"/>
      <c r="B791" s="257">
        <v>29</v>
      </c>
      <c r="C791" s="652"/>
      <c r="D791" s="80"/>
      <c r="E791" s="80"/>
      <c r="F791" s="258">
        <f t="shared" ca="1" si="26"/>
        <v>0</v>
      </c>
      <c r="G791" s="624"/>
      <c r="H791" s="85"/>
      <c r="I791" s="624"/>
      <c r="J791" s="85"/>
      <c r="K791" s="624"/>
      <c r="L791" s="85"/>
      <c r="M791" s="624"/>
      <c r="N791" s="85"/>
      <c r="O791" s="624"/>
      <c r="P791" s="85"/>
      <c r="Q791" s="626">
        <f t="shared" si="25"/>
        <v>0</v>
      </c>
      <c r="R791" s="85"/>
      <c r="S791" s="624"/>
      <c r="T791" s="260"/>
      <c r="U791" s="624"/>
      <c r="V791" s="85"/>
      <c r="W791" s="624"/>
      <c r="X791" s="81"/>
      <c r="Y791" s="80"/>
      <c r="Z791" s="737">
        <f ca="1">MAX(0%,IF(Q791&lt;&gt;0,MIN((S791-Q791)/Q791/'Underwriting Risk'!$E$27,'Premium and Reserve Risk'!$Z$761),'Premium and Reserve Risk'!$Z$761))</f>
        <v>6.4000000000000001E-2</v>
      </c>
      <c r="AA791" s="80"/>
      <c r="AB791" s="80"/>
      <c r="AC791" s="737">
        <f ca="1">MAX(0%,IF(U791&lt;&gt;0,MIN((W791-U791)/U791/'Underwriting Risk'!$E$27,'Premium and Reserve Risk'!$AC$761),'Premium and Reserve Risk'!$AC$761))</f>
        <v>0.22</v>
      </c>
      <c r="AD791" s="81"/>
      <c r="AE791" s="97"/>
      <c r="AF791" s="97"/>
      <c r="AG791" s="97"/>
      <c r="AH791" s="97"/>
    </row>
    <row r="792" spans="1:34" ht="13.5" customHeight="1" x14ac:dyDescent="0.25">
      <c r="A792" s="97"/>
      <c r="B792" s="257">
        <v>30</v>
      </c>
      <c r="C792" s="652"/>
      <c r="D792" s="80"/>
      <c r="E792" s="80"/>
      <c r="F792" s="258">
        <f t="shared" ca="1" si="26"/>
        <v>0</v>
      </c>
      <c r="G792" s="624"/>
      <c r="H792" s="85"/>
      <c r="I792" s="624"/>
      <c r="J792" s="85"/>
      <c r="K792" s="624"/>
      <c r="L792" s="85"/>
      <c r="M792" s="624"/>
      <c r="N792" s="85"/>
      <c r="O792" s="624"/>
      <c r="P792" s="85"/>
      <c r="Q792" s="626">
        <f t="shared" si="25"/>
        <v>0</v>
      </c>
      <c r="R792" s="85"/>
      <c r="S792" s="624"/>
      <c r="T792" s="260"/>
      <c r="U792" s="624"/>
      <c r="V792" s="85"/>
      <c r="W792" s="624"/>
      <c r="X792" s="81"/>
      <c r="Y792" s="80"/>
      <c r="Z792" s="737">
        <f ca="1">MAX(0%,IF(Q792&lt;&gt;0,MIN((S792-Q792)/Q792/'Underwriting Risk'!$E$27,'Premium and Reserve Risk'!$Z$761),'Premium and Reserve Risk'!$Z$761))</f>
        <v>6.4000000000000001E-2</v>
      </c>
      <c r="AA792" s="80"/>
      <c r="AB792" s="80"/>
      <c r="AC792" s="737">
        <f ca="1">MAX(0%,IF(U792&lt;&gt;0,MIN((W792-U792)/U792/'Underwriting Risk'!$E$27,'Premium and Reserve Risk'!$AC$761),'Premium and Reserve Risk'!$AC$761))</f>
        <v>0.22</v>
      </c>
      <c r="AD792" s="81"/>
      <c r="AE792" s="97"/>
      <c r="AF792" s="97"/>
      <c r="AG792" s="97"/>
      <c r="AH792" s="97"/>
    </row>
    <row r="793" spans="1:34" ht="13.5" customHeight="1" x14ac:dyDescent="0.25">
      <c r="A793" s="97"/>
      <c r="B793" s="257">
        <v>31</v>
      </c>
      <c r="C793" s="652"/>
      <c r="D793" s="80"/>
      <c r="E793" s="80"/>
      <c r="F793" s="258">
        <f t="shared" ca="1" si="26"/>
        <v>0</v>
      </c>
      <c r="G793" s="624"/>
      <c r="H793" s="85"/>
      <c r="I793" s="624"/>
      <c r="J793" s="85"/>
      <c r="K793" s="624"/>
      <c r="L793" s="85"/>
      <c r="M793" s="624"/>
      <c r="N793" s="85"/>
      <c r="O793" s="624"/>
      <c r="P793" s="85"/>
      <c r="Q793" s="626">
        <f t="shared" si="25"/>
        <v>0</v>
      </c>
      <c r="R793" s="85"/>
      <c r="S793" s="624"/>
      <c r="T793" s="260"/>
      <c r="U793" s="624"/>
      <c r="V793" s="85"/>
      <c r="W793" s="624"/>
      <c r="X793" s="81"/>
      <c r="Y793" s="80"/>
      <c r="Z793" s="737">
        <f ca="1">MAX(0%,IF(Q793&lt;&gt;0,MIN((S793-Q793)/Q793/'Underwriting Risk'!$E$27,'Premium and Reserve Risk'!$Z$761),'Premium and Reserve Risk'!$Z$761))</f>
        <v>6.4000000000000001E-2</v>
      </c>
      <c r="AA793" s="80"/>
      <c r="AB793" s="80"/>
      <c r="AC793" s="737">
        <f ca="1">MAX(0%,IF(U793&lt;&gt;0,MIN((W793-U793)/U793/'Underwriting Risk'!$E$27,'Premium and Reserve Risk'!$AC$761),'Premium and Reserve Risk'!$AC$761))</f>
        <v>0.22</v>
      </c>
      <c r="AD793" s="81"/>
      <c r="AE793" s="97"/>
      <c r="AF793" s="97"/>
      <c r="AG793" s="97"/>
      <c r="AH793" s="97"/>
    </row>
    <row r="794" spans="1:34" ht="13.5" customHeight="1" x14ac:dyDescent="0.25">
      <c r="A794" s="97"/>
      <c r="B794" s="257">
        <v>32</v>
      </c>
      <c r="C794" s="652"/>
      <c r="D794" s="80"/>
      <c r="E794" s="80"/>
      <c r="F794" s="258">
        <f t="shared" ca="1" si="26"/>
        <v>0</v>
      </c>
      <c r="G794" s="624"/>
      <c r="H794" s="85"/>
      <c r="I794" s="624"/>
      <c r="J794" s="85"/>
      <c r="K794" s="624"/>
      <c r="L794" s="85"/>
      <c r="M794" s="624"/>
      <c r="N794" s="85"/>
      <c r="O794" s="624"/>
      <c r="P794" s="85"/>
      <c r="Q794" s="626">
        <f t="shared" si="25"/>
        <v>0</v>
      </c>
      <c r="R794" s="85"/>
      <c r="S794" s="624"/>
      <c r="T794" s="260"/>
      <c r="U794" s="624"/>
      <c r="V794" s="85"/>
      <c r="W794" s="624"/>
      <c r="X794" s="81"/>
      <c r="Y794" s="80"/>
      <c r="Z794" s="737">
        <f ca="1">MAX(0%,IF(Q794&lt;&gt;0,MIN((S794-Q794)/Q794/'Underwriting Risk'!$E$27,'Premium and Reserve Risk'!$Z$761),'Premium and Reserve Risk'!$Z$761))</f>
        <v>6.4000000000000001E-2</v>
      </c>
      <c r="AA794" s="80"/>
      <c r="AB794" s="80"/>
      <c r="AC794" s="737">
        <f ca="1">MAX(0%,IF(U794&lt;&gt;0,MIN((W794-U794)/U794/'Underwriting Risk'!$E$27,'Premium and Reserve Risk'!$AC$761),'Premium and Reserve Risk'!$AC$761))</f>
        <v>0.22</v>
      </c>
      <c r="AD794" s="81"/>
      <c r="AE794" s="97"/>
      <c r="AF794" s="97"/>
      <c r="AG794" s="97"/>
      <c r="AH794" s="97"/>
    </row>
    <row r="795" spans="1:34" ht="13.5" customHeight="1" x14ac:dyDescent="0.25">
      <c r="A795" s="97"/>
      <c r="B795" s="257">
        <v>33</v>
      </c>
      <c r="C795" s="652"/>
      <c r="D795" s="80"/>
      <c r="E795" s="80"/>
      <c r="F795" s="258">
        <f t="shared" ca="1" si="26"/>
        <v>0</v>
      </c>
      <c r="G795" s="624"/>
      <c r="H795" s="85"/>
      <c r="I795" s="624"/>
      <c r="J795" s="85"/>
      <c r="K795" s="624"/>
      <c r="L795" s="85"/>
      <c r="M795" s="624"/>
      <c r="N795" s="85"/>
      <c r="O795" s="624"/>
      <c r="P795" s="85"/>
      <c r="Q795" s="626">
        <f t="shared" si="25"/>
        <v>0</v>
      </c>
      <c r="R795" s="85"/>
      <c r="S795" s="624"/>
      <c r="T795" s="260"/>
      <c r="U795" s="624"/>
      <c r="V795" s="85"/>
      <c r="W795" s="624"/>
      <c r="X795" s="81"/>
      <c r="Y795" s="80"/>
      <c r="Z795" s="737">
        <f ca="1">MAX(0%,IF(Q795&lt;&gt;0,MIN((S795-Q795)/Q795/'Underwriting Risk'!$E$27,'Premium and Reserve Risk'!$Z$761),'Premium and Reserve Risk'!$Z$761))</f>
        <v>6.4000000000000001E-2</v>
      </c>
      <c r="AA795" s="80"/>
      <c r="AB795" s="80"/>
      <c r="AC795" s="737">
        <f ca="1">MAX(0%,IF(U795&lt;&gt;0,MIN((W795-U795)/U795/'Underwriting Risk'!$E$27,'Premium and Reserve Risk'!$AC$761),'Premium and Reserve Risk'!$AC$761))</f>
        <v>0.22</v>
      </c>
      <c r="AD795" s="81"/>
      <c r="AE795" s="97"/>
      <c r="AF795" s="97"/>
      <c r="AG795" s="97"/>
      <c r="AH795" s="97"/>
    </row>
    <row r="796" spans="1:34" ht="13.5" customHeight="1" x14ac:dyDescent="0.25">
      <c r="A796" s="97"/>
      <c r="B796" s="257">
        <v>34</v>
      </c>
      <c r="C796" s="652"/>
      <c r="D796" s="80"/>
      <c r="E796" s="80"/>
      <c r="F796" s="258">
        <f t="shared" ca="1" si="26"/>
        <v>0</v>
      </c>
      <c r="G796" s="624"/>
      <c r="H796" s="85"/>
      <c r="I796" s="624"/>
      <c r="J796" s="85"/>
      <c r="K796" s="624"/>
      <c r="L796" s="85"/>
      <c r="M796" s="624"/>
      <c r="N796" s="85"/>
      <c r="O796" s="624"/>
      <c r="P796" s="85"/>
      <c r="Q796" s="626">
        <f t="shared" si="25"/>
        <v>0</v>
      </c>
      <c r="R796" s="85"/>
      <c r="S796" s="624"/>
      <c r="T796" s="260"/>
      <c r="U796" s="624"/>
      <c r="V796" s="85"/>
      <c r="W796" s="624"/>
      <c r="X796" s="81"/>
      <c r="Y796" s="80"/>
      <c r="Z796" s="737">
        <f ca="1">MAX(0%,IF(Q796&lt;&gt;0,MIN((S796-Q796)/Q796/'Underwriting Risk'!$E$27,'Premium and Reserve Risk'!$Z$761),'Premium and Reserve Risk'!$Z$761))</f>
        <v>6.4000000000000001E-2</v>
      </c>
      <c r="AA796" s="80"/>
      <c r="AB796" s="80"/>
      <c r="AC796" s="737">
        <f ca="1">MAX(0%,IF(U796&lt;&gt;0,MIN((W796-U796)/U796/'Underwriting Risk'!$E$27,'Premium and Reserve Risk'!$AC$761),'Premium and Reserve Risk'!$AC$761))</f>
        <v>0.22</v>
      </c>
      <c r="AD796" s="81"/>
      <c r="AE796" s="97"/>
      <c r="AF796" s="97"/>
      <c r="AG796" s="97"/>
      <c r="AH796" s="97"/>
    </row>
    <row r="797" spans="1:34" ht="13.5" customHeight="1" x14ac:dyDescent="0.25">
      <c r="A797" s="97"/>
      <c r="B797" s="257">
        <v>35</v>
      </c>
      <c r="C797" s="652"/>
      <c r="D797" s="80"/>
      <c r="E797" s="80"/>
      <c r="F797" s="258">
        <f t="shared" ca="1" si="26"/>
        <v>0</v>
      </c>
      <c r="G797" s="624"/>
      <c r="H797" s="85"/>
      <c r="I797" s="624"/>
      <c r="J797" s="85"/>
      <c r="K797" s="624"/>
      <c r="L797" s="85"/>
      <c r="M797" s="624"/>
      <c r="N797" s="85"/>
      <c r="O797" s="624"/>
      <c r="P797" s="85"/>
      <c r="Q797" s="626">
        <f t="shared" si="25"/>
        <v>0</v>
      </c>
      <c r="R797" s="85"/>
      <c r="S797" s="624"/>
      <c r="T797" s="260"/>
      <c r="U797" s="624"/>
      <c r="V797" s="85"/>
      <c r="W797" s="624"/>
      <c r="X797" s="81"/>
      <c r="Y797" s="80"/>
      <c r="Z797" s="737">
        <f ca="1">MAX(0%,IF(Q797&lt;&gt;0,MIN((S797-Q797)/Q797/'Underwriting Risk'!$E$27,'Premium and Reserve Risk'!$Z$761),'Premium and Reserve Risk'!$Z$761))</f>
        <v>6.4000000000000001E-2</v>
      </c>
      <c r="AA797" s="80"/>
      <c r="AB797" s="80"/>
      <c r="AC797" s="737">
        <f ca="1">MAX(0%,IF(U797&lt;&gt;0,MIN((W797-U797)/U797/'Underwriting Risk'!$E$27,'Premium and Reserve Risk'!$AC$761),'Premium and Reserve Risk'!$AC$761))</f>
        <v>0.22</v>
      </c>
      <c r="AD797" s="81"/>
      <c r="AE797" s="97"/>
      <c r="AF797" s="97"/>
      <c r="AG797" s="97"/>
      <c r="AH797" s="97"/>
    </row>
    <row r="798" spans="1:34" ht="13.5" customHeight="1" x14ac:dyDescent="0.25">
      <c r="A798" s="97"/>
      <c r="B798" s="257">
        <v>36</v>
      </c>
      <c r="C798" s="652"/>
      <c r="D798" s="80"/>
      <c r="E798" s="80"/>
      <c r="F798" s="258">
        <f t="shared" ca="1" si="26"/>
        <v>0</v>
      </c>
      <c r="G798" s="624"/>
      <c r="H798" s="85"/>
      <c r="I798" s="624"/>
      <c r="J798" s="85"/>
      <c r="K798" s="624"/>
      <c r="L798" s="85"/>
      <c r="M798" s="624"/>
      <c r="N798" s="85"/>
      <c r="O798" s="624"/>
      <c r="P798" s="85"/>
      <c r="Q798" s="626">
        <f t="shared" si="25"/>
        <v>0</v>
      </c>
      <c r="R798" s="85"/>
      <c r="S798" s="624"/>
      <c r="T798" s="260"/>
      <c r="U798" s="624"/>
      <c r="V798" s="85"/>
      <c r="W798" s="624"/>
      <c r="X798" s="81"/>
      <c r="Y798" s="80"/>
      <c r="Z798" s="737">
        <f ca="1">MAX(0%,IF(Q798&lt;&gt;0,MIN((S798-Q798)/Q798/'Underwriting Risk'!$E$27,'Premium and Reserve Risk'!$Z$761),'Premium and Reserve Risk'!$Z$761))</f>
        <v>6.4000000000000001E-2</v>
      </c>
      <c r="AA798" s="80"/>
      <c r="AB798" s="80"/>
      <c r="AC798" s="737">
        <f ca="1">MAX(0%,IF(U798&lt;&gt;0,MIN((W798-U798)/U798/'Underwriting Risk'!$E$27,'Premium and Reserve Risk'!$AC$761),'Premium and Reserve Risk'!$AC$761))</f>
        <v>0.22</v>
      </c>
      <c r="AD798" s="81"/>
      <c r="AE798" s="97"/>
      <c r="AF798" s="97"/>
      <c r="AG798" s="97"/>
      <c r="AH798" s="97"/>
    </row>
    <row r="799" spans="1:34" ht="13.5" customHeight="1" x14ac:dyDescent="0.25">
      <c r="A799" s="97"/>
      <c r="B799" s="257">
        <v>37</v>
      </c>
      <c r="C799" s="652"/>
      <c r="D799" s="80"/>
      <c r="E799" s="80"/>
      <c r="F799" s="258">
        <f t="shared" ca="1" si="26"/>
        <v>0</v>
      </c>
      <c r="G799" s="624"/>
      <c r="H799" s="85"/>
      <c r="I799" s="624"/>
      <c r="J799" s="85"/>
      <c r="K799" s="624"/>
      <c r="L799" s="85"/>
      <c r="M799" s="624"/>
      <c r="N799" s="85"/>
      <c r="O799" s="624"/>
      <c r="P799" s="85"/>
      <c r="Q799" s="626">
        <f t="shared" si="25"/>
        <v>0</v>
      </c>
      <c r="R799" s="85"/>
      <c r="S799" s="624"/>
      <c r="T799" s="260"/>
      <c r="U799" s="624"/>
      <c r="V799" s="85"/>
      <c r="W799" s="624"/>
      <c r="X799" s="81"/>
      <c r="Y799" s="80"/>
      <c r="Z799" s="737">
        <f ca="1">MAX(0%,IF(Q799&lt;&gt;0,MIN((S799-Q799)/Q799/'Underwriting Risk'!$E$27,'Premium and Reserve Risk'!$Z$761),'Premium and Reserve Risk'!$Z$761))</f>
        <v>6.4000000000000001E-2</v>
      </c>
      <c r="AA799" s="80"/>
      <c r="AB799" s="80"/>
      <c r="AC799" s="737">
        <f ca="1">MAX(0%,IF(U799&lt;&gt;0,MIN((W799-U799)/U799/'Underwriting Risk'!$E$27,'Premium and Reserve Risk'!$AC$761),'Premium and Reserve Risk'!$AC$761))</f>
        <v>0.22</v>
      </c>
      <c r="AD799" s="81"/>
      <c r="AE799" s="97"/>
      <c r="AF799" s="97"/>
      <c r="AG799" s="97"/>
      <c r="AH799" s="97"/>
    </row>
    <row r="800" spans="1:34" ht="13.5" customHeight="1" x14ac:dyDescent="0.25">
      <c r="A800" s="97"/>
      <c r="B800" s="257">
        <v>38</v>
      </c>
      <c r="C800" s="652"/>
      <c r="D800" s="80"/>
      <c r="E800" s="80"/>
      <c r="F800" s="258">
        <f t="shared" ca="1" si="26"/>
        <v>0</v>
      </c>
      <c r="G800" s="624"/>
      <c r="H800" s="85"/>
      <c r="I800" s="624"/>
      <c r="J800" s="85"/>
      <c r="K800" s="624"/>
      <c r="L800" s="85"/>
      <c r="M800" s="624"/>
      <c r="N800" s="85"/>
      <c r="O800" s="624"/>
      <c r="P800" s="85"/>
      <c r="Q800" s="626">
        <f t="shared" si="25"/>
        <v>0</v>
      </c>
      <c r="R800" s="85"/>
      <c r="S800" s="624"/>
      <c r="T800" s="260"/>
      <c r="U800" s="624"/>
      <c r="V800" s="85"/>
      <c r="W800" s="624"/>
      <c r="X800" s="81"/>
      <c r="Y800" s="80"/>
      <c r="Z800" s="737">
        <f ca="1">MAX(0%,IF(Q800&lt;&gt;0,MIN((S800-Q800)/Q800/'Underwriting Risk'!$E$27,'Premium and Reserve Risk'!$Z$761),'Premium and Reserve Risk'!$Z$761))</f>
        <v>6.4000000000000001E-2</v>
      </c>
      <c r="AA800" s="80"/>
      <c r="AB800" s="80"/>
      <c r="AC800" s="737">
        <f ca="1">MAX(0%,IF(U800&lt;&gt;0,MIN((W800-U800)/U800/'Underwriting Risk'!$E$27,'Premium and Reserve Risk'!$AC$761),'Premium and Reserve Risk'!$AC$761))</f>
        <v>0.22</v>
      </c>
      <c r="AD800" s="81"/>
      <c r="AE800" s="97"/>
      <c r="AF800" s="97"/>
      <c r="AG800" s="97"/>
      <c r="AH800" s="97"/>
    </row>
    <row r="801" spans="1:34" ht="13.5" customHeight="1" x14ac:dyDescent="0.25">
      <c r="A801" s="97"/>
      <c r="B801" s="257">
        <v>39</v>
      </c>
      <c r="C801" s="652"/>
      <c r="D801" s="80"/>
      <c r="E801" s="80"/>
      <c r="F801" s="258">
        <f t="shared" ca="1" si="26"/>
        <v>0</v>
      </c>
      <c r="G801" s="624"/>
      <c r="H801" s="85"/>
      <c r="I801" s="624"/>
      <c r="J801" s="85"/>
      <c r="K801" s="624"/>
      <c r="L801" s="85"/>
      <c r="M801" s="624"/>
      <c r="N801" s="85"/>
      <c r="O801" s="624"/>
      <c r="P801" s="85"/>
      <c r="Q801" s="626">
        <f t="shared" si="25"/>
        <v>0</v>
      </c>
      <c r="R801" s="85"/>
      <c r="S801" s="624"/>
      <c r="T801" s="260"/>
      <c r="U801" s="624"/>
      <c r="V801" s="85"/>
      <c r="W801" s="624"/>
      <c r="X801" s="81"/>
      <c r="Y801" s="80"/>
      <c r="Z801" s="737">
        <f ca="1">MAX(0%,IF(Q801&lt;&gt;0,MIN((S801-Q801)/Q801/'Underwriting Risk'!$E$27,'Premium and Reserve Risk'!$Z$761),'Premium and Reserve Risk'!$Z$761))</f>
        <v>6.4000000000000001E-2</v>
      </c>
      <c r="AA801" s="80"/>
      <c r="AB801" s="80"/>
      <c r="AC801" s="737">
        <f ca="1">MAX(0%,IF(U801&lt;&gt;0,MIN((W801-U801)/U801/'Underwriting Risk'!$E$27,'Premium and Reserve Risk'!$AC$761),'Premium and Reserve Risk'!$AC$761))</f>
        <v>0.22</v>
      </c>
      <c r="AD801" s="81"/>
      <c r="AE801" s="97"/>
      <c r="AF801" s="97"/>
      <c r="AG801" s="97"/>
      <c r="AH801" s="97"/>
    </row>
    <row r="802" spans="1:34" ht="13.5" customHeight="1" x14ac:dyDescent="0.25">
      <c r="A802" s="97"/>
      <c r="B802" s="257">
        <v>40</v>
      </c>
      <c r="C802" s="652"/>
      <c r="D802" s="80"/>
      <c r="E802" s="80"/>
      <c r="F802" s="258">
        <f t="shared" ca="1" si="26"/>
        <v>0</v>
      </c>
      <c r="G802" s="624"/>
      <c r="H802" s="85"/>
      <c r="I802" s="624"/>
      <c r="J802" s="85"/>
      <c r="K802" s="624"/>
      <c r="L802" s="85"/>
      <c r="M802" s="624"/>
      <c r="N802" s="85"/>
      <c r="O802" s="624"/>
      <c r="P802" s="85"/>
      <c r="Q802" s="626">
        <f t="shared" si="25"/>
        <v>0</v>
      </c>
      <c r="R802" s="85"/>
      <c r="S802" s="624"/>
      <c r="T802" s="260"/>
      <c r="U802" s="624"/>
      <c r="V802" s="85"/>
      <c r="W802" s="624"/>
      <c r="X802" s="81"/>
      <c r="Y802" s="80"/>
      <c r="Z802" s="737">
        <f ca="1">MAX(0%,IF(Q802&lt;&gt;0,MIN((S802-Q802)/Q802/'Underwriting Risk'!$E$27,'Premium and Reserve Risk'!$Z$761),'Premium and Reserve Risk'!$Z$761))</f>
        <v>6.4000000000000001E-2</v>
      </c>
      <c r="AA802" s="80"/>
      <c r="AB802" s="80"/>
      <c r="AC802" s="737">
        <f ca="1">MAX(0%,IF(U802&lt;&gt;0,MIN((W802-U802)/U802/'Underwriting Risk'!$E$27,'Premium and Reserve Risk'!$AC$761),'Premium and Reserve Risk'!$AC$761))</f>
        <v>0.22</v>
      </c>
      <c r="AD802" s="81"/>
      <c r="AE802" s="97"/>
      <c r="AF802" s="97"/>
      <c r="AG802" s="97"/>
      <c r="AH802" s="97"/>
    </row>
    <row r="803" spans="1:34" ht="13.5" customHeight="1" x14ac:dyDescent="0.25">
      <c r="A803" s="97"/>
      <c r="B803" s="257">
        <v>41</v>
      </c>
      <c r="C803" s="652"/>
      <c r="D803" s="80"/>
      <c r="E803" s="80"/>
      <c r="F803" s="258">
        <f t="shared" ca="1" si="26"/>
        <v>0</v>
      </c>
      <c r="G803" s="624"/>
      <c r="H803" s="85"/>
      <c r="I803" s="624"/>
      <c r="J803" s="85"/>
      <c r="K803" s="624"/>
      <c r="L803" s="85"/>
      <c r="M803" s="624"/>
      <c r="N803" s="85"/>
      <c r="O803" s="624"/>
      <c r="P803" s="85"/>
      <c r="Q803" s="626">
        <f t="shared" si="25"/>
        <v>0</v>
      </c>
      <c r="R803" s="85"/>
      <c r="S803" s="624"/>
      <c r="T803" s="260"/>
      <c r="U803" s="624"/>
      <c r="V803" s="85"/>
      <c r="W803" s="624"/>
      <c r="X803" s="81"/>
      <c r="Y803" s="80"/>
      <c r="Z803" s="737">
        <f ca="1">MAX(0%,IF(Q803&lt;&gt;0,MIN((S803-Q803)/Q803/'Underwriting Risk'!$E$27,'Premium and Reserve Risk'!$Z$761),'Premium and Reserve Risk'!$Z$761))</f>
        <v>6.4000000000000001E-2</v>
      </c>
      <c r="AA803" s="80"/>
      <c r="AB803" s="80"/>
      <c r="AC803" s="737">
        <f ca="1">MAX(0%,IF(U803&lt;&gt;0,MIN((W803-U803)/U803/'Underwriting Risk'!$E$27,'Premium and Reserve Risk'!$AC$761),'Premium and Reserve Risk'!$AC$761))</f>
        <v>0.22</v>
      </c>
      <c r="AD803" s="81"/>
      <c r="AE803" s="97"/>
      <c r="AF803" s="97"/>
      <c r="AG803" s="97"/>
      <c r="AH803" s="97"/>
    </row>
    <row r="804" spans="1:34" ht="13.5" customHeight="1" x14ac:dyDescent="0.25">
      <c r="A804" s="97"/>
      <c r="B804" s="257">
        <v>42</v>
      </c>
      <c r="C804" s="652"/>
      <c r="D804" s="80"/>
      <c r="E804" s="80"/>
      <c r="F804" s="258">
        <f t="shared" ca="1" si="26"/>
        <v>0</v>
      </c>
      <c r="G804" s="624"/>
      <c r="H804" s="85"/>
      <c r="I804" s="624"/>
      <c r="J804" s="85"/>
      <c r="K804" s="624"/>
      <c r="L804" s="85"/>
      <c r="M804" s="624"/>
      <c r="N804" s="85"/>
      <c r="O804" s="624"/>
      <c r="P804" s="85"/>
      <c r="Q804" s="626">
        <f t="shared" si="25"/>
        <v>0</v>
      </c>
      <c r="R804" s="85"/>
      <c r="S804" s="624"/>
      <c r="T804" s="260"/>
      <c r="U804" s="624"/>
      <c r="V804" s="85"/>
      <c r="W804" s="624"/>
      <c r="X804" s="81"/>
      <c r="Y804" s="80"/>
      <c r="Z804" s="737">
        <f ca="1">MAX(0%,IF(Q804&lt;&gt;0,MIN((S804-Q804)/Q804/'Underwriting Risk'!$E$27,'Premium and Reserve Risk'!$Z$761),'Premium and Reserve Risk'!$Z$761))</f>
        <v>6.4000000000000001E-2</v>
      </c>
      <c r="AA804" s="80"/>
      <c r="AB804" s="80"/>
      <c r="AC804" s="737">
        <f ca="1">MAX(0%,IF(U804&lt;&gt;0,MIN((W804-U804)/U804/'Underwriting Risk'!$E$27,'Premium and Reserve Risk'!$AC$761),'Premium and Reserve Risk'!$AC$761))</f>
        <v>0.22</v>
      </c>
      <c r="AD804" s="81"/>
      <c r="AE804" s="97"/>
      <c r="AF804" s="97"/>
      <c r="AG804" s="97"/>
      <c r="AH804" s="97"/>
    </row>
    <row r="805" spans="1:34" ht="13.5" customHeight="1" x14ac:dyDescent="0.25">
      <c r="A805" s="97"/>
      <c r="B805" s="257">
        <v>43</v>
      </c>
      <c r="C805" s="652"/>
      <c r="D805" s="80"/>
      <c r="E805" s="80"/>
      <c r="F805" s="258">
        <f t="shared" ca="1" si="26"/>
        <v>0</v>
      </c>
      <c r="G805" s="624"/>
      <c r="H805" s="85"/>
      <c r="I805" s="624"/>
      <c r="J805" s="85"/>
      <c r="K805" s="624"/>
      <c r="L805" s="85"/>
      <c r="M805" s="624"/>
      <c r="N805" s="85"/>
      <c r="O805" s="624"/>
      <c r="P805" s="85"/>
      <c r="Q805" s="626">
        <f t="shared" si="25"/>
        <v>0</v>
      </c>
      <c r="R805" s="85"/>
      <c r="S805" s="624"/>
      <c r="T805" s="260"/>
      <c r="U805" s="624"/>
      <c r="V805" s="85"/>
      <c r="W805" s="624"/>
      <c r="X805" s="81"/>
      <c r="Y805" s="80"/>
      <c r="Z805" s="737">
        <f ca="1">MAX(0%,IF(Q805&lt;&gt;0,MIN((S805-Q805)/Q805/'Underwriting Risk'!$E$27,'Premium and Reserve Risk'!$Z$761),'Premium and Reserve Risk'!$Z$761))</f>
        <v>6.4000000000000001E-2</v>
      </c>
      <c r="AA805" s="80"/>
      <c r="AB805" s="80"/>
      <c r="AC805" s="737">
        <f ca="1">MAX(0%,IF(U805&lt;&gt;0,MIN((W805-U805)/U805/'Underwriting Risk'!$E$27,'Premium and Reserve Risk'!$AC$761),'Premium and Reserve Risk'!$AC$761))</f>
        <v>0.22</v>
      </c>
      <c r="AD805" s="81"/>
      <c r="AE805" s="97"/>
      <c r="AF805" s="97"/>
      <c r="AG805" s="97"/>
      <c r="AH805" s="97"/>
    </row>
    <row r="806" spans="1:34" ht="13.5" customHeight="1" x14ac:dyDescent="0.25">
      <c r="A806" s="97"/>
      <c r="B806" s="257">
        <v>44</v>
      </c>
      <c r="C806" s="652"/>
      <c r="D806" s="80"/>
      <c r="E806" s="80"/>
      <c r="F806" s="258">
        <f t="shared" ca="1" si="26"/>
        <v>0</v>
      </c>
      <c r="G806" s="624"/>
      <c r="H806" s="85"/>
      <c r="I806" s="624"/>
      <c r="J806" s="85"/>
      <c r="K806" s="624"/>
      <c r="L806" s="85"/>
      <c r="M806" s="624"/>
      <c r="N806" s="85"/>
      <c r="O806" s="624"/>
      <c r="P806" s="85"/>
      <c r="Q806" s="626">
        <f t="shared" si="25"/>
        <v>0</v>
      </c>
      <c r="R806" s="85"/>
      <c r="S806" s="624"/>
      <c r="T806" s="260"/>
      <c r="U806" s="624"/>
      <c r="V806" s="85"/>
      <c r="W806" s="624"/>
      <c r="X806" s="81"/>
      <c r="Y806" s="80"/>
      <c r="Z806" s="737">
        <f ca="1">MAX(0%,IF(Q806&lt;&gt;0,MIN((S806-Q806)/Q806/'Underwriting Risk'!$E$27,'Premium and Reserve Risk'!$Z$761),'Premium and Reserve Risk'!$Z$761))</f>
        <v>6.4000000000000001E-2</v>
      </c>
      <c r="AA806" s="80"/>
      <c r="AB806" s="80"/>
      <c r="AC806" s="737">
        <f ca="1">MAX(0%,IF(U806&lt;&gt;0,MIN((W806-U806)/U806/'Underwriting Risk'!$E$27,'Premium and Reserve Risk'!$AC$761),'Premium and Reserve Risk'!$AC$761))</f>
        <v>0.22</v>
      </c>
      <c r="AD806" s="81"/>
      <c r="AE806" s="97"/>
      <c r="AF806" s="97"/>
      <c r="AG806" s="97"/>
      <c r="AH806" s="97"/>
    </row>
    <row r="807" spans="1:34" ht="13.5" customHeight="1" x14ac:dyDescent="0.25">
      <c r="A807" s="97"/>
      <c r="B807" s="257">
        <v>45</v>
      </c>
      <c r="C807" s="652"/>
      <c r="D807" s="80"/>
      <c r="E807" s="80"/>
      <c r="F807" s="258">
        <f t="shared" ca="1" si="26"/>
        <v>0</v>
      </c>
      <c r="G807" s="624"/>
      <c r="H807" s="85"/>
      <c r="I807" s="624"/>
      <c r="J807" s="85"/>
      <c r="K807" s="624"/>
      <c r="L807" s="85"/>
      <c r="M807" s="624"/>
      <c r="N807" s="85"/>
      <c r="O807" s="624"/>
      <c r="P807" s="85"/>
      <c r="Q807" s="626">
        <f t="shared" si="25"/>
        <v>0</v>
      </c>
      <c r="R807" s="85"/>
      <c r="S807" s="624"/>
      <c r="T807" s="260"/>
      <c r="U807" s="624"/>
      <c r="V807" s="85"/>
      <c r="W807" s="624"/>
      <c r="X807" s="81"/>
      <c r="Y807" s="80"/>
      <c r="Z807" s="737">
        <f ca="1">MAX(0%,IF(Q807&lt;&gt;0,MIN((S807-Q807)/Q807/'Underwriting Risk'!$E$27,'Premium and Reserve Risk'!$Z$761),'Premium and Reserve Risk'!$Z$761))</f>
        <v>6.4000000000000001E-2</v>
      </c>
      <c r="AA807" s="80"/>
      <c r="AB807" s="80"/>
      <c r="AC807" s="737">
        <f ca="1">MAX(0%,IF(U807&lt;&gt;0,MIN((W807-U807)/U807/'Underwriting Risk'!$E$27,'Premium and Reserve Risk'!$AC$761),'Premium and Reserve Risk'!$AC$761))</f>
        <v>0.22</v>
      </c>
      <c r="AD807" s="81"/>
      <c r="AE807" s="97"/>
      <c r="AF807" s="97"/>
      <c r="AG807" s="97"/>
      <c r="AH807" s="97"/>
    </row>
    <row r="808" spans="1:34" ht="13.5" customHeight="1" x14ac:dyDescent="0.25">
      <c r="A808" s="97"/>
      <c r="B808" s="257">
        <v>46</v>
      </c>
      <c r="C808" s="652"/>
      <c r="D808" s="80"/>
      <c r="E808" s="80"/>
      <c r="F808" s="258">
        <f t="shared" ca="1" si="26"/>
        <v>0</v>
      </c>
      <c r="G808" s="624"/>
      <c r="H808" s="85"/>
      <c r="I808" s="624"/>
      <c r="J808" s="85"/>
      <c r="K808" s="624"/>
      <c r="L808" s="85"/>
      <c r="M808" s="624"/>
      <c r="N808" s="85"/>
      <c r="O808" s="624"/>
      <c r="P808" s="85"/>
      <c r="Q808" s="626">
        <f t="shared" si="25"/>
        <v>0</v>
      </c>
      <c r="R808" s="85"/>
      <c r="S808" s="624"/>
      <c r="T808" s="260"/>
      <c r="U808" s="624"/>
      <c r="V808" s="85"/>
      <c r="W808" s="624"/>
      <c r="X808" s="81"/>
      <c r="Y808" s="80"/>
      <c r="Z808" s="737">
        <f ca="1">MAX(0%,IF(Q808&lt;&gt;0,MIN((S808-Q808)/Q808/'Underwriting Risk'!$E$27,'Premium and Reserve Risk'!$Z$761),'Premium and Reserve Risk'!$Z$761))</f>
        <v>6.4000000000000001E-2</v>
      </c>
      <c r="AA808" s="80"/>
      <c r="AB808" s="80"/>
      <c r="AC808" s="737">
        <f ca="1">MAX(0%,IF(U808&lt;&gt;0,MIN((W808-U808)/U808/'Underwriting Risk'!$E$27,'Premium and Reserve Risk'!$AC$761),'Premium and Reserve Risk'!$AC$761))</f>
        <v>0.22</v>
      </c>
      <c r="AD808" s="81"/>
      <c r="AE808" s="97"/>
      <c r="AF808" s="97"/>
      <c r="AG808" s="97"/>
      <c r="AH808" s="97"/>
    </row>
    <row r="809" spans="1:34" ht="13.5" customHeight="1" x14ac:dyDescent="0.25">
      <c r="A809" s="97"/>
      <c r="B809" s="257">
        <v>47</v>
      </c>
      <c r="C809" s="652"/>
      <c r="D809" s="80"/>
      <c r="E809" s="80"/>
      <c r="F809" s="258">
        <f t="shared" ca="1" si="26"/>
        <v>0</v>
      </c>
      <c r="G809" s="624"/>
      <c r="H809" s="85"/>
      <c r="I809" s="624"/>
      <c r="J809" s="85"/>
      <c r="K809" s="624"/>
      <c r="L809" s="85"/>
      <c r="M809" s="624"/>
      <c r="N809" s="85"/>
      <c r="O809" s="624"/>
      <c r="P809" s="85"/>
      <c r="Q809" s="626">
        <f t="shared" si="25"/>
        <v>0</v>
      </c>
      <c r="R809" s="85"/>
      <c r="S809" s="624"/>
      <c r="T809" s="260"/>
      <c r="U809" s="624"/>
      <c r="V809" s="85"/>
      <c r="W809" s="624"/>
      <c r="X809" s="81"/>
      <c r="Y809" s="80"/>
      <c r="Z809" s="737">
        <f ca="1">MAX(0%,IF(Q809&lt;&gt;0,MIN((S809-Q809)/Q809/'Underwriting Risk'!$E$27,'Premium and Reserve Risk'!$Z$761),'Premium and Reserve Risk'!$Z$761))</f>
        <v>6.4000000000000001E-2</v>
      </c>
      <c r="AA809" s="80"/>
      <c r="AB809" s="80"/>
      <c r="AC809" s="737">
        <f ca="1">MAX(0%,IF(U809&lt;&gt;0,MIN((W809-U809)/U809/'Underwriting Risk'!$E$27,'Premium and Reserve Risk'!$AC$761),'Premium and Reserve Risk'!$AC$761))</f>
        <v>0.22</v>
      </c>
      <c r="AD809" s="81"/>
      <c r="AE809" s="97"/>
      <c r="AF809" s="97"/>
      <c r="AG809" s="97"/>
      <c r="AH809" s="97"/>
    </row>
    <row r="810" spans="1:34" ht="13.5" customHeight="1" x14ac:dyDescent="0.25">
      <c r="A810" s="97"/>
      <c r="B810" s="257">
        <v>48</v>
      </c>
      <c r="C810" s="652"/>
      <c r="D810" s="80"/>
      <c r="E810" s="80"/>
      <c r="F810" s="258">
        <f t="shared" ca="1" si="26"/>
        <v>0</v>
      </c>
      <c r="G810" s="624"/>
      <c r="H810" s="85"/>
      <c r="I810" s="624"/>
      <c r="J810" s="85"/>
      <c r="K810" s="624"/>
      <c r="L810" s="85"/>
      <c r="M810" s="624"/>
      <c r="N810" s="85"/>
      <c r="O810" s="624"/>
      <c r="P810" s="85"/>
      <c r="Q810" s="626">
        <f t="shared" si="25"/>
        <v>0</v>
      </c>
      <c r="R810" s="85"/>
      <c r="S810" s="624"/>
      <c r="T810" s="260"/>
      <c r="U810" s="624"/>
      <c r="V810" s="85"/>
      <c r="W810" s="624"/>
      <c r="X810" s="81"/>
      <c r="Y810" s="80"/>
      <c r="Z810" s="737">
        <f ca="1">MAX(0%,IF(Q810&lt;&gt;0,MIN((S810-Q810)/Q810/'Underwriting Risk'!$E$27,'Premium and Reserve Risk'!$Z$761),'Premium and Reserve Risk'!$Z$761))</f>
        <v>6.4000000000000001E-2</v>
      </c>
      <c r="AA810" s="80"/>
      <c r="AB810" s="80"/>
      <c r="AC810" s="737">
        <f ca="1">MAX(0%,IF(U810&lt;&gt;0,MIN((W810-U810)/U810/'Underwriting Risk'!$E$27,'Premium and Reserve Risk'!$AC$761),'Premium and Reserve Risk'!$AC$761))</f>
        <v>0.22</v>
      </c>
      <c r="AD810" s="81"/>
      <c r="AE810" s="97"/>
      <c r="AF810" s="97"/>
      <c r="AG810" s="97"/>
      <c r="AH810" s="97"/>
    </row>
    <row r="811" spans="1:34" ht="13.5" customHeight="1" x14ac:dyDescent="0.25">
      <c r="A811" s="97"/>
      <c r="B811" s="257">
        <v>49</v>
      </c>
      <c r="C811" s="652"/>
      <c r="D811" s="80"/>
      <c r="E811" s="80"/>
      <c r="F811" s="258">
        <f t="shared" ca="1" si="26"/>
        <v>0</v>
      </c>
      <c r="G811" s="624"/>
      <c r="H811" s="85"/>
      <c r="I811" s="624"/>
      <c r="J811" s="85"/>
      <c r="K811" s="624"/>
      <c r="L811" s="85"/>
      <c r="M811" s="624"/>
      <c r="N811" s="85"/>
      <c r="O811" s="624"/>
      <c r="P811" s="85"/>
      <c r="Q811" s="626">
        <f t="shared" si="25"/>
        <v>0</v>
      </c>
      <c r="R811" s="85"/>
      <c r="S811" s="624"/>
      <c r="T811" s="260"/>
      <c r="U811" s="624"/>
      <c r="V811" s="85"/>
      <c r="W811" s="624"/>
      <c r="X811" s="81"/>
      <c r="Y811" s="80"/>
      <c r="Z811" s="737">
        <f ca="1">MAX(0%,IF(Q811&lt;&gt;0,MIN((S811-Q811)/Q811/'Underwriting Risk'!$E$27,'Premium and Reserve Risk'!$Z$761),'Premium and Reserve Risk'!$Z$761))</f>
        <v>6.4000000000000001E-2</v>
      </c>
      <c r="AA811" s="80"/>
      <c r="AB811" s="80"/>
      <c r="AC811" s="737">
        <f ca="1">MAX(0%,IF(U811&lt;&gt;0,MIN((W811-U811)/U811/'Underwriting Risk'!$E$27,'Premium and Reserve Risk'!$AC$761),'Premium and Reserve Risk'!$AC$761))</f>
        <v>0.22</v>
      </c>
      <c r="AD811" s="81"/>
      <c r="AE811" s="97"/>
      <c r="AF811" s="97"/>
      <c r="AG811" s="97"/>
      <c r="AH811" s="97"/>
    </row>
    <row r="812" spans="1:34" ht="13.5" customHeight="1" x14ac:dyDescent="0.25">
      <c r="A812" s="97"/>
      <c r="B812" s="257">
        <v>50</v>
      </c>
      <c r="C812" s="652"/>
      <c r="D812" s="80"/>
      <c r="E812" s="80"/>
      <c r="F812" s="258">
        <f t="shared" ca="1" si="26"/>
        <v>0</v>
      </c>
      <c r="G812" s="624"/>
      <c r="H812" s="85"/>
      <c r="I812" s="624"/>
      <c r="J812" s="85"/>
      <c r="K812" s="624"/>
      <c r="L812" s="85"/>
      <c r="M812" s="624"/>
      <c r="N812" s="85"/>
      <c r="O812" s="624"/>
      <c r="P812" s="85"/>
      <c r="Q812" s="626">
        <f t="shared" si="25"/>
        <v>0</v>
      </c>
      <c r="R812" s="85"/>
      <c r="S812" s="624"/>
      <c r="T812" s="260"/>
      <c r="U812" s="624"/>
      <c r="V812" s="85"/>
      <c r="W812" s="624"/>
      <c r="X812" s="81"/>
      <c r="Y812" s="80"/>
      <c r="Z812" s="737">
        <f ca="1">MAX(0%,IF(Q812&lt;&gt;0,MIN((S812-Q812)/Q812/'Underwriting Risk'!$E$27,'Premium and Reserve Risk'!$Z$761),'Premium and Reserve Risk'!$Z$761))</f>
        <v>6.4000000000000001E-2</v>
      </c>
      <c r="AA812" s="80"/>
      <c r="AB812" s="80"/>
      <c r="AC812" s="737">
        <f ca="1">MAX(0%,IF(U812&lt;&gt;0,MIN((W812-U812)/U812/'Underwriting Risk'!$E$27,'Premium and Reserve Risk'!$AC$761),'Premium and Reserve Risk'!$AC$761))</f>
        <v>0.22</v>
      </c>
      <c r="AD812" s="81"/>
      <c r="AE812" s="97"/>
      <c r="AF812" s="97"/>
      <c r="AG812" s="97"/>
      <c r="AH812" s="97"/>
    </row>
    <row r="813" spans="1:34" ht="13.5" customHeight="1" x14ac:dyDescent="0.25">
      <c r="A813" s="97"/>
      <c r="B813" s="257">
        <v>51</v>
      </c>
      <c r="C813" s="652"/>
      <c r="D813" s="80"/>
      <c r="E813" s="80"/>
      <c r="F813" s="258">
        <f t="shared" ca="1" si="26"/>
        <v>0</v>
      </c>
      <c r="G813" s="624"/>
      <c r="H813" s="85"/>
      <c r="I813" s="624"/>
      <c r="J813" s="85"/>
      <c r="K813" s="624"/>
      <c r="L813" s="85"/>
      <c r="M813" s="624"/>
      <c r="N813" s="85"/>
      <c r="O813" s="624"/>
      <c r="P813" s="85"/>
      <c r="Q813" s="626">
        <f t="shared" si="25"/>
        <v>0</v>
      </c>
      <c r="R813" s="85"/>
      <c r="S813" s="624"/>
      <c r="T813" s="260"/>
      <c r="U813" s="624"/>
      <c r="V813" s="85"/>
      <c r="W813" s="624"/>
      <c r="X813" s="81"/>
      <c r="Y813" s="80"/>
      <c r="Z813" s="737">
        <f ca="1">MAX(0%,IF(Q813&lt;&gt;0,MIN((S813-Q813)/Q813/'Underwriting Risk'!$E$27,'Premium and Reserve Risk'!$Z$761),'Premium and Reserve Risk'!$Z$761))</f>
        <v>6.4000000000000001E-2</v>
      </c>
      <c r="AA813" s="80"/>
      <c r="AB813" s="80"/>
      <c r="AC813" s="737">
        <f ca="1">MAX(0%,IF(U813&lt;&gt;0,MIN((W813-U813)/U813/'Underwriting Risk'!$E$27,'Premium and Reserve Risk'!$AC$761),'Premium and Reserve Risk'!$AC$761))</f>
        <v>0.22</v>
      </c>
      <c r="AD813" s="81"/>
      <c r="AE813" s="97"/>
      <c r="AF813" s="97"/>
      <c r="AG813" s="97"/>
      <c r="AH813" s="97"/>
    </row>
    <row r="814" spans="1:34" ht="13.5" customHeight="1" x14ac:dyDescent="0.25">
      <c r="A814" s="97"/>
      <c r="B814" s="257">
        <v>52</v>
      </c>
      <c r="C814" s="652"/>
      <c r="D814" s="80"/>
      <c r="E814" s="80"/>
      <c r="F814" s="258">
        <f t="shared" ca="1" si="26"/>
        <v>0</v>
      </c>
      <c r="G814" s="624"/>
      <c r="H814" s="85"/>
      <c r="I814" s="624"/>
      <c r="J814" s="85"/>
      <c r="K814" s="624"/>
      <c r="L814" s="85"/>
      <c r="M814" s="624"/>
      <c r="N814" s="85"/>
      <c r="O814" s="624"/>
      <c r="P814" s="85"/>
      <c r="Q814" s="626">
        <f t="shared" si="25"/>
        <v>0</v>
      </c>
      <c r="R814" s="85"/>
      <c r="S814" s="624"/>
      <c r="T814" s="260"/>
      <c r="U814" s="624"/>
      <c r="V814" s="85"/>
      <c r="W814" s="624"/>
      <c r="X814" s="81"/>
      <c r="Y814" s="80"/>
      <c r="Z814" s="737">
        <f ca="1">MAX(0%,IF(Q814&lt;&gt;0,MIN((S814-Q814)/Q814/'Underwriting Risk'!$E$27,'Premium and Reserve Risk'!$Z$761),'Premium and Reserve Risk'!$Z$761))</f>
        <v>6.4000000000000001E-2</v>
      </c>
      <c r="AA814" s="80"/>
      <c r="AB814" s="80"/>
      <c r="AC814" s="737">
        <f ca="1">MAX(0%,IF(U814&lt;&gt;0,MIN((W814-U814)/U814/'Underwriting Risk'!$E$27,'Premium and Reserve Risk'!$AC$761),'Premium and Reserve Risk'!$AC$761))</f>
        <v>0.22</v>
      </c>
      <c r="AD814" s="81"/>
      <c r="AE814" s="97"/>
      <c r="AF814" s="97"/>
      <c r="AG814" s="97"/>
      <c r="AH814" s="97"/>
    </row>
    <row r="815" spans="1:34" ht="13.5" customHeight="1" x14ac:dyDescent="0.25">
      <c r="A815" s="97"/>
      <c r="B815" s="257">
        <v>53</v>
      </c>
      <c r="C815" s="652"/>
      <c r="D815" s="80"/>
      <c r="E815" s="80"/>
      <c r="F815" s="258">
        <f t="shared" ca="1" si="26"/>
        <v>0</v>
      </c>
      <c r="G815" s="624"/>
      <c r="H815" s="85"/>
      <c r="I815" s="624"/>
      <c r="J815" s="85"/>
      <c r="K815" s="624"/>
      <c r="L815" s="85"/>
      <c r="M815" s="624"/>
      <c r="N815" s="85"/>
      <c r="O815" s="624"/>
      <c r="P815" s="85"/>
      <c r="Q815" s="626">
        <f t="shared" si="25"/>
        <v>0</v>
      </c>
      <c r="R815" s="85"/>
      <c r="S815" s="624"/>
      <c r="T815" s="260"/>
      <c r="U815" s="624"/>
      <c r="V815" s="85"/>
      <c r="W815" s="624"/>
      <c r="X815" s="81"/>
      <c r="Y815" s="80"/>
      <c r="Z815" s="737">
        <f ca="1">MAX(0%,IF(Q815&lt;&gt;0,MIN((S815-Q815)/Q815/'Underwriting Risk'!$E$27,'Premium and Reserve Risk'!$Z$761),'Premium and Reserve Risk'!$Z$761))</f>
        <v>6.4000000000000001E-2</v>
      </c>
      <c r="AA815" s="80"/>
      <c r="AB815" s="80"/>
      <c r="AC815" s="737">
        <f ca="1">MAX(0%,IF(U815&lt;&gt;0,MIN((W815-U815)/U815/'Underwriting Risk'!$E$27,'Premium and Reserve Risk'!$AC$761),'Premium and Reserve Risk'!$AC$761))</f>
        <v>0.22</v>
      </c>
      <c r="AD815" s="81"/>
      <c r="AE815" s="97"/>
      <c r="AF815" s="97"/>
      <c r="AG815" s="97"/>
      <c r="AH815" s="97"/>
    </row>
    <row r="816" spans="1:34" ht="13.5" customHeight="1" x14ac:dyDescent="0.25">
      <c r="A816" s="97"/>
      <c r="B816" s="257">
        <v>54</v>
      </c>
      <c r="C816" s="652"/>
      <c r="D816" s="80"/>
      <c r="E816" s="80"/>
      <c r="F816" s="258">
        <f t="shared" ca="1" si="26"/>
        <v>0</v>
      </c>
      <c r="G816" s="624"/>
      <c r="H816" s="85"/>
      <c r="I816" s="624"/>
      <c r="J816" s="85"/>
      <c r="K816" s="624"/>
      <c r="L816" s="85"/>
      <c r="M816" s="624"/>
      <c r="N816" s="85"/>
      <c r="O816" s="624"/>
      <c r="P816" s="85"/>
      <c r="Q816" s="626">
        <f t="shared" si="25"/>
        <v>0</v>
      </c>
      <c r="R816" s="85"/>
      <c r="S816" s="624"/>
      <c r="T816" s="260"/>
      <c r="U816" s="624"/>
      <c r="V816" s="85"/>
      <c r="W816" s="624"/>
      <c r="X816" s="81"/>
      <c r="Y816" s="80"/>
      <c r="Z816" s="737">
        <f ca="1">MAX(0%,IF(Q816&lt;&gt;0,MIN((S816-Q816)/Q816/'Underwriting Risk'!$E$27,'Premium and Reserve Risk'!$Z$761),'Premium and Reserve Risk'!$Z$761))</f>
        <v>6.4000000000000001E-2</v>
      </c>
      <c r="AA816" s="80"/>
      <c r="AB816" s="80"/>
      <c r="AC816" s="737">
        <f ca="1">MAX(0%,IF(U816&lt;&gt;0,MIN((W816-U816)/U816/'Underwriting Risk'!$E$27,'Premium and Reserve Risk'!$AC$761),'Premium and Reserve Risk'!$AC$761))</f>
        <v>0.22</v>
      </c>
      <c r="AD816" s="81"/>
      <c r="AE816" s="97"/>
      <c r="AF816" s="97"/>
      <c r="AG816" s="97"/>
      <c r="AH816" s="97"/>
    </row>
    <row r="817" spans="1:34" ht="13.5" customHeight="1" x14ac:dyDescent="0.25">
      <c r="A817" s="97"/>
      <c r="B817" s="257">
        <v>55</v>
      </c>
      <c r="C817" s="652"/>
      <c r="D817" s="80"/>
      <c r="E817" s="80"/>
      <c r="F817" s="258">
        <f t="shared" ca="1" si="26"/>
        <v>0</v>
      </c>
      <c r="G817" s="624"/>
      <c r="H817" s="85"/>
      <c r="I817" s="624"/>
      <c r="J817" s="85"/>
      <c r="K817" s="624"/>
      <c r="L817" s="85"/>
      <c r="M817" s="624"/>
      <c r="N817" s="85"/>
      <c r="O817" s="624"/>
      <c r="P817" s="85"/>
      <c r="Q817" s="626">
        <f t="shared" si="25"/>
        <v>0</v>
      </c>
      <c r="R817" s="85"/>
      <c r="S817" s="624"/>
      <c r="T817" s="260"/>
      <c r="U817" s="624"/>
      <c r="V817" s="85"/>
      <c r="W817" s="624"/>
      <c r="X817" s="81"/>
      <c r="Y817" s="80"/>
      <c r="Z817" s="737">
        <f ca="1">MAX(0%,IF(Q817&lt;&gt;0,MIN((S817-Q817)/Q817/'Underwriting Risk'!$E$27,'Premium and Reserve Risk'!$Z$761),'Premium and Reserve Risk'!$Z$761))</f>
        <v>6.4000000000000001E-2</v>
      </c>
      <c r="AA817" s="80"/>
      <c r="AB817" s="80"/>
      <c r="AC817" s="737">
        <f ca="1">MAX(0%,IF(U817&lt;&gt;0,MIN((W817-U817)/U817/'Underwriting Risk'!$E$27,'Premium and Reserve Risk'!$AC$761),'Premium and Reserve Risk'!$AC$761))</f>
        <v>0.22</v>
      </c>
      <c r="AD817" s="81"/>
      <c r="AE817" s="97"/>
      <c r="AF817" s="97"/>
      <c r="AG817" s="97"/>
      <c r="AH817" s="97"/>
    </row>
    <row r="818" spans="1:34" ht="13.5" customHeight="1" x14ac:dyDescent="0.25">
      <c r="A818" s="97"/>
      <c r="B818" s="257">
        <v>56</v>
      </c>
      <c r="C818" s="652"/>
      <c r="D818" s="80"/>
      <c r="E818" s="80"/>
      <c r="F818" s="258">
        <f t="shared" ca="1" si="26"/>
        <v>0</v>
      </c>
      <c r="G818" s="624"/>
      <c r="H818" s="85"/>
      <c r="I818" s="624"/>
      <c r="J818" s="85"/>
      <c r="K818" s="624"/>
      <c r="L818" s="85"/>
      <c r="M818" s="624"/>
      <c r="N818" s="85"/>
      <c r="O818" s="624"/>
      <c r="P818" s="85"/>
      <c r="Q818" s="626">
        <f t="shared" si="25"/>
        <v>0</v>
      </c>
      <c r="R818" s="85"/>
      <c r="S818" s="624"/>
      <c r="T818" s="260"/>
      <c r="U818" s="624"/>
      <c r="V818" s="85"/>
      <c r="W818" s="624"/>
      <c r="X818" s="81"/>
      <c r="Y818" s="80"/>
      <c r="Z818" s="737">
        <f ca="1">MAX(0%,IF(Q818&lt;&gt;0,MIN((S818-Q818)/Q818/'Underwriting Risk'!$E$27,'Premium and Reserve Risk'!$Z$761),'Premium and Reserve Risk'!$Z$761))</f>
        <v>6.4000000000000001E-2</v>
      </c>
      <c r="AA818" s="80"/>
      <c r="AB818" s="80"/>
      <c r="AC818" s="737">
        <f ca="1">MAX(0%,IF(U818&lt;&gt;0,MIN((W818-U818)/U818/'Underwriting Risk'!$E$27,'Premium and Reserve Risk'!$AC$761),'Premium and Reserve Risk'!$AC$761))</f>
        <v>0.22</v>
      </c>
      <c r="AD818" s="81"/>
      <c r="AE818" s="97"/>
      <c r="AF818" s="97"/>
      <c r="AG818" s="97"/>
      <c r="AH818" s="97"/>
    </row>
    <row r="819" spans="1:34" ht="13.5" customHeight="1" x14ac:dyDescent="0.25">
      <c r="A819" s="97"/>
      <c r="B819" s="257">
        <v>57</v>
      </c>
      <c r="C819" s="652"/>
      <c r="D819" s="80"/>
      <c r="E819" s="80"/>
      <c r="F819" s="258">
        <f t="shared" ca="1" si="26"/>
        <v>0</v>
      </c>
      <c r="G819" s="624"/>
      <c r="H819" s="85"/>
      <c r="I819" s="624"/>
      <c r="J819" s="85"/>
      <c r="K819" s="624"/>
      <c r="L819" s="85"/>
      <c r="M819" s="624"/>
      <c r="N819" s="85"/>
      <c r="O819" s="624"/>
      <c r="P819" s="85"/>
      <c r="Q819" s="626">
        <f t="shared" si="25"/>
        <v>0</v>
      </c>
      <c r="R819" s="85"/>
      <c r="S819" s="624"/>
      <c r="T819" s="260"/>
      <c r="U819" s="624"/>
      <c r="V819" s="85"/>
      <c r="W819" s="624"/>
      <c r="X819" s="81"/>
      <c r="Y819" s="80"/>
      <c r="Z819" s="737">
        <f ca="1">MAX(0%,IF(Q819&lt;&gt;0,MIN((S819-Q819)/Q819/'Underwriting Risk'!$E$27,'Premium and Reserve Risk'!$Z$761),'Premium and Reserve Risk'!$Z$761))</f>
        <v>6.4000000000000001E-2</v>
      </c>
      <c r="AA819" s="80"/>
      <c r="AB819" s="80"/>
      <c r="AC819" s="737">
        <f ca="1">MAX(0%,IF(U819&lt;&gt;0,MIN((W819-U819)/U819/'Underwriting Risk'!$E$27,'Premium and Reserve Risk'!$AC$761),'Premium and Reserve Risk'!$AC$761))</f>
        <v>0.22</v>
      </c>
      <c r="AD819" s="81"/>
      <c r="AE819" s="97"/>
      <c r="AF819" s="97"/>
      <c r="AG819" s="97"/>
      <c r="AH819" s="97"/>
    </row>
    <row r="820" spans="1:34" ht="13.5" customHeight="1" x14ac:dyDescent="0.25">
      <c r="A820" s="97"/>
      <c r="B820" s="257">
        <v>58</v>
      </c>
      <c r="C820" s="652"/>
      <c r="D820" s="80"/>
      <c r="E820" s="80"/>
      <c r="F820" s="258">
        <f t="shared" ca="1" si="26"/>
        <v>0</v>
      </c>
      <c r="G820" s="624"/>
      <c r="H820" s="85"/>
      <c r="I820" s="624"/>
      <c r="J820" s="85"/>
      <c r="K820" s="624"/>
      <c r="L820" s="85"/>
      <c r="M820" s="624"/>
      <c r="N820" s="85"/>
      <c r="O820" s="624"/>
      <c r="P820" s="85"/>
      <c r="Q820" s="626">
        <f t="shared" si="25"/>
        <v>0</v>
      </c>
      <c r="R820" s="85"/>
      <c r="S820" s="624"/>
      <c r="T820" s="260"/>
      <c r="U820" s="624"/>
      <c r="V820" s="85"/>
      <c r="W820" s="624"/>
      <c r="X820" s="81"/>
      <c r="Y820" s="80"/>
      <c r="Z820" s="737">
        <f ca="1">MAX(0%,IF(Q820&lt;&gt;0,MIN((S820-Q820)/Q820/'Underwriting Risk'!$E$27,'Premium and Reserve Risk'!$Z$761),'Premium and Reserve Risk'!$Z$761))</f>
        <v>6.4000000000000001E-2</v>
      </c>
      <c r="AA820" s="80"/>
      <c r="AB820" s="80"/>
      <c r="AC820" s="737">
        <f ca="1">MAX(0%,IF(U820&lt;&gt;0,MIN((W820-U820)/U820/'Underwriting Risk'!$E$27,'Premium and Reserve Risk'!$AC$761),'Premium and Reserve Risk'!$AC$761))</f>
        <v>0.22</v>
      </c>
      <c r="AD820" s="81"/>
      <c r="AE820" s="97"/>
      <c r="AF820" s="97"/>
      <c r="AG820" s="97"/>
      <c r="AH820" s="97"/>
    </row>
    <row r="821" spans="1:34" ht="13.5" customHeight="1" x14ac:dyDescent="0.25">
      <c r="A821" s="97"/>
      <c r="B821" s="257">
        <v>59</v>
      </c>
      <c r="C821" s="652"/>
      <c r="D821" s="80"/>
      <c r="E821" s="80"/>
      <c r="F821" s="258">
        <f t="shared" ca="1" si="26"/>
        <v>0</v>
      </c>
      <c r="G821" s="624"/>
      <c r="H821" s="85"/>
      <c r="I821" s="624"/>
      <c r="J821" s="85"/>
      <c r="K821" s="624"/>
      <c r="L821" s="85"/>
      <c r="M821" s="624"/>
      <c r="N821" s="85"/>
      <c r="O821" s="624"/>
      <c r="P821" s="85"/>
      <c r="Q821" s="626">
        <f t="shared" si="25"/>
        <v>0</v>
      </c>
      <c r="R821" s="85"/>
      <c r="S821" s="624"/>
      <c r="T821" s="260"/>
      <c r="U821" s="624"/>
      <c r="V821" s="85"/>
      <c r="W821" s="624"/>
      <c r="X821" s="81"/>
      <c r="Y821" s="80"/>
      <c r="Z821" s="737">
        <f ca="1">MAX(0%,IF(Q821&lt;&gt;0,MIN((S821-Q821)/Q821/'Underwriting Risk'!$E$27,'Premium and Reserve Risk'!$Z$761),'Premium and Reserve Risk'!$Z$761))</f>
        <v>6.4000000000000001E-2</v>
      </c>
      <c r="AA821" s="80"/>
      <c r="AB821" s="80"/>
      <c r="AC821" s="737">
        <f ca="1">MAX(0%,IF(U821&lt;&gt;0,MIN((W821-U821)/U821/'Underwriting Risk'!$E$27,'Premium and Reserve Risk'!$AC$761),'Premium and Reserve Risk'!$AC$761))</f>
        <v>0.22</v>
      </c>
      <c r="AD821" s="81"/>
      <c r="AE821" s="97"/>
      <c r="AF821" s="97"/>
      <c r="AG821" s="97"/>
      <c r="AH821" s="97"/>
    </row>
    <row r="822" spans="1:34" ht="13.5" customHeight="1" x14ac:dyDescent="0.25">
      <c r="A822" s="97"/>
      <c r="B822" s="257">
        <v>60</v>
      </c>
      <c r="C822" s="652"/>
      <c r="D822" s="80"/>
      <c r="E822" s="80"/>
      <c r="F822" s="258">
        <f t="shared" ca="1" si="26"/>
        <v>0</v>
      </c>
      <c r="G822" s="624"/>
      <c r="H822" s="85"/>
      <c r="I822" s="624"/>
      <c r="J822" s="85"/>
      <c r="K822" s="624"/>
      <c r="L822" s="85"/>
      <c r="M822" s="624"/>
      <c r="N822" s="85"/>
      <c r="O822" s="624"/>
      <c r="P822" s="85"/>
      <c r="Q822" s="626">
        <f t="shared" si="25"/>
        <v>0</v>
      </c>
      <c r="R822" s="85"/>
      <c r="S822" s="624"/>
      <c r="T822" s="260"/>
      <c r="U822" s="624"/>
      <c r="V822" s="85"/>
      <c r="W822" s="624"/>
      <c r="X822" s="81"/>
      <c r="Y822" s="80"/>
      <c r="Z822" s="737">
        <f ca="1">MAX(0%,IF(Q822&lt;&gt;0,MIN((S822-Q822)/Q822/'Underwriting Risk'!$E$27,'Premium and Reserve Risk'!$Z$761),'Premium and Reserve Risk'!$Z$761))</f>
        <v>6.4000000000000001E-2</v>
      </c>
      <c r="AA822" s="80"/>
      <c r="AB822" s="80"/>
      <c r="AC822" s="737">
        <f ca="1">MAX(0%,IF(U822&lt;&gt;0,MIN((W822-U822)/U822/'Underwriting Risk'!$E$27,'Premium and Reserve Risk'!$AC$761),'Premium and Reserve Risk'!$AC$761))</f>
        <v>0.22</v>
      </c>
      <c r="AD822" s="81"/>
      <c r="AE822" s="97"/>
      <c r="AF822" s="97"/>
      <c r="AG822" s="97"/>
      <c r="AH822" s="97"/>
    </row>
    <row r="823" spans="1:34" ht="13.5" customHeight="1" x14ac:dyDescent="0.25">
      <c r="A823" s="97"/>
      <c r="B823" s="257">
        <v>61</v>
      </c>
      <c r="C823" s="652"/>
      <c r="D823" s="80"/>
      <c r="E823" s="80"/>
      <c r="F823" s="258">
        <f t="shared" ca="1" si="26"/>
        <v>0</v>
      </c>
      <c r="G823" s="624"/>
      <c r="H823" s="85"/>
      <c r="I823" s="624"/>
      <c r="J823" s="85"/>
      <c r="K823" s="624"/>
      <c r="L823" s="85"/>
      <c r="M823" s="624"/>
      <c r="N823" s="85"/>
      <c r="O823" s="624"/>
      <c r="P823" s="85"/>
      <c r="Q823" s="626">
        <f t="shared" si="25"/>
        <v>0</v>
      </c>
      <c r="R823" s="85"/>
      <c r="S823" s="624"/>
      <c r="T823" s="260"/>
      <c r="U823" s="624"/>
      <c r="V823" s="85"/>
      <c r="W823" s="624"/>
      <c r="X823" s="81"/>
      <c r="Y823" s="80"/>
      <c r="Z823" s="737">
        <f ca="1">MAX(0%,IF(Q823&lt;&gt;0,MIN((S823-Q823)/Q823/'Underwriting Risk'!$E$27,'Premium and Reserve Risk'!$Z$761),'Premium and Reserve Risk'!$Z$761))</f>
        <v>6.4000000000000001E-2</v>
      </c>
      <c r="AA823" s="80"/>
      <c r="AB823" s="80"/>
      <c r="AC823" s="737">
        <f ca="1">MAX(0%,IF(U823&lt;&gt;0,MIN((W823-U823)/U823/'Underwriting Risk'!$E$27,'Premium and Reserve Risk'!$AC$761),'Premium and Reserve Risk'!$AC$761))</f>
        <v>0.22</v>
      </c>
      <c r="AD823" s="81"/>
      <c r="AE823" s="97"/>
      <c r="AF823" s="97"/>
      <c r="AG823" s="97"/>
      <c r="AH823" s="97"/>
    </row>
    <row r="824" spans="1:34" ht="13.5" customHeight="1" x14ac:dyDescent="0.25">
      <c r="A824" s="97"/>
      <c r="B824" s="257">
        <v>62</v>
      </c>
      <c r="C824" s="652"/>
      <c r="D824" s="80"/>
      <c r="E824" s="80"/>
      <c r="F824" s="258">
        <f t="shared" ca="1" si="26"/>
        <v>0</v>
      </c>
      <c r="G824" s="624"/>
      <c r="H824" s="85"/>
      <c r="I824" s="624"/>
      <c r="J824" s="85"/>
      <c r="K824" s="624"/>
      <c r="L824" s="85"/>
      <c r="M824" s="624"/>
      <c r="N824" s="85"/>
      <c r="O824" s="624"/>
      <c r="P824" s="85"/>
      <c r="Q824" s="626">
        <f t="shared" si="25"/>
        <v>0</v>
      </c>
      <c r="R824" s="85"/>
      <c r="S824" s="624"/>
      <c r="T824" s="260"/>
      <c r="U824" s="624"/>
      <c r="V824" s="85"/>
      <c r="W824" s="624"/>
      <c r="X824" s="81"/>
      <c r="Y824" s="80"/>
      <c r="Z824" s="737">
        <f ca="1">MAX(0%,IF(Q824&lt;&gt;0,MIN((S824-Q824)/Q824/'Underwriting Risk'!$E$27,'Premium and Reserve Risk'!$Z$761),'Premium and Reserve Risk'!$Z$761))</f>
        <v>6.4000000000000001E-2</v>
      </c>
      <c r="AA824" s="80"/>
      <c r="AB824" s="80"/>
      <c r="AC824" s="737">
        <f ca="1">MAX(0%,IF(U824&lt;&gt;0,MIN((W824-U824)/U824/'Underwriting Risk'!$E$27,'Premium and Reserve Risk'!$AC$761),'Premium and Reserve Risk'!$AC$761))</f>
        <v>0.22</v>
      </c>
      <c r="AD824" s="81"/>
      <c r="AE824" s="97"/>
      <c r="AF824" s="97"/>
      <c r="AG824" s="97"/>
      <c r="AH824" s="97"/>
    </row>
    <row r="825" spans="1:34" ht="13.5" customHeight="1" x14ac:dyDescent="0.25">
      <c r="A825" s="97"/>
      <c r="B825" s="257">
        <v>63</v>
      </c>
      <c r="C825" s="652"/>
      <c r="D825" s="80"/>
      <c r="E825" s="80"/>
      <c r="F825" s="258">
        <f t="shared" ca="1" si="26"/>
        <v>0</v>
      </c>
      <c r="G825" s="624"/>
      <c r="H825" s="85"/>
      <c r="I825" s="624"/>
      <c r="J825" s="85"/>
      <c r="K825" s="624"/>
      <c r="L825" s="85"/>
      <c r="M825" s="624"/>
      <c r="N825" s="85"/>
      <c r="O825" s="624"/>
      <c r="P825" s="85"/>
      <c r="Q825" s="626">
        <f t="shared" si="25"/>
        <v>0</v>
      </c>
      <c r="R825" s="85"/>
      <c r="S825" s="624"/>
      <c r="T825" s="260"/>
      <c r="U825" s="624"/>
      <c r="V825" s="85"/>
      <c r="W825" s="624"/>
      <c r="X825" s="81"/>
      <c r="Y825" s="80"/>
      <c r="Z825" s="737">
        <f ca="1">MAX(0%,IF(Q825&lt;&gt;0,MIN((S825-Q825)/Q825/'Underwriting Risk'!$E$27,'Premium and Reserve Risk'!$Z$761),'Premium and Reserve Risk'!$Z$761))</f>
        <v>6.4000000000000001E-2</v>
      </c>
      <c r="AA825" s="80"/>
      <c r="AB825" s="80"/>
      <c r="AC825" s="737">
        <f ca="1">MAX(0%,IF(U825&lt;&gt;0,MIN((W825-U825)/U825/'Underwriting Risk'!$E$27,'Premium and Reserve Risk'!$AC$761),'Premium and Reserve Risk'!$AC$761))</f>
        <v>0.22</v>
      </c>
      <c r="AD825" s="81"/>
      <c r="AE825" s="97"/>
      <c r="AF825" s="97"/>
      <c r="AG825" s="97"/>
      <c r="AH825" s="97"/>
    </row>
    <row r="826" spans="1:34" ht="13.5" customHeight="1" x14ac:dyDescent="0.25">
      <c r="A826" s="97"/>
      <c r="B826" s="257">
        <v>64</v>
      </c>
      <c r="C826" s="652"/>
      <c r="D826" s="80"/>
      <c r="E826" s="80"/>
      <c r="F826" s="258">
        <f t="shared" ca="1" si="26"/>
        <v>0</v>
      </c>
      <c r="G826" s="624"/>
      <c r="H826" s="85"/>
      <c r="I826" s="624"/>
      <c r="J826" s="85"/>
      <c r="K826" s="624"/>
      <c r="L826" s="85"/>
      <c r="M826" s="624"/>
      <c r="N826" s="85"/>
      <c r="O826" s="624"/>
      <c r="P826" s="85"/>
      <c r="Q826" s="626">
        <f t="shared" si="25"/>
        <v>0</v>
      </c>
      <c r="R826" s="85"/>
      <c r="S826" s="624"/>
      <c r="T826" s="260"/>
      <c r="U826" s="624"/>
      <c r="V826" s="85"/>
      <c r="W826" s="624"/>
      <c r="X826" s="81"/>
      <c r="Y826" s="80"/>
      <c r="Z826" s="737">
        <f ca="1">MAX(0%,IF(Q826&lt;&gt;0,MIN((S826-Q826)/Q826/'Underwriting Risk'!$E$27,'Premium and Reserve Risk'!$Z$761),'Premium and Reserve Risk'!$Z$761))</f>
        <v>6.4000000000000001E-2</v>
      </c>
      <c r="AA826" s="80"/>
      <c r="AB826" s="80"/>
      <c r="AC826" s="737">
        <f ca="1">MAX(0%,IF(U826&lt;&gt;0,MIN((W826-U826)/U826/'Underwriting Risk'!$E$27,'Premium and Reserve Risk'!$AC$761),'Premium and Reserve Risk'!$AC$761))</f>
        <v>0.22</v>
      </c>
      <c r="AD826" s="81"/>
      <c r="AE826" s="97"/>
      <c r="AF826" s="97"/>
      <c r="AG826" s="97"/>
      <c r="AH826" s="97"/>
    </row>
    <row r="827" spans="1:34" ht="13.5" customHeight="1" x14ac:dyDescent="0.25">
      <c r="A827" s="97"/>
      <c r="B827" s="257">
        <v>65</v>
      </c>
      <c r="C827" s="652"/>
      <c r="D827" s="80"/>
      <c r="E827" s="80"/>
      <c r="F827" s="258">
        <f t="shared" ca="1" si="26"/>
        <v>0</v>
      </c>
      <c r="G827" s="624"/>
      <c r="H827" s="85"/>
      <c r="I827" s="624"/>
      <c r="J827" s="85"/>
      <c r="K827" s="624"/>
      <c r="L827" s="85"/>
      <c r="M827" s="624"/>
      <c r="N827" s="85"/>
      <c r="O827" s="624"/>
      <c r="P827" s="85"/>
      <c r="Q827" s="626">
        <f t="shared" si="25"/>
        <v>0</v>
      </c>
      <c r="R827" s="85"/>
      <c r="S827" s="624"/>
      <c r="T827" s="260"/>
      <c r="U827" s="624"/>
      <c r="V827" s="85"/>
      <c r="W827" s="624"/>
      <c r="X827" s="81"/>
      <c r="Y827" s="80"/>
      <c r="Z827" s="737">
        <f ca="1">MAX(0%,IF(Q827&lt;&gt;0,MIN((S827-Q827)/Q827/'Underwriting Risk'!$E$27,'Premium and Reserve Risk'!$Z$761),'Premium and Reserve Risk'!$Z$761))</f>
        <v>6.4000000000000001E-2</v>
      </c>
      <c r="AA827" s="80"/>
      <c r="AB827" s="80"/>
      <c r="AC827" s="737">
        <f ca="1">MAX(0%,IF(U827&lt;&gt;0,MIN((W827-U827)/U827/'Underwriting Risk'!$E$27,'Premium and Reserve Risk'!$AC$761),'Premium and Reserve Risk'!$AC$761))</f>
        <v>0.22</v>
      </c>
      <c r="AD827" s="81"/>
      <c r="AE827" s="97"/>
      <c r="AF827" s="97"/>
      <c r="AG827" s="97"/>
      <c r="AH827" s="97"/>
    </row>
    <row r="828" spans="1:34" ht="13.5" customHeight="1" x14ac:dyDescent="0.25">
      <c r="A828" s="97"/>
      <c r="B828" s="257">
        <v>66</v>
      </c>
      <c r="C828" s="652"/>
      <c r="D828" s="80"/>
      <c r="E828" s="80"/>
      <c r="F828" s="258">
        <f t="shared" ref="F828:F862" ca="1" si="27">IF(B828&lt;=OFFSET($Z$8,B$760-1,0),0,1)</f>
        <v>0</v>
      </c>
      <c r="G828" s="624"/>
      <c r="H828" s="85"/>
      <c r="I828" s="624"/>
      <c r="J828" s="85"/>
      <c r="K828" s="624"/>
      <c r="L828" s="85"/>
      <c r="M828" s="624"/>
      <c r="N828" s="85"/>
      <c r="O828" s="624"/>
      <c r="P828" s="85"/>
      <c r="Q828" s="626">
        <f t="shared" si="25"/>
        <v>0</v>
      </c>
      <c r="R828" s="85"/>
      <c r="S828" s="624"/>
      <c r="T828" s="260"/>
      <c r="U828" s="624"/>
      <c r="V828" s="85"/>
      <c r="W828" s="624"/>
      <c r="X828" s="81"/>
      <c r="Y828" s="80"/>
      <c r="Z828" s="737">
        <f ca="1">MAX(0%,IF(Q828&lt;&gt;0,MIN((S828-Q828)/Q828/'Underwriting Risk'!$E$27,'Premium and Reserve Risk'!$Z$761),'Premium and Reserve Risk'!$Z$761))</f>
        <v>6.4000000000000001E-2</v>
      </c>
      <c r="AA828" s="80"/>
      <c r="AB828" s="80"/>
      <c r="AC828" s="737">
        <f ca="1">MAX(0%,IF(U828&lt;&gt;0,MIN((W828-U828)/U828/'Underwriting Risk'!$E$27,'Premium and Reserve Risk'!$AC$761),'Premium and Reserve Risk'!$AC$761))</f>
        <v>0.22</v>
      </c>
      <c r="AD828" s="81"/>
      <c r="AE828" s="97"/>
      <c r="AF828" s="97"/>
      <c r="AG828" s="97"/>
      <c r="AH828" s="97"/>
    </row>
    <row r="829" spans="1:34" ht="13.5" customHeight="1" x14ac:dyDescent="0.25">
      <c r="A829" s="97"/>
      <c r="B829" s="257">
        <v>67</v>
      </c>
      <c r="C829" s="652"/>
      <c r="D829" s="80"/>
      <c r="E829" s="80"/>
      <c r="F829" s="258">
        <f t="shared" ca="1" si="27"/>
        <v>0</v>
      </c>
      <c r="G829" s="624"/>
      <c r="H829" s="85"/>
      <c r="I829" s="624"/>
      <c r="J829" s="85"/>
      <c r="K829" s="624"/>
      <c r="L829" s="85"/>
      <c r="M829" s="624"/>
      <c r="N829" s="85"/>
      <c r="O829" s="624"/>
      <c r="P829" s="85"/>
      <c r="Q829" s="626">
        <f t="shared" si="25"/>
        <v>0</v>
      </c>
      <c r="R829" s="85"/>
      <c r="S829" s="624"/>
      <c r="T829" s="260"/>
      <c r="U829" s="624"/>
      <c r="V829" s="85"/>
      <c r="W829" s="624"/>
      <c r="X829" s="81"/>
      <c r="Y829" s="80"/>
      <c r="Z829" s="737">
        <f ca="1">MAX(0%,IF(Q829&lt;&gt;0,MIN((S829-Q829)/Q829/'Underwriting Risk'!$E$27,'Premium and Reserve Risk'!$Z$761),'Premium and Reserve Risk'!$Z$761))</f>
        <v>6.4000000000000001E-2</v>
      </c>
      <c r="AA829" s="80"/>
      <c r="AB829" s="80"/>
      <c r="AC829" s="737">
        <f ca="1">MAX(0%,IF(U829&lt;&gt;0,MIN((W829-U829)/U829/'Underwriting Risk'!$E$27,'Premium and Reserve Risk'!$AC$761),'Premium and Reserve Risk'!$AC$761))</f>
        <v>0.22</v>
      </c>
      <c r="AD829" s="81"/>
      <c r="AE829" s="97"/>
      <c r="AF829" s="97"/>
      <c r="AG829" s="97"/>
      <c r="AH829" s="97"/>
    </row>
    <row r="830" spans="1:34" ht="13.5" customHeight="1" x14ac:dyDescent="0.25">
      <c r="A830" s="97"/>
      <c r="B830" s="257">
        <v>68</v>
      </c>
      <c r="C830" s="652"/>
      <c r="D830" s="80"/>
      <c r="E830" s="80"/>
      <c r="F830" s="258">
        <f t="shared" ca="1" si="27"/>
        <v>0</v>
      </c>
      <c r="G830" s="624"/>
      <c r="H830" s="85"/>
      <c r="I830" s="624"/>
      <c r="J830" s="85"/>
      <c r="K830" s="624"/>
      <c r="L830" s="85"/>
      <c r="M830" s="624"/>
      <c r="N830" s="85"/>
      <c r="O830" s="624"/>
      <c r="P830" s="85"/>
      <c r="Q830" s="626">
        <f t="shared" si="25"/>
        <v>0</v>
      </c>
      <c r="R830" s="85"/>
      <c r="S830" s="624"/>
      <c r="T830" s="260"/>
      <c r="U830" s="624"/>
      <c r="V830" s="85"/>
      <c r="W830" s="624"/>
      <c r="X830" s="81"/>
      <c r="Y830" s="80"/>
      <c r="Z830" s="737">
        <f ca="1">MAX(0%,IF(Q830&lt;&gt;0,MIN((S830-Q830)/Q830/'Underwriting Risk'!$E$27,'Premium and Reserve Risk'!$Z$761),'Premium and Reserve Risk'!$Z$761))</f>
        <v>6.4000000000000001E-2</v>
      </c>
      <c r="AA830" s="80"/>
      <c r="AB830" s="80"/>
      <c r="AC830" s="737">
        <f ca="1">MAX(0%,IF(U830&lt;&gt;0,MIN((W830-U830)/U830/'Underwriting Risk'!$E$27,'Premium and Reserve Risk'!$AC$761),'Premium and Reserve Risk'!$AC$761))</f>
        <v>0.22</v>
      </c>
      <c r="AD830" s="81"/>
      <c r="AE830" s="97"/>
      <c r="AF830" s="97"/>
      <c r="AG830" s="97"/>
      <c r="AH830" s="97"/>
    </row>
    <row r="831" spans="1:34" ht="13.5" customHeight="1" x14ac:dyDescent="0.25">
      <c r="A831" s="97"/>
      <c r="B831" s="257">
        <v>69</v>
      </c>
      <c r="C831" s="652"/>
      <c r="D831" s="80"/>
      <c r="E831" s="80"/>
      <c r="F831" s="258">
        <f t="shared" ca="1" si="27"/>
        <v>0</v>
      </c>
      <c r="G831" s="624"/>
      <c r="H831" s="85"/>
      <c r="I831" s="624"/>
      <c r="J831" s="85"/>
      <c r="K831" s="624"/>
      <c r="L831" s="85"/>
      <c r="M831" s="624"/>
      <c r="N831" s="85"/>
      <c r="O831" s="624"/>
      <c r="P831" s="85"/>
      <c r="Q831" s="626">
        <f t="shared" si="25"/>
        <v>0</v>
      </c>
      <c r="R831" s="85"/>
      <c r="S831" s="624"/>
      <c r="T831" s="260"/>
      <c r="U831" s="624"/>
      <c r="V831" s="85"/>
      <c r="W831" s="624"/>
      <c r="X831" s="81"/>
      <c r="Y831" s="80"/>
      <c r="Z831" s="737">
        <f ca="1">MAX(0%,IF(Q831&lt;&gt;0,MIN((S831-Q831)/Q831/'Underwriting Risk'!$E$27,'Premium and Reserve Risk'!$Z$761),'Premium and Reserve Risk'!$Z$761))</f>
        <v>6.4000000000000001E-2</v>
      </c>
      <c r="AA831" s="80"/>
      <c r="AB831" s="80"/>
      <c r="AC831" s="737">
        <f ca="1">MAX(0%,IF(U831&lt;&gt;0,MIN((W831-U831)/U831/'Underwriting Risk'!$E$27,'Premium and Reserve Risk'!$AC$761),'Premium and Reserve Risk'!$AC$761))</f>
        <v>0.22</v>
      </c>
      <c r="AD831" s="81"/>
      <c r="AE831" s="97"/>
      <c r="AF831" s="97"/>
      <c r="AG831" s="97"/>
      <c r="AH831" s="97"/>
    </row>
    <row r="832" spans="1:34" ht="13.5" customHeight="1" x14ac:dyDescent="0.25">
      <c r="A832" s="97"/>
      <c r="B832" s="257">
        <v>70</v>
      </c>
      <c r="C832" s="652"/>
      <c r="D832" s="80"/>
      <c r="E832" s="80"/>
      <c r="F832" s="258">
        <f t="shared" ca="1" si="27"/>
        <v>0</v>
      </c>
      <c r="G832" s="624"/>
      <c r="H832" s="85"/>
      <c r="I832" s="624"/>
      <c r="J832" s="85"/>
      <c r="K832" s="624"/>
      <c r="L832" s="85"/>
      <c r="M832" s="624"/>
      <c r="N832" s="85"/>
      <c r="O832" s="624"/>
      <c r="P832" s="85"/>
      <c r="Q832" s="626">
        <f t="shared" si="25"/>
        <v>0</v>
      </c>
      <c r="R832" s="85"/>
      <c r="S832" s="624"/>
      <c r="T832" s="260"/>
      <c r="U832" s="624"/>
      <c r="V832" s="85"/>
      <c r="W832" s="624"/>
      <c r="X832" s="81"/>
      <c r="Y832" s="80"/>
      <c r="Z832" s="737">
        <f ca="1">MAX(0%,IF(Q832&lt;&gt;0,MIN((S832-Q832)/Q832/'Underwriting Risk'!$E$27,'Premium and Reserve Risk'!$Z$761),'Premium and Reserve Risk'!$Z$761))</f>
        <v>6.4000000000000001E-2</v>
      </c>
      <c r="AA832" s="80"/>
      <c r="AB832" s="80"/>
      <c r="AC832" s="737">
        <f ca="1">MAX(0%,IF(U832&lt;&gt;0,MIN((W832-U832)/U832/'Underwriting Risk'!$E$27,'Premium and Reserve Risk'!$AC$761),'Premium and Reserve Risk'!$AC$761))</f>
        <v>0.22</v>
      </c>
      <c r="AD832" s="81"/>
      <c r="AE832" s="97"/>
      <c r="AF832" s="97"/>
      <c r="AG832" s="97"/>
      <c r="AH832" s="97"/>
    </row>
    <row r="833" spans="1:34" ht="13.5" customHeight="1" x14ac:dyDescent="0.25">
      <c r="A833" s="97"/>
      <c r="B833" s="257">
        <v>71</v>
      </c>
      <c r="C833" s="652"/>
      <c r="D833" s="80"/>
      <c r="E833" s="80"/>
      <c r="F833" s="258">
        <f t="shared" ca="1" si="27"/>
        <v>0</v>
      </c>
      <c r="G833" s="624"/>
      <c r="H833" s="85"/>
      <c r="I833" s="624"/>
      <c r="J833" s="85"/>
      <c r="K833" s="624"/>
      <c r="L833" s="85"/>
      <c r="M833" s="624"/>
      <c r="N833" s="85"/>
      <c r="O833" s="624"/>
      <c r="P833" s="85"/>
      <c r="Q833" s="626">
        <f t="shared" si="25"/>
        <v>0</v>
      </c>
      <c r="R833" s="85"/>
      <c r="S833" s="624"/>
      <c r="T833" s="260"/>
      <c r="U833" s="624"/>
      <c r="V833" s="85"/>
      <c r="W833" s="624"/>
      <c r="X833" s="81"/>
      <c r="Y833" s="80"/>
      <c r="Z833" s="737">
        <f ca="1">MAX(0%,IF(Q833&lt;&gt;0,MIN((S833-Q833)/Q833/'Underwriting Risk'!$E$27,'Premium and Reserve Risk'!$Z$761),'Premium and Reserve Risk'!$Z$761))</f>
        <v>6.4000000000000001E-2</v>
      </c>
      <c r="AA833" s="80"/>
      <c r="AB833" s="80"/>
      <c r="AC833" s="737">
        <f ca="1">MAX(0%,IF(U833&lt;&gt;0,MIN((W833-U833)/U833/'Underwriting Risk'!$E$27,'Premium and Reserve Risk'!$AC$761),'Premium and Reserve Risk'!$AC$761))</f>
        <v>0.22</v>
      </c>
      <c r="AD833" s="81"/>
      <c r="AE833" s="97"/>
      <c r="AF833" s="97"/>
      <c r="AG833" s="97"/>
      <c r="AH833" s="97"/>
    </row>
    <row r="834" spans="1:34" ht="13.5" customHeight="1" x14ac:dyDescent="0.25">
      <c r="A834" s="97"/>
      <c r="B834" s="257">
        <v>72</v>
      </c>
      <c r="C834" s="652"/>
      <c r="D834" s="80"/>
      <c r="E834" s="80"/>
      <c r="F834" s="258">
        <f t="shared" ca="1" si="27"/>
        <v>0</v>
      </c>
      <c r="G834" s="624"/>
      <c r="H834" s="85"/>
      <c r="I834" s="624"/>
      <c r="J834" s="85"/>
      <c r="K834" s="624"/>
      <c r="L834" s="85"/>
      <c r="M834" s="624"/>
      <c r="N834" s="85"/>
      <c r="O834" s="624"/>
      <c r="P834" s="85"/>
      <c r="Q834" s="626">
        <f t="shared" si="25"/>
        <v>0</v>
      </c>
      <c r="R834" s="85"/>
      <c r="S834" s="624"/>
      <c r="T834" s="260"/>
      <c r="U834" s="624"/>
      <c r="V834" s="85"/>
      <c r="W834" s="624"/>
      <c r="X834" s="81"/>
      <c r="Y834" s="80"/>
      <c r="Z834" s="737">
        <f ca="1">MAX(0%,IF(Q834&lt;&gt;0,MIN((S834-Q834)/Q834/'Underwriting Risk'!$E$27,'Premium and Reserve Risk'!$Z$761),'Premium and Reserve Risk'!$Z$761))</f>
        <v>6.4000000000000001E-2</v>
      </c>
      <c r="AA834" s="80"/>
      <c r="AB834" s="80"/>
      <c r="AC834" s="737">
        <f ca="1">MAX(0%,IF(U834&lt;&gt;0,MIN((W834-U834)/U834/'Underwriting Risk'!$E$27,'Premium and Reserve Risk'!$AC$761),'Premium and Reserve Risk'!$AC$761))</f>
        <v>0.22</v>
      </c>
      <c r="AD834" s="81"/>
      <c r="AE834" s="97"/>
      <c r="AF834" s="97"/>
      <c r="AG834" s="97"/>
      <c r="AH834" s="97"/>
    </row>
    <row r="835" spans="1:34" ht="13.5" customHeight="1" x14ac:dyDescent="0.25">
      <c r="A835" s="97"/>
      <c r="B835" s="257">
        <v>73</v>
      </c>
      <c r="C835" s="652"/>
      <c r="D835" s="80"/>
      <c r="E835" s="80"/>
      <c r="F835" s="258">
        <f t="shared" ca="1" si="27"/>
        <v>0</v>
      </c>
      <c r="G835" s="624"/>
      <c r="H835" s="85"/>
      <c r="I835" s="624"/>
      <c r="J835" s="85"/>
      <c r="K835" s="624"/>
      <c r="L835" s="85"/>
      <c r="M835" s="624"/>
      <c r="N835" s="85"/>
      <c r="O835" s="624"/>
      <c r="P835" s="85"/>
      <c r="Q835" s="626">
        <f t="shared" si="25"/>
        <v>0</v>
      </c>
      <c r="R835" s="85"/>
      <c r="S835" s="624"/>
      <c r="T835" s="260"/>
      <c r="U835" s="624"/>
      <c r="V835" s="85"/>
      <c r="W835" s="624"/>
      <c r="X835" s="81"/>
      <c r="Y835" s="80"/>
      <c r="Z835" s="737">
        <f ca="1">MAX(0%,IF(Q835&lt;&gt;0,MIN((S835-Q835)/Q835/'Underwriting Risk'!$E$27,'Premium and Reserve Risk'!$Z$761),'Premium and Reserve Risk'!$Z$761))</f>
        <v>6.4000000000000001E-2</v>
      </c>
      <c r="AA835" s="80"/>
      <c r="AB835" s="80"/>
      <c r="AC835" s="737">
        <f ca="1">MAX(0%,IF(U835&lt;&gt;0,MIN((W835-U835)/U835/'Underwriting Risk'!$E$27,'Premium and Reserve Risk'!$AC$761),'Premium and Reserve Risk'!$AC$761))</f>
        <v>0.22</v>
      </c>
      <c r="AD835" s="81"/>
      <c r="AE835" s="97"/>
      <c r="AF835" s="97"/>
      <c r="AG835" s="97"/>
      <c r="AH835" s="97"/>
    </row>
    <row r="836" spans="1:34" ht="13.5" customHeight="1" x14ac:dyDescent="0.25">
      <c r="A836" s="97"/>
      <c r="B836" s="257">
        <v>74</v>
      </c>
      <c r="C836" s="652"/>
      <c r="D836" s="80"/>
      <c r="E836" s="80"/>
      <c r="F836" s="258">
        <f t="shared" ca="1" si="27"/>
        <v>0</v>
      </c>
      <c r="G836" s="624"/>
      <c r="H836" s="85"/>
      <c r="I836" s="624"/>
      <c r="J836" s="85"/>
      <c r="K836" s="624"/>
      <c r="L836" s="85"/>
      <c r="M836" s="624"/>
      <c r="N836" s="85"/>
      <c r="O836" s="624"/>
      <c r="P836" s="85"/>
      <c r="Q836" s="626">
        <f t="shared" si="25"/>
        <v>0</v>
      </c>
      <c r="R836" s="85"/>
      <c r="S836" s="624"/>
      <c r="T836" s="260"/>
      <c r="U836" s="624"/>
      <c r="V836" s="85"/>
      <c r="W836" s="624"/>
      <c r="X836" s="81"/>
      <c r="Y836" s="80"/>
      <c r="Z836" s="737">
        <f ca="1">MAX(0%,IF(Q836&lt;&gt;0,MIN((S836-Q836)/Q836/'Underwriting Risk'!$E$27,'Premium and Reserve Risk'!$Z$761),'Premium and Reserve Risk'!$Z$761))</f>
        <v>6.4000000000000001E-2</v>
      </c>
      <c r="AA836" s="80"/>
      <c r="AB836" s="80"/>
      <c r="AC836" s="737">
        <f ca="1">MAX(0%,IF(U836&lt;&gt;0,MIN((W836-U836)/U836/'Underwriting Risk'!$E$27,'Premium and Reserve Risk'!$AC$761),'Premium and Reserve Risk'!$AC$761))</f>
        <v>0.22</v>
      </c>
      <c r="AD836" s="81"/>
      <c r="AE836" s="97"/>
      <c r="AF836" s="97"/>
      <c r="AG836" s="97"/>
      <c r="AH836" s="97"/>
    </row>
    <row r="837" spans="1:34" ht="13.5" customHeight="1" x14ac:dyDescent="0.25">
      <c r="A837" s="97"/>
      <c r="B837" s="257">
        <v>75</v>
      </c>
      <c r="C837" s="652"/>
      <c r="D837" s="80"/>
      <c r="E837" s="80"/>
      <c r="F837" s="258">
        <f t="shared" ca="1" si="27"/>
        <v>0</v>
      </c>
      <c r="G837" s="624"/>
      <c r="H837" s="85"/>
      <c r="I837" s="624"/>
      <c r="J837" s="85"/>
      <c r="K837" s="624"/>
      <c r="L837" s="85"/>
      <c r="M837" s="624"/>
      <c r="N837" s="85"/>
      <c r="O837" s="624"/>
      <c r="P837" s="85"/>
      <c r="Q837" s="626">
        <f t="shared" si="25"/>
        <v>0</v>
      </c>
      <c r="R837" s="85"/>
      <c r="S837" s="624"/>
      <c r="T837" s="260"/>
      <c r="U837" s="624"/>
      <c r="V837" s="85"/>
      <c r="W837" s="624"/>
      <c r="X837" s="81"/>
      <c r="Y837" s="80"/>
      <c r="Z837" s="737">
        <f ca="1">MAX(0%,IF(Q837&lt;&gt;0,MIN((S837-Q837)/Q837/'Underwriting Risk'!$E$27,'Premium and Reserve Risk'!$Z$761),'Premium and Reserve Risk'!$Z$761))</f>
        <v>6.4000000000000001E-2</v>
      </c>
      <c r="AA837" s="80"/>
      <c r="AB837" s="80"/>
      <c r="AC837" s="737">
        <f ca="1">MAX(0%,IF(U837&lt;&gt;0,MIN((W837-U837)/U837/'Underwriting Risk'!$E$27,'Premium and Reserve Risk'!$AC$761),'Premium and Reserve Risk'!$AC$761))</f>
        <v>0.22</v>
      </c>
      <c r="AD837" s="81"/>
      <c r="AE837" s="97"/>
      <c r="AF837" s="97"/>
      <c r="AG837" s="97"/>
      <c r="AH837" s="97"/>
    </row>
    <row r="838" spans="1:34" ht="13.5" customHeight="1" x14ac:dyDescent="0.25">
      <c r="A838" s="97"/>
      <c r="B838" s="257">
        <v>76</v>
      </c>
      <c r="C838" s="652"/>
      <c r="D838" s="80"/>
      <c r="E838" s="80"/>
      <c r="F838" s="258">
        <f t="shared" ca="1" si="27"/>
        <v>0</v>
      </c>
      <c r="G838" s="624"/>
      <c r="H838" s="85"/>
      <c r="I838" s="624"/>
      <c r="J838" s="85"/>
      <c r="K838" s="624"/>
      <c r="L838" s="85"/>
      <c r="M838" s="624"/>
      <c r="N838" s="85"/>
      <c r="O838" s="624"/>
      <c r="P838" s="85"/>
      <c r="Q838" s="626">
        <f t="shared" si="25"/>
        <v>0</v>
      </c>
      <c r="R838" s="85"/>
      <c r="S838" s="624"/>
      <c r="T838" s="260"/>
      <c r="U838" s="624"/>
      <c r="V838" s="85"/>
      <c r="W838" s="624"/>
      <c r="X838" s="81"/>
      <c r="Y838" s="80"/>
      <c r="Z838" s="737">
        <f ca="1">MAX(0%,IF(Q838&lt;&gt;0,MIN((S838-Q838)/Q838/'Underwriting Risk'!$E$27,'Premium and Reserve Risk'!$Z$761),'Premium and Reserve Risk'!$Z$761))</f>
        <v>6.4000000000000001E-2</v>
      </c>
      <c r="AA838" s="80"/>
      <c r="AB838" s="80"/>
      <c r="AC838" s="737">
        <f ca="1">MAX(0%,IF(U838&lt;&gt;0,MIN((W838-U838)/U838/'Underwriting Risk'!$E$27,'Premium and Reserve Risk'!$AC$761),'Premium and Reserve Risk'!$AC$761))</f>
        <v>0.22</v>
      </c>
      <c r="AD838" s="81"/>
      <c r="AE838" s="97"/>
      <c r="AF838" s="97"/>
      <c r="AG838" s="97"/>
      <c r="AH838" s="97"/>
    </row>
    <row r="839" spans="1:34" ht="13.5" customHeight="1" x14ac:dyDescent="0.25">
      <c r="A839" s="97"/>
      <c r="B839" s="257">
        <v>77</v>
      </c>
      <c r="C839" s="652"/>
      <c r="D839" s="80"/>
      <c r="E839" s="80"/>
      <c r="F839" s="258">
        <f t="shared" ca="1" si="27"/>
        <v>0</v>
      </c>
      <c r="G839" s="624"/>
      <c r="H839" s="85"/>
      <c r="I839" s="624"/>
      <c r="J839" s="85"/>
      <c r="K839" s="624"/>
      <c r="L839" s="85"/>
      <c r="M839" s="624"/>
      <c r="N839" s="85"/>
      <c r="O839" s="624"/>
      <c r="P839" s="85"/>
      <c r="Q839" s="626">
        <f t="shared" si="25"/>
        <v>0</v>
      </c>
      <c r="R839" s="85"/>
      <c r="S839" s="624"/>
      <c r="T839" s="260"/>
      <c r="U839" s="624"/>
      <c r="V839" s="85"/>
      <c r="W839" s="624"/>
      <c r="X839" s="81"/>
      <c r="Y839" s="80"/>
      <c r="Z839" s="737">
        <f ca="1">MAX(0%,IF(Q839&lt;&gt;0,MIN((S839-Q839)/Q839/'Underwriting Risk'!$E$27,'Premium and Reserve Risk'!$Z$761),'Premium and Reserve Risk'!$Z$761))</f>
        <v>6.4000000000000001E-2</v>
      </c>
      <c r="AA839" s="80"/>
      <c r="AB839" s="80"/>
      <c r="AC839" s="737">
        <f ca="1">MAX(0%,IF(U839&lt;&gt;0,MIN((W839-U839)/U839/'Underwriting Risk'!$E$27,'Premium and Reserve Risk'!$AC$761),'Premium and Reserve Risk'!$AC$761))</f>
        <v>0.22</v>
      </c>
      <c r="AD839" s="81"/>
      <c r="AE839" s="97"/>
      <c r="AF839" s="97"/>
      <c r="AG839" s="97"/>
      <c r="AH839" s="97"/>
    </row>
    <row r="840" spans="1:34" ht="13.5" customHeight="1" x14ac:dyDescent="0.25">
      <c r="A840" s="97"/>
      <c r="B840" s="257">
        <v>78</v>
      </c>
      <c r="C840" s="652"/>
      <c r="D840" s="80"/>
      <c r="E840" s="80"/>
      <c r="F840" s="258">
        <f t="shared" ca="1" si="27"/>
        <v>0</v>
      </c>
      <c r="G840" s="624"/>
      <c r="H840" s="85"/>
      <c r="I840" s="624"/>
      <c r="J840" s="85"/>
      <c r="K840" s="624"/>
      <c r="L840" s="85"/>
      <c r="M840" s="624"/>
      <c r="N840" s="85"/>
      <c r="O840" s="624"/>
      <c r="P840" s="85"/>
      <c r="Q840" s="626">
        <f t="shared" si="25"/>
        <v>0</v>
      </c>
      <c r="R840" s="85"/>
      <c r="S840" s="624"/>
      <c r="T840" s="260"/>
      <c r="U840" s="624"/>
      <c r="V840" s="85"/>
      <c r="W840" s="624"/>
      <c r="X840" s="81"/>
      <c r="Y840" s="80"/>
      <c r="Z840" s="737">
        <f ca="1">MAX(0%,IF(Q840&lt;&gt;0,MIN((S840-Q840)/Q840/'Underwriting Risk'!$E$27,'Premium and Reserve Risk'!$Z$761),'Premium and Reserve Risk'!$Z$761))</f>
        <v>6.4000000000000001E-2</v>
      </c>
      <c r="AA840" s="80"/>
      <c r="AB840" s="80"/>
      <c r="AC840" s="737">
        <f ca="1">MAX(0%,IF(U840&lt;&gt;0,MIN((W840-U840)/U840/'Underwriting Risk'!$E$27,'Premium and Reserve Risk'!$AC$761),'Premium and Reserve Risk'!$AC$761))</f>
        <v>0.22</v>
      </c>
      <c r="AD840" s="81"/>
      <c r="AE840" s="97"/>
      <c r="AF840" s="97"/>
      <c r="AG840" s="97"/>
      <c r="AH840" s="97"/>
    </row>
    <row r="841" spans="1:34" ht="13.5" customHeight="1" x14ac:dyDescent="0.25">
      <c r="A841" s="97"/>
      <c r="B841" s="257">
        <v>79</v>
      </c>
      <c r="C841" s="652"/>
      <c r="D841" s="80"/>
      <c r="E841" s="80"/>
      <c r="F841" s="258">
        <f t="shared" ca="1" si="27"/>
        <v>0</v>
      </c>
      <c r="G841" s="624"/>
      <c r="H841" s="85"/>
      <c r="I841" s="624"/>
      <c r="J841" s="85"/>
      <c r="K841" s="624"/>
      <c r="L841" s="85"/>
      <c r="M841" s="624"/>
      <c r="N841" s="85"/>
      <c r="O841" s="624"/>
      <c r="P841" s="85"/>
      <c r="Q841" s="626">
        <f t="shared" si="25"/>
        <v>0</v>
      </c>
      <c r="R841" s="85"/>
      <c r="S841" s="624"/>
      <c r="T841" s="260"/>
      <c r="U841" s="624"/>
      <c r="V841" s="85"/>
      <c r="W841" s="624"/>
      <c r="X841" s="81"/>
      <c r="Y841" s="80"/>
      <c r="Z841" s="737">
        <f ca="1">MAX(0%,IF(Q841&lt;&gt;0,MIN((S841-Q841)/Q841/'Underwriting Risk'!$E$27,'Premium and Reserve Risk'!$Z$761),'Premium and Reserve Risk'!$Z$761))</f>
        <v>6.4000000000000001E-2</v>
      </c>
      <c r="AA841" s="80"/>
      <c r="AB841" s="80"/>
      <c r="AC841" s="737">
        <f ca="1">MAX(0%,IF(U841&lt;&gt;0,MIN((W841-U841)/U841/'Underwriting Risk'!$E$27,'Premium and Reserve Risk'!$AC$761),'Premium and Reserve Risk'!$AC$761))</f>
        <v>0.22</v>
      </c>
      <c r="AD841" s="81"/>
      <c r="AE841" s="97"/>
      <c r="AF841" s="97"/>
      <c r="AG841" s="97"/>
      <c r="AH841" s="97"/>
    </row>
    <row r="842" spans="1:34" ht="13.5" customHeight="1" x14ac:dyDescent="0.25">
      <c r="A842" s="97"/>
      <c r="B842" s="257">
        <v>80</v>
      </c>
      <c r="C842" s="652"/>
      <c r="D842" s="80"/>
      <c r="E842" s="80"/>
      <c r="F842" s="258">
        <f t="shared" ca="1" si="27"/>
        <v>0</v>
      </c>
      <c r="G842" s="624"/>
      <c r="H842" s="85"/>
      <c r="I842" s="624"/>
      <c r="J842" s="85"/>
      <c r="K842" s="624"/>
      <c r="L842" s="85"/>
      <c r="M842" s="624"/>
      <c r="N842" s="85"/>
      <c r="O842" s="624"/>
      <c r="P842" s="85"/>
      <c r="Q842" s="626">
        <f t="shared" si="25"/>
        <v>0</v>
      </c>
      <c r="R842" s="85"/>
      <c r="S842" s="624"/>
      <c r="T842" s="260"/>
      <c r="U842" s="624"/>
      <c r="V842" s="85"/>
      <c r="W842" s="624"/>
      <c r="X842" s="81"/>
      <c r="Y842" s="80"/>
      <c r="Z842" s="737">
        <f ca="1">MAX(0%,IF(Q842&lt;&gt;0,MIN((S842-Q842)/Q842/'Underwriting Risk'!$E$27,'Premium and Reserve Risk'!$Z$761),'Premium and Reserve Risk'!$Z$761))</f>
        <v>6.4000000000000001E-2</v>
      </c>
      <c r="AA842" s="80"/>
      <c r="AB842" s="80"/>
      <c r="AC842" s="737">
        <f ca="1">MAX(0%,IF(U842&lt;&gt;0,MIN((W842-U842)/U842/'Underwriting Risk'!$E$27,'Premium and Reserve Risk'!$AC$761),'Premium and Reserve Risk'!$AC$761))</f>
        <v>0.22</v>
      </c>
      <c r="AD842" s="81"/>
      <c r="AE842" s="97"/>
      <c r="AF842" s="97"/>
      <c r="AG842" s="97"/>
      <c r="AH842" s="97"/>
    </row>
    <row r="843" spans="1:34" ht="13.5" customHeight="1" x14ac:dyDescent="0.25">
      <c r="A843" s="97"/>
      <c r="B843" s="257">
        <v>81</v>
      </c>
      <c r="C843" s="652"/>
      <c r="D843" s="80"/>
      <c r="E843" s="80"/>
      <c r="F843" s="258">
        <f t="shared" ca="1" si="27"/>
        <v>0</v>
      </c>
      <c r="G843" s="624"/>
      <c r="H843" s="85"/>
      <c r="I843" s="624"/>
      <c r="J843" s="85"/>
      <c r="K843" s="624"/>
      <c r="L843" s="85"/>
      <c r="M843" s="624"/>
      <c r="N843" s="85"/>
      <c r="O843" s="624"/>
      <c r="P843" s="85"/>
      <c r="Q843" s="626">
        <f t="shared" si="25"/>
        <v>0</v>
      </c>
      <c r="R843" s="85"/>
      <c r="S843" s="624"/>
      <c r="T843" s="260"/>
      <c r="U843" s="624"/>
      <c r="V843" s="85"/>
      <c r="W843" s="624"/>
      <c r="X843" s="81"/>
      <c r="Y843" s="80"/>
      <c r="Z843" s="737">
        <f ca="1">MAX(0%,IF(Q843&lt;&gt;0,MIN((S843-Q843)/Q843/'Underwriting Risk'!$E$27,'Premium and Reserve Risk'!$Z$761),'Premium and Reserve Risk'!$Z$761))</f>
        <v>6.4000000000000001E-2</v>
      </c>
      <c r="AA843" s="80"/>
      <c r="AB843" s="80"/>
      <c r="AC843" s="737">
        <f ca="1">MAX(0%,IF(U843&lt;&gt;0,MIN((W843-U843)/U843/'Underwriting Risk'!$E$27,'Premium and Reserve Risk'!$AC$761),'Premium and Reserve Risk'!$AC$761))</f>
        <v>0.22</v>
      </c>
      <c r="AD843" s="81"/>
      <c r="AE843" s="97"/>
      <c r="AF843" s="97"/>
      <c r="AG843" s="97"/>
      <c r="AH843" s="97"/>
    </row>
    <row r="844" spans="1:34" ht="13.5" customHeight="1" x14ac:dyDescent="0.25">
      <c r="A844" s="97"/>
      <c r="B844" s="257">
        <v>82</v>
      </c>
      <c r="C844" s="652"/>
      <c r="D844" s="80"/>
      <c r="E844" s="80"/>
      <c r="F844" s="258">
        <f t="shared" ca="1" si="27"/>
        <v>0</v>
      </c>
      <c r="G844" s="624"/>
      <c r="H844" s="85"/>
      <c r="I844" s="624"/>
      <c r="J844" s="85"/>
      <c r="K844" s="624"/>
      <c r="L844" s="85"/>
      <c r="M844" s="624"/>
      <c r="N844" s="85"/>
      <c r="O844" s="624"/>
      <c r="P844" s="85"/>
      <c r="Q844" s="626">
        <f t="shared" si="25"/>
        <v>0</v>
      </c>
      <c r="R844" s="85"/>
      <c r="S844" s="624"/>
      <c r="T844" s="260"/>
      <c r="U844" s="624"/>
      <c r="V844" s="85"/>
      <c r="W844" s="624"/>
      <c r="X844" s="81"/>
      <c r="Y844" s="80"/>
      <c r="Z844" s="737">
        <f ca="1">MAX(0%,IF(Q844&lt;&gt;0,MIN((S844-Q844)/Q844/'Underwriting Risk'!$E$27,'Premium and Reserve Risk'!$Z$761),'Premium and Reserve Risk'!$Z$761))</f>
        <v>6.4000000000000001E-2</v>
      </c>
      <c r="AA844" s="80"/>
      <c r="AB844" s="80"/>
      <c r="AC844" s="737">
        <f ca="1">MAX(0%,IF(U844&lt;&gt;0,MIN((W844-U844)/U844/'Underwriting Risk'!$E$27,'Premium and Reserve Risk'!$AC$761),'Premium and Reserve Risk'!$AC$761))</f>
        <v>0.22</v>
      </c>
      <c r="AD844" s="81"/>
      <c r="AE844" s="97"/>
      <c r="AF844" s="97"/>
      <c r="AG844" s="97"/>
      <c r="AH844" s="97"/>
    </row>
    <row r="845" spans="1:34" ht="13.5" customHeight="1" x14ac:dyDescent="0.25">
      <c r="A845" s="97"/>
      <c r="B845" s="257">
        <v>83</v>
      </c>
      <c r="C845" s="652"/>
      <c r="D845" s="80"/>
      <c r="E845" s="80"/>
      <c r="F845" s="258">
        <f t="shared" ca="1" si="27"/>
        <v>0</v>
      </c>
      <c r="G845" s="624"/>
      <c r="H845" s="85"/>
      <c r="I845" s="624"/>
      <c r="J845" s="85"/>
      <c r="K845" s="624"/>
      <c r="L845" s="85"/>
      <c r="M845" s="624"/>
      <c r="N845" s="85"/>
      <c r="O845" s="624"/>
      <c r="P845" s="85"/>
      <c r="Q845" s="626">
        <f t="shared" si="25"/>
        <v>0</v>
      </c>
      <c r="R845" s="85"/>
      <c r="S845" s="624"/>
      <c r="T845" s="260"/>
      <c r="U845" s="624"/>
      <c r="V845" s="85"/>
      <c r="W845" s="624"/>
      <c r="X845" s="81"/>
      <c r="Y845" s="80"/>
      <c r="Z845" s="737">
        <f ca="1">MAX(0%,IF(Q845&lt;&gt;0,MIN((S845-Q845)/Q845/'Underwriting Risk'!$E$27,'Premium and Reserve Risk'!$Z$761),'Premium and Reserve Risk'!$Z$761))</f>
        <v>6.4000000000000001E-2</v>
      </c>
      <c r="AA845" s="80"/>
      <c r="AB845" s="80"/>
      <c r="AC845" s="737">
        <f ca="1">MAX(0%,IF(U845&lt;&gt;0,MIN((W845-U845)/U845/'Underwriting Risk'!$E$27,'Premium and Reserve Risk'!$AC$761),'Premium and Reserve Risk'!$AC$761))</f>
        <v>0.22</v>
      </c>
      <c r="AD845" s="81"/>
      <c r="AE845" s="97"/>
      <c r="AF845" s="97"/>
      <c r="AG845" s="97"/>
      <c r="AH845" s="97"/>
    </row>
    <row r="846" spans="1:34" ht="13.5" customHeight="1" x14ac:dyDescent="0.25">
      <c r="A846" s="97"/>
      <c r="B846" s="257">
        <v>84</v>
      </c>
      <c r="C846" s="652"/>
      <c r="D846" s="80"/>
      <c r="E846" s="80"/>
      <c r="F846" s="258">
        <f t="shared" ca="1" si="27"/>
        <v>0</v>
      </c>
      <c r="G846" s="624"/>
      <c r="H846" s="85"/>
      <c r="I846" s="624"/>
      <c r="J846" s="85"/>
      <c r="K846" s="624"/>
      <c r="L846" s="85"/>
      <c r="M846" s="624"/>
      <c r="N846" s="85"/>
      <c r="O846" s="624"/>
      <c r="P846" s="85"/>
      <c r="Q846" s="626">
        <f t="shared" si="25"/>
        <v>0</v>
      </c>
      <c r="R846" s="85"/>
      <c r="S846" s="624"/>
      <c r="T846" s="260"/>
      <c r="U846" s="624"/>
      <c r="V846" s="85"/>
      <c r="W846" s="624"/>
      <c r="X846" s="81"/>
      <c r="Y846" s="80"/>
      <c r="Z846" s="737">
        <f ca="1">MAX(0%,IF(Q846&lt;&gt;0,MIN((S846-Q846)/Q846/'Underwriting Risk'!$E$27,'Premium and Reserve Risk'!$Z$761),'Premium and Reserve Risk'!$Z$761))</f>
        <v>6.4000000000000001E-2</v>
      </c>
      <c r="AA846" s="80"/>
      <c r="AB846" s="80"/>
      <c r="AC846" s="737">
        <f ca="1">MAX(0%,IF(U846&lt;&gt;0,MIN((W846-U846)/U846/'Underwriting Risk'!$E$27,'Premium and Reserve Risk'!$AC$761),'Premium and Reserve Risk'!$AC$761))</f>
        <v>0.22</v>
      </c>
      <c r="AD846" s="81"/>
      <c r="AE846" s="97"/>
      <c r="AF846" s="97"/>
      <c r="AG846" s="97"/>
      <c r="AH846" s="97"/>
    </row>
    <row r="847" spans="1:34" ht="13.5" customHeight="1" x14ac:dyDescent="0.25">
      <c r="A847" s="97"/>
      <c r="B847" s="257">
        <v>85</v>
      </c>
      <c r="C847" s="652"/>
      <c r="D847" s="80"/>
      <c r="E847" s="80"/>
      <c r="F847" s="258">
        <f t="shared" ca="1" si="27"/>
        <v>0</v>
      </c>
      <c r="G847" s="624"/>
      <c r="H847" s="85"/>
      <c r="I847" s="624"/>
      <c r="J847" s="85"/>
      <c r="K847" s="624"/>
      <c r="L847" s="85"/>
      <c r="M847" s="624"/>
      <c r="N847" s="85"/>
      <c r="O847" s="624"/>
      <c r="P847" s="85"/>
      <c r="Q847" s="626">
        <f t="shared" si="25"/>
        <v>0</v>
      </c>
      <c r="R847" s="85"/>
      <c r="S847" s="624"/>
      <c r="T847" s="260"/>
      <c r="U847" s="624"/>
      <c r="V847" s="85"/>
      <c r="W847" s="624"/>
      <c r="X847" s="81"/>
      <c r="Y847" s="80"/>
      <c r="Z847" s="737">
        <f ca="1">MAX(0%,IF(Q847&lt;&gt;0,MIN((S847-Q847)/Q847/'Underwriting Risk'!$E$27,'Premium and Reserve Risk'!$Z$761),'Premium and Reserve Risk'!$Z$761))</f>
        <v>6.4000000000000001E-2</v>
      </c>
      <c r="AA847" s="80"/>
      <c r="AB847" s="80"/>
      <c r="AC847" s="737">
        <f ca="1">MAX(0%,IF(U847&lt;&gt;0,MIN((W847-U847)/U847/'Underwriting Risk'!$E$27,'Premium and Reserve Risk'!$AC$761),'Premium and Reserve Risk'!$AC$761))</f>
        <v>0.22</v>
      </c>
      <c r="AD847" s="81"/>
      <c r="AE847" s="97"/>
      <c r="AF847" s="97"/>
      <c r="AG847" s="97"/>
      <c r="AH847" s="97"/>
    </row>
    <row r="848" spans="1:34" ht="13.5" customHeight="1" x14ac:dyDescent="0.25">
      <c r="A848" s="97"/>
      <c r="B848" s="257">
        <v>86</v>
      </c>
      <c r="C848" s="652"/>
      <c r="D848" s="80"/>
      <c r="E848" s="80"/>
      <c r="F848" s="258">
        <f t="shared" ca="1" si="27"/>
        <v>0</v>
      </c>
      <c r="G848" s="624"/>
      <c r="H848" s="85"/>
      <c r="I848" s="624"/>
      <c r="J848" s="85"/>
      <c r="K848" s="624"/>
      <c r="L848" s="85"/>
      <c r="M848" s="624"/>
      <c r="N848" s="85"/>
      <c r="O848" s="624"/>
      <c r="P848" s="85"/>
      <c r="Q848" s="626">
        <f t="shared" si="25"/>
        <v>0</v>
      </c>
      <c r="R848" s="85"/>
      <c r="S848" s="624"/>
      <c r="T848" s="260"/>
      <c r="U848" s="624"/>
      <c r="V848" s="85"/>
      <c r="W848" s="624"/>
      <c r="X848" s="81"/>
      <c r="Y848" s="80"/>
      <c r="Z848" s="737">
        <f ca="1">MAX(0%,IF(Q848&lt;&gt;0,MIN((S848-Q848)/Q848/'Underwriting Risk'!$E$27,'Premium and Reserve Risk'!$Z$761),'Premium and Reserve Risk'!$Z$761))</f>
        <v>6.4000000000000001E-2</v>
      </c>
      <c r="AA848" s="80"/>
      <c r="AB848" s="80"/>
      <c r="AC848" s="737">
        <f ca="1">MAX(0%,IF(U848&lt;&gt;0,MIN((W848-U848)/U848/'Underwriting Risk'!$E$27,'Premium and Reserve Risk'!$AC$761),'Premium and Reserve Risk'!$AC$761))</f>
        <v>0.22</v>
      </c>
      <c r="AD848" s="81"/>
      <c r="AE848" s="97"/>
      <c r="AF848" s="97"/>
      <c r="AG848" s="97"/>
      <c r="AH848" s="97"/>
    </row>
    <row r="849" spans="1:34" ht="13.5" customHeight="1" x14ac:dyDescent="0.25">
      <c r="A849" s="97"/>
      <c r="B849" s="257">
        <v>87</v>
      </c>
      <c r="C849" s="652"/>
      <c r="D849" s="80"/>
      <c r="E849" s="80"/>
      <c r="F849" s="258">
        <f t="shared" ca="1" si="27"/>
        <v>0</v>
      </c>
      <c r="G849" s="624"/>
      <c r="H849" s="85"/>
      <c r="I849" s="624"/>
      <c r="J849" s="85"/>
      <c r="K849" s="624"/>
      <c r="L849" s="85"/>
      <c r="M849" s="624"/>
      <c r="N849" s="85"/>
      <c r="O849" s="624"/>
      <c r="P849" s="85"/>
      <c r="Q849" s="626">
        <f t="shared" si="25"/>
        <v>0</v>
      </c>
      <c r="R849" s="85"/>
      <c r="S849" s="624"/>
      <c r="T849" s="260"/>
      <c r="U849" s="624"/>
      <c r="V849" s="85"/>
      <c r="W849" s="624"/>
      <c r="X849" s="81"/>
      <c r="Y849" s="80"/>
      <c r="Z849" s="737">
        <f ca="1">MAX(0%,IF(Q849&lt;&gt;0,MIN((S849-Q849)/Q849/'Underwriting Risk'!$E$27,'Premium and Reserve Risk'!$Z$761),'Premium and Reserve Risk'!$Z$761))</f>
        <v>6.4000000000000001E-2</v>
      </c>
      <c r="AA849" s="80"/>
      <c r="AB849" s="80"/>
      <c r="AC849" s="737">
        <f ca="1">MAX(0%,IF(U849&lt;&gt;0,MIN((W849-U849)/U849/'Underwriting Risk'!$E$27,'Premium and Reserve Risk'!$AC$761),'Premium and Reserve Risk'!$AC$761))</f>
        <v>0.22</v>
      </c>
      <c r="AD849" s="81"/>
      <c r="AE849" s="97"/>
      <c r="AF849" s="97"/>
      <c r="AG849" s="97"/>
      <c r="AH849" s="97"/>
    </row>
    <row r="850" spans="1:34" ht="13.5" customHeight="1" x14ac:dyDescent="0.25">
      <c r="A850" s="97"/>
      <c r="B850" s="257">
        <v>88</v>
      </c>
      <c r="C850" s="652"/>
      <c r="D850" s="80"/>
      <c r="E850" s="80"/>
      <c r="F850" s="258">
        <f t="shared" ca="1" si="27"/>
        <v>0</v>
      </c>
      <c r="G850" s="624"/>
      <c r="H850" s="85"/>
      <c r="I850" s="624"/>
      <c r="J850" s="85"/>
      <c r="K850" s="624"/>
      <c r="L850" s="85"/>
      <c r="M850" s="624"/>
      <c r="N850" s="85"/>
      <c r="O850" s="624"/>
      <c r="P850" s="85"/>
      <c r="Q850" s="626">
        <f t="shared" si="25"/>
        <v>0</v>
      </c>
      <c r="R850" s="85"/>
      <c r="S850" s="624"/>
      <c r="T850" s="260"/>
      <c r="U850" s="624"/>
      <c r="V850" s="85"/>
      <c r="W850" s="624"/>
      <c r="X850" s="81"/>
      <c r="Y850" s="80"/>
      <c r="Z850" s="737">
        <f ca="1">MAX(0%,IF(Q850&lt;&gt;0,MIN((S850-Q850)/Q850/'Underwriting Risk'!$E$27,'Premium and Reserve Risk'!$Z$761),'Premium and Reserve Risk'!$Z$761))</f>
        <v>6.4000000000000001E-2</v>
      </c>
      <c r="AA850" s="80"/>
      <c r="AB850" s="80"/>
      <c r="AC850" s="737">
        <f ca="1">MAX(0%,IF(U850&lt;&gt;0,MIN((W850-U850)/U850/'Underwriting Risk'!$E$27,'Premium and Reserve Risk'!$AC$761),'Premium and Reserve Risk'!$AC$761))</f>
        <v>0.22</v>
      </c>
      <c r="AD850" s="81"/>
      <c r="AE850" s="97"/>
      <c r="AF850" s="97"/>
      <c r="AG850" s="97"/>
      <c r="AH850" s="97"/>
    </row>
    <row r="851" spans="1:34" ht="13.5" customHeight="1" x14ac:dyDescent="0.25">
      <c r="A851" s="97"/>
      <c r="B851" s="257">
        <v>89</v>
      </c>
      <c r="C851" s="652"/>
      <c r="D851" s="80"/>
      <c r="E851" s="80"/>
      <c r="F851" s="258">
        <f t="shared" ca="1" si="27"/>
        <v>0</v>
      </c>
      <c r="G851" s="624"/>
      <c r="H851" s="85"/>
      <c r="I851" s="624"/>
      <c r="J851" s="85"/>
      <c r="K851" s="624"/>
      <c r="L851" s="85"/>
      <c r="M851" s="624"/>
      <c r="N851" s="85"/>
      <c r="O851" s="624"/>
      <c r="P851" s="85"/>
      <c r="Q851" s="626">
        <f t="shared" si="25"/>
        <v>0</v>
      </c>
      <c r="R851" s="85"/>
      <c r="S851" s="624"/>
      <c r="T851" s="260"/>
      <c r="U851" s="624"/>
      <c r="V851" s="85"/>
      <c r="W851" s="624"/>
      <c r="X851" s="81"/>
      <c r="Y851" s="80"/>
      <c r="Z851" s="737">
        <f ca="1">MAX(0%,IF(Q851&lt;&gt;0,MIN((S851-Q851)/Q851/'Underwriting Risk'!$E$27,'Premium and Reserve Risk'!$Z$761),'Premium and Reserve Risk'!$Z$761))</f>
        <v>6.4000000000000001E-2</v>
      </c>
      <c r="AA851" s="80"/>
      <c r="AB851" s="80"/>
      <c r="AC851" s="737">
        <f ca="1">MAX(0%,IF(U851&lt;&gt;0,MIN((W851-U851)/U851/'Underwriting Risk'!$E$27,'Premium and Reserve Risk'!$AC$761),'Premium and Reserve Risk'!$AC$761))</f>
        <v>0.22</v>
      </c>
      <c r="AD851" s="81"/>
      <c r="AE851" s="97"/>
      <c r="AF851" s="97"/>
      <c r="AG851" s="97"/>
      <c r="AH851" s="97"/>
    </row>
    <row r="852" spans="1:34" ht="13.5" customHeight="1" x14ac:dyDescent="0.25">
      <c r="A852" s="97"/>
      <c r="B852" s="257">
        <v>90</v>
      </c>
      <c r="C852" s="652"/>
      <c r="D852" s="80"/>
      <c r="E852" s="80"/>
      <c r="F852" s="258">
        <f t="shared" ca="1" si="27"/>
        <v>0</v>
      </c>
      <c r="G852" s="624"/>
      <c r="H852" s="85"/>
      <c r="I852" s="624"/>
      <c r="J852" s="85"/>
      <c r="K852" s="624"/>
      <c r="L852" s="85"/>
      <c r="M852" s="624"/>
      <c r="N852" s="85"/>
      <c r="O852" s="624"/>
      <c r="P852" s="85"/>
      <c r="Q852" s="626">
        <f t="shared" si="25"/>
        <v>0</v>
      </c>
      <c r="R852" s="85"/>
      <c r="S852" s="624"/>
      <c r="T852" s="260"/>
      <c r="U852" s="624"/>
      <c r="V852" s="85"/>
      <c r="W852" s="624"/>
      <c r="X852" s="81"/>
      <c r="Y852" s="80"/>
      <c r="Z852" s="737">
        <f ca="1">MAX(0%,IF(Q852&lt;&gt;0,MIN((S852-Q852)/Q852/'Underwriting Risk'!$E$27,'Premium and Reserve Risk'!$Z$761),'Premium and Reserve Risk'!$Z$761))</f>
        <v>6.4000000000000001E-2</v>
      </c>
      <c r="AA852" s="80"/>
      <c r="AB852" s="80"/>
      <c r="AC852" s="737">
        <f ca="1">MAX(0%,IF(U852&lt;&gt;0,MIN((W852-U852)/U852/'Underwriting Risk'!$E$27,'Premium and Reserve Risk'!$AC$761),'Premium and Reserve Risk'!$AC$761))</f>
        <v>0.22</v>
      </c>
      <c r="AD852" s="81"/>
      <c r="AE852" s="97"/>
      <c r="AF852" s="97"/>
      <c r="AG852" s="97"/>
      <c r="AH852" s="97"/>
    </row>
    <row r="853" spans="1:34" ht="13.5" customHeight="1" x14ac:dyDescent="0.25">
      <c r="A853" s="97"/>
      <c r="B853" s="257">
        <v>91</v>
      </c>
      <c r="C853" s="652"/>
      <c r="D853" s="80"/>
      <c r="E853" s="80"/>
      <c r="F853" s="258">
        <f t="shared" ca="1" si="27"/>
        <v>0</v>
      </c>
      <c r="G853" s="624"/>
      <c r="H853" s="85"/>
      <c r="I853" s="624"/>
      <c r="J853" s="85"/>
      <c r="K853" s="624"/>
      <c r="L853" s="85"/>
      <c r="M853" s="624"/>
      <c r="N853" s="85"/>
      <c r="O853" s="624"/>
      <c r="P853" s="85"/>
      <c r="Q853" s="626">
        <f t="shared" si="25"/>
        <v>0</v>
      </c>
      <c r="R853" s="85"/>
      <c r="S853" s="624"/>
      <c r="T853" s="260"/>
      <c r="U853" s="624"/>
      <c r="V853" s="85"/>
      <c r="W853" s="624"/>
      <c r="X853" s="81"/>
      <c r="Y853" s="80"/>
      <c r="Z853" s="737">
        <f ca="1">MAX(0%,IF(Q853&lt;&gt;0,MIN((S853-Q853)/Q853/'Underwriting Risk'!$E$27,'Premium and Reserve Risk'!$Z$761),'Premium and Reserve Risk'!$Z$761))</f>
        <v>6.4000000000000001E-2</v>
      </c>
      <c r="AA853" s="80"/>
      <c r="AB853" s="80"/>
      <c r="AC853" s="737">
        <f ca="1">MAX(0%,IF(U853&lt;&gt;0,MIN((W853-U853)/U853/'Underwriting Risk'!$E$27,'Premium and Reserve Risk'!$AC$761),'Premium and Reserve Risk'!$AC$761))</f>
        <v>0.22</v>
      </c>
      <c r="AD853" s="81"/>
      <c r="AE853" s="97"/>
      <c r="AF853" s="97"/>
      <c r="AG853" s="97"/>
      <c r="AH853" s="97"/>
    </row>
    <row r="854" spans="1:34" ht="13.5" customHeight="1" x14ac:dyDescent="0.25">
      <c r="A854" s="97"/>
      <c r="B854" s="257">
        <v>92</v>
      </c>
      <c r="C854" s="652"/>
      <c r="D854" s="80"/>
      <c r="E854" s="80"/>
      <c r="F854" s="258">
        <f t="shared" ca="1" si="27"/>
        <v>0</v>
      </c>
      <c r="G854" s="624"/>
      <c r="H854" s="85"/>
      <c r="I854" s="624"/>
      <c r="J854" s="85"/>
      <c r="K854" s="624"/>
      <c r="L854" s="85"/>
      <c r="M854" s="624"/>
      <c r="N854" s="85"/>
      <c r="O854" s="624"/>
      <c r="P854" s="85"/>
      <c r="Q854" s="626">
        <f t="shared" si="25"/>
        <v>0</v>
      </c>
      <c r="R854" s="85"/>
      <c r="S854" s="624"/>
      <c r="T854" s="260"/>
      <c r="U854" s="624"/>
      <c r="V854" s="85"/>
      <c r="W854" s="624"/>
      <c r="X854" s="81"/>
      <c r="Y854" s="80"/>
      <c r="Z854" s="737">
        <f ca="1">MAX(0%,IF(Q854&lt;&gt;0,MIN((S854-Q854)/Q854/'Underwriting Risk'!$E$27,'Premium and Reserve Risk'!$Z$761),'Premium and Reserve Risk'!$Z$761))</f>
        <v>6.4000000000000001E-2</v>
      </c>
      <c r="AA854" s="80"/>
      <c r="AB854" s="80"/>
      <c r="AC854" s="737">
        <f ca="1">MAX(0%,IF(U854&lt;&gt;0,MIN((W854-U854)/U854/'Underwriting Risk'!$E$27,'Premium and Reserve Risk'!$AC$761),'Premium and Reserve Risk'!$AC$761))</f>
        <v>0.22</v>
      </c>
      <c r="AD854" s="81"/>
      <c r="AE854" s="97"/>
      <c r="AF854" s="97"/>
      <c r="AG854" s="97"/>
      <c r="AH854" s="97"/>
    </row>
    <row r="855" spans="1:34" ht="13.5" customHeight="1" x14ac:dyDescent="0.25">
      <c r="A855" s="97"/>
      <c r="B855" s="257">
        <v>93</v>
      </c>
      <c r="C855" s="652"/>
      <c r="D855" s="80"/>
      <c r="E855" s="80"/>
      <c r="F855" s="258">
        <f t="shared" ca="1" si="27"/>
        <v>0</v>
      </c>
      <c r="G855" s="624"/>
      <c r="H855" s="85"/>
      <c r="I855" s="624"/>
      <c r="J855" s="85"/>
      <c r="K855" s="624"/>
      <c r="L855" s="85"/>
      <c r="M855" s="624"/>
      <c r="N855" s="85"/>
      <c r="O855" s="624"/>
      <c r="P855" s="85"/>
      <c r="Q855" s="626">
        <f t="shared" si="25"/>
        <v>0</v>
      </c>
      <c r="R855" s="85"/>
      <c r="S855" s="624"/>
      <c r="T855" s="260"/>
      <c r="U855" s="624"/>
      <c r="V855" s="85"/>
      <c r="W855" s="624"/>
      <c r="X855" s="81"/>
      <c r="Y855" s="80"/>
      <c r="Z855" s="737">
        <f ca="1">MAX(0%,IF(Q855&lt;&gt;0,MIN((S855-Q855)/Q855/'Underwriting Risk'!$E$27,'Premium and Reserve Risk'!$Z$761),'Premium and Reserve Risk'!$Z$761))</f>
        <v>6.4000000000000001E-2</v>
      </c>
      <c r="AA855" s="80"/>
      <c r="AB855" s="80"/>
      <c r="AC855" s="737">
        <f ca="1">MAX(0%,IF(U855&lt;&gt;0,MIN((W855-U855)/U855/'Underwriting Risk'!$E$27,'Premium and Reserve Risk'!$AC$761),'Premium and Reserve Risk'!$AC$761))</f>
        <v>0.22</v>
      </c>
      <c r="AD855" s="81"/>
      <c r="AE855" s="97"/>
      <c r="AF855" s="97"/>
      <c r="AG855" s="97"/>
      <c r="AH855" s="97"/>
    </row>
    <row r="856" spans="1:34" ht="13.5" customHeight="1" x14ac:dyDescent="0.25">
      <c r="A856" s="97"/>
      <c r="B856" s="257">
        <v>94</v>
      </c>
      <c r="C856" s="652"/>
      <c r="D856" s="80"/>
      <c r="E856" s="80"/>
      <c r="F856" s="258">
        <f t="shared" ca="1" si="27"/>
        <v>0</v>
      </c>
      <c r="G856" s="624"/>
      <c r="H856" s="85"/>
      <c r="I856" s="624"/>
      <c r="J856" s="85"/>
      <c r="K856" s="624"/>
      <c r="L856" s="85"/>
      <c r="M856" s="624"/>
      <c r="N856" s="85"/>
      <c r="O856" s="624"/>
      <c r="P856" s="85"/>
      <c r="Q856" s="626">
        <f t="shared" si="25"/>
        <v>0</v>
      </c>
      <c r="R856" s="85"/>
      <c r="S856" s="624"/>
      <c r="T856" s="260"/>
      <c r="U856" s="624"/>
      <c r="V856" s="85"/>
      <c r="W856" s="624"/>
      <c r="X856" s="81"/>
      <c r="Y856" s="80"/>
      <c r="Z856" s="737">
        <f ca="1">MAX(0%,IF(Q856&lt;&gt;0,MIN((S856-Q856)/Q856/'Underwriting Risk'!$E$27,'Premium and Reserve Risk'!$Z$761),'Premium and Reserve Risk'!$Z$761))</f>
        <v>6.4000000000000001E-2</v>
      </c>
      <c r="AA856" s="80"/>
      <c r="AB856" s="80"/>
      <c r="AC856" s="737">
        <f ca="1">MAX(0%,IF(U856&lt;&gt;0,MIN((W856-U856)/U856/'Underwriting Risk'!$E$27,'Premium and Reserve Risk'!$AC$761),'Premium and Reserve Risk'!$AC$761))</f>
        <v>0.22</v>
      </c>
      <c r="AD856" s="81"/>
      <c r="AE856" s="97"/>
      <c r="AF856" s="97"/>
      <c r="AG856" s="97"/>
      <c r="AH856" s="97"/>
    </row>
    <row r="857" spans="1:34" ht="13.5" customHeight="1" x14ac:dyDescent="0.25">
      <c r="A857" s="97"/>
      <c r="B857" s="257">
        <v>95</v>
      </c>
      <c r="C857" s="652"/>
      <c r="D857" s="80"/>
      <c r="E857" s="80"/>
      <c r="F857" s="258">
        <f t="shared" ca="1" si="27"/>
        <v>0</v>
      </c>
      <c r="G857" s="624"/>
      <c r="H857" s="85"/>
      <c r="I857" s="624"/>
      <c r="J857" s="85"/>
      <c r="K857" s="624"/>
      <c r="L857" s="85"/>
      <c r="M857" s="624"/>
      <c r="N857" s="85"/>
      <c r="O857" s="624"/>
      <c r="P857" s="85"/>
      <c r="Q857" s="626">
        <f t="shared" si="25"/>
        <v>0</v>
      </c>
      <c r="R857" s="85"/>
      <c r="S857" s="624"/>
      <c r="T857" s="260"/>
      <c r="U857" s="624"/>
      <c r="V857" s="85"/>
      <c r="W857" s="624"/>
      <c r="X857" s="81"/>
      <c r="Y857" s="80"/>
      <c r="Z857" s="737">
        <f ca="1">MAX(0%,IF(Q857&lt;&gt;0,MIN((S857-Q857)/Q857/'Underwriting Risk'!$E$27,'Premium and Reserve Risk'!$Z$761),'Premium and Reserve Risk'!$Z$761))</f>
        <v>6.4000000000000001E-2</v>
      </c>
      <c r="AA857" s="80"/>
      <c r="AB857" s="80"/>
      <c r="AC857" s="737">
        <f ca="1">MAX(0%,IF(U857&lt;&gt;0,MIN((W857-U857)/U857/'Underwriting Risk'!$E$27,'Premium and Reserve Risk'!$AC$761),'Premium and Reserve Risk'!$AC$761))</f>
        <v>0.22</v>
      </c>
      <c r="AD857" s="81"/>
      <c r="AE857" s="97"/>
      <c r="AF857" s="97"/>
      <c r="AG857" s="97"/>
      <c r="AH857" s="97"/>
    </row>
    <row r="858" spans="1:34" ht="13.5" customHeight="1" x14ac:dyDescent="0.25">
      <c r="A858" s="97"/>
      <c r="B858" s="257">
        <v>96</v>
      </c>
      <c r="C858" s="652"/>
      <c r="D858" s="80"/>
      <c r="E858" s="80"/>
      <c r="F858" s="258">
        <f t="shared" ca="1" si="27"/>
        <v>0</v>
      </c>
      <c r="G858" s="624"/>
      <c r="H858" s="85"/>
      <c r="I858" s="624"/>
      <c r="J858" s="85"/>
      <c r="K858" s="624"/>
      <c r="L858" s="85"/>
      <c r="M858" s="624"/>
      <c r="N858" s="85"/>
      <c r="O858" s="624"/>
      <c r="P858" s="85"/>
      <c r="Q858" s="626">
        <f t="shared" si="25"/>
        <v>0</v>
      </c>
      <c r="R858" s="85"/>
      <c r="S858" s="624"/>
      <c r="T858" s="260"/>
      <c r="U858" s="624"/>
      <c r="V858" s="85"/>
      <c r="W858" s="624"/>
      <c r="X858" s="81"/>
      <c r="Y858" s="80"/>
      <c r="Z858" s="737">
        <f ca="1">MAX(0%,IF(Q858&lt;&gt;0,MIN((S858-Q858)/Q858/'Underwriting Risk'!$E$27,'Premium and Reserve Risk'!$Z$761),'Premium and Reserve Risk'!$Z$761))</f>
        <v>6.4000000000000001E-2</v>
      </c>
      <c r="AA858" s="80"/>
      <c r="AB858" s="80"/>
      <c r="AC858" s="737">
        <f ca="1">MAX(0%,IF(U858&lt;&gt;0,MIN((W858-U858)/U858/'Underwriting Risk'!$E$27,'Premium and Reserve Risk'!$AC$761),'Premium and Reserve Risk'!$AC$761))</f>
        <v>0.22</v>
      </c>
      <c r="AD858" s="81"/>
      <c r="AE858" s="97"/>
      <c r="AF858" s="97"/>
      <c r="AG858" s="97"/>
      <c r="AH858" s="97"/>
    </row>
    <row r="859" spans="1:34" ht="13.5" customHeight="1" x14ac:dyDescent="0.25">
      <c r="A859" s="97"/>
      <c r="B859" s="257">
        <v>97</v>
      </c>
      <c r="C859" s="652"/>
      <c r="D859" s="80"/>
      <c r="E859" s="80"/>
      <c r="F859" s="258">
        <f t="shared" ca="1" si="27"/>
        <v>0</v>
      </c>
      <c r="G859" s="624"/>
      <c r="H859" s="85"/>
      <c r="I859" s="624"/>
      <c r="J859" s="85"/>
      <c r="K859" s="624"/>
      <c r="L859" s="85"/>
      <c r="M859" s="624"/>
      <c r="N859" s="85"/>
      <c r="O859" s="624"/>
      <c r="P859" s="85"/>
      <c r="Q859" s="626">
        <f t="shared" si="25"/>
        <v>0</v>
      </c>
      <c r="R859" s="85"/>
      <c r="S859" s="624"/>
      <c r="T859" s="260"/>
      <c r="U859" s="624"/>
      <c r="V859" s="85"/>
      <c r="W859" s="624"/>
      <c r="X859" s="81"/>
      <c r="Y859" s="80"/>
      <c r="Z859" s="737">
        <f ca="1">MAX(0%,IF(Q859&lt;&gt;0,MIN((S859-Q859)/Q859/'Underwriting Risk'!$E$27,'Premium and Reserve Risk'!$Z$761),'Premium and Reserve Risk'!$Z$761))</f>
        <v>6.4000000000000001E-2</v>
      </c>
      <c r="AA859" s="80"/>
      <c r="AB859" s="80"/>
      <c r="AC859" s="737">
        <f ca="1">MAX(0%,IF(U859&lt;&gt;0,MIN((W859-U859)/U859/'Underwriting Risk'!$E$27,'Premium and Reserve Risk'!$AC$761),'Premium and Reserve Risk'!$AC$761))</f>
        <v>0.22</v>
      </c>
      <c r="AD859" s="81"/>
      <c r="AE859" s="97"/>
      <c r="AF859" s="97"/>
      <c r="AG859" s="97"/>
      <c r="AH859" s="97"/>
    </row>
    <row r="860" spans="1:34" ht="13.5" customHeight="1" x14ac:dyDescent="0.25">
      <c r="A860" s="97"/>
      <c r="B860" s="257">
        <v>98</v>
      </c>
      <c r="C860" s="652"/>
      <c r="D860" s="80"/>
      <c r="E860" s="80"/>
      <c r="F860" s="258">
        <f t="shared" ca="1" si="27"/>
        <v>0</v>
      </c>
      <c r="G860" s="624"/>
      <c r="H860" s="85"/>
      <c r="I860" s="624"/>
      <c r="J860" s="85"/>
      <c r="K860" s="624"/>
      <c r="L860" s="85"/>
      <c r="M860" s="624"/>
      <c r="N860" s="85"/>
      <c r="O860" s="624"/>
      <c r="P860" s="85"/>
      <c r="Q860" s="626">
        <f t="shared" si="25"/>
        <v>0</v>
      </c>
      <c r="R860" s="85"/>
      <c r="S860" s="624"/>
      <c r="T860" s="260"/>
      <c r="U860" s="624"/>
      <c r="V860" s="85"/>
      <c r="W860" s="624"/>
      <c r="X860" s="81"/>
      <c r="Y860" s="80"/>
      <c r="Z860" s="737">
        <f ca="1">MAX(0%,IF(Q860&lt;&gt;0,MIN((S860-Q860)/Q860/'Underwriting Risk'!$E$27,'Premium and Reserve Risk'!$Z$761),'Premium and Reserve Risk'!$Z$761))</f>
        <v>6.4000000000000001E-2</v>
      </c>
      <c r="AA860" s="80"/>
      <c r="AB860" s="80"/>
      <c r="AC860" s="737">
        <f ca="1">MAX(0%,IF(U860&lt;&gt;0,MIN((W860-U860)/U860/'Underwriting Risk'!$E$27,'Premium and Reserve Risk'!$AC$761),'Premium and Reserve Risk'!$AC$761))</f>
        <v>0.22</v>
      </c>
      <c r="AD860" s="81"/>
      <c r="AE860" s="97"/>
      <c r="AF860" s="97"/>
      <c r="AG860" s="97"/>
      <c r="AH860" s="97"/>
    </row>
    <row r="861" spans="1:34" ht="13.5" customHeight="1" x14ac:dyDescent="0.25">
      <c r="A861" s="97"/>
      <c r="B861" s="257">
        <v>99</v>
      </c>
      <c r="C861" s="652"/>
      <c r="D861" s="80"/>
      <c r="E861" s="80"/>
      <c r="F861" s="258">
        <f t="shared" ca="1" si="27"/>
        <v>0</v>
      </c>
      <c r="G861" s="624"/>
      <c r="H861" s="85"/>
      <c r="I861" s="624"/>
      <c r="J861" s="85"/>
      <c r="K861" s="624"/>
      <c r="L861" s="85"/>
      <c r="M861" s="624"/>
      <c r="N861" s="85"/>
      <c r="O861" s="624"/>
      <c r="P861" s="85"/>
      <c r="Q861" s="626">
        <f t="shared" si="25"/>
        <v>0</v>
      </c>
      <c r="R861" s="85"/>
      <c r="S861" s="624"/>
      <c r="T861" s="260"/>
      <c r="U861" s="624"/>
      <c r="V861" s="85"/>
      <c r="W861" s="624"/>
      <c r="X861" s="81"/>
      <c r="Y861" s="80"/>
      <c r="Z861" s="737">
        <f ca="1">MAX(0%,IF(Q861&lt;&gt;0,MIN((S861-Q861)/Q861/'Underwriting Risk'!$E$27,'Premium and Reserve Risk'!$Z$761),'Premium and Reserve Risk'!$Z$761))</f>
        <v>6.4000000000000001E-2</v>
      </c>
      <c r="AA861" s="80"/>
      <c r="AB861" s="80"/>
      <c r="AC861" s="737">
        <f ca="1">MAX(0%,IF(U861&lt;&gt;0,MIN((W861-U861)/U861/'Underwriting Risk'!$E$27,'Premium and Reserve Risk'!$AC$761),'Premium and Reserve Risk'!$AC$761))</f>
        <v>0.22</v>
      </c>
      <c r="AD861" s="81"/>
      <c r="AE861" s="97"/>
      <c r="AF861" s="97"/>
      <c r="AG861" s="97"/>
      <c r="AH861" s="97"/>
    </row>
    <row r="862" spans="1:34" ht="13.5" customHeight="1" x14ac:dyDescent="0.25">
      <c r="A862" s="97"/>
      <c r="B862" s="257">
        <v>100</v>
      </c>
      <c r="C862" s="652"/>
      <c r="D862" s="80"/>
      <c r="E862" s="80"/>
      <c r="F862" s="258">
        <f t="shared" ca="1" si="27"/>
        <v>0</v>
      </c>
      <c r="G862" s="624"/>
      <c r="H862" s="85"/>
      <c r="I862" s="624"/>
      <c r="J862" s="85"/>
      <c r="K862" s="624"/>
      <c r="L862" s="85"/>
      <c r="M862" s="624"/>
      <c r="N862" s="85"/>
      <c r="O862" s="624"/>
      <c r="P862" s="85"/>
      <c r="Q862" s="626">
        <f t="shared" si="25"/>
        <v>0</v>
      </c>
      <c r="R862" s="85"/>
      <c r="S862" s="624"/>
      <c r="T862" s="260"/>
      <c r="U862" s="624"/>
      <c r="V862" s="85"/>
      <c r="W862" s="624"/>
      <c r="X862" s="81"/>
      <c r="Y862" s="80"/>
      <c r="Z862" s="737">
        <f ca="1">MAX(0%,IF(Q862&lt;&gt;0,MIN((S862-Q862)/Q862/'Underwriting Risk'!$E$27,'Premium and Reserve Risk'!$Z$761),'Premium and Reserve Risk'!$Z$761))</f>
        <v>6.4000000000000001E-2</v>
      </c>
      <c r="AA862" s="80"/>
      <c r="AB862" s="80"/>
      <c r="AC862" s="737">
        <f ca="1">MAX(0%,IF(U862&lt;&gt;0,MIN((W862-U862)/U862/'Underwriting Risk'!$E$27,'Premium and Reserve Risk'!$AC$761),'Premium and Reserve Risk'!$AC$761))</f>
        <v>0.22</v>
      </c>
      <c r="AD862" s="81"/>
      <c r="AE862" s="97"/>
      <c r="AF862" s="97"/>
      <c r="AG862" s="97"/>
      <c r="AH862" s="97"/>
    </row>
    <row r="863" spans="1:34" ht="6" customHeight="1" thickBot="1" x14ac:dyDescent="0.3">
      <c r="A863" s="97"/>
      <c r="B863" s="110"/>
      <c r="C863" s="93"/>
      <c r="D863" s="93"/>
      <c r="E863" s="93"/>
      <c r="F863" s="261">
        <f ca="1">IF(OFFSET($Z$8,B760-1,0)=0,1,0)</f>
        <v>0</v>
      </c>
      <c r="G863" s="134"/>
      <c r="H863" s="134"/>
      <c r="I863" s="134"/>
      <c r="J863" s="134"/>
      <c r="K863" s="134"/>
      <c r="L863" s="134"/>
      <c r="M863" s="134"/>
      <c r="N863" s="134"/>
      <c r="O863" s="134"/>
      <c r="P863" s="134"/>
      <c r="Q863" s="134"/>
      <c r="R863" s="134"/>
      <c r="S863" s="134"/>
      <c r="T863" s="134"/>
      <c r="U863" s="134"/>
      <c r="V863" s="134"/>
      <c r="W863" s="134"/>
      <c r="X863" s="94"/>
      <c r="Y863" s="93"/>
      <c r="Z863" s="93"/>
      <c r="AA863" s="93"/>
      <c r="AB863" s="93"/>
      <c r="AC863" s="93"/>
      <c r="AD863" s="94"/>
      <c r="AE863" s="97"/>
      <c r="AF863" s="97"/>
      <c r="AG863" s="97"/>
      <c r="AH863" s="97"/>
    </row>
    <row r="864" spans="1:34" ht="16.5" thickBot="1" x14ac:dyDescent="0.3">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row>
    <row r="865" spans="1:34" ht="31.5" x14ac:dyDescent="0.25">
      <c r="A865" s="97"/>
      <c r="B865" s="187">
        <v>9</v>
      </c>
      <c r="C865" s="187" t="str">
        <f ca="1">RIGHT(OFFSET($B$8,B865-1,0),LEN(OFFSET($B$8,B865-1,0))-5)</f>
        <v xml:space="preserve"> Miscellaneous Financial Loss &amp; 21 Prop. Reins.</v>
      </c>
      <c r="D865" s="68"/>
      <c r="E865" s="68"/>
      <c r="F865" s="68"/>
      <c r="G865" s="68"/>
      <c r="H865" s="68"/>
      <c r="I865" s="68"/>
      <c r="J865" s="68"/>
      <c r="K865" s="68"/>
      <c r="L865" s="68"/>
      <c r="M865" s="68"/>
      <c r="N865" s="68"/>
      <c r="O865" s="68"/>
      <c r="P865" s="68"/>
      <c r="Q865" s="68"/>
      <c r="R865" s="68"/>
      <c r="S865" s="68"/>
      <c r="T865" s="68"/>
      <c r="U865" s="68"/>
      <c r="V865" s="68"/>
      <c r="W865" s="68"/>
      <c r="X865" s="251"/>
      <c r="Y865" s="68"/>
      <c r="Z865" s="250" t="s">
        <v>458</v>
      </c>
      <c r="AA865" s="736"/>
      <c r="AB865" s="736"/>
      <c r="AC865" s="250" t="s">
        <v>459</v>
      </c>
      <c r="AD865" s="251"/>
      <c r="AE865" s="97"/>
      <c r="AF865" s="97"/>
      <c r="AG865" s="97"/>
      <c r="AH865" s="97"/>
    </row>
    <row r="866" spans="1:34" ht="129.75" thickBot="1" x14ac:dyDescent="0.3">
      <c r="A866" s="97"/>
      <c r="B866" s="252"/>
      <c r="C866" s="253" t="s">
        <v>460</v>
      </c>
      <c r="D866" s="237"/>
      <c r="E866" s="237"/>
      <c r="F866" s="254">
        <f ca="1">IF(OFFSET($Z$8,B865-1,0)=0,1,0)</f>
        <v>0</v>
      </c>
      <c r="G866" s="792" t="s">
        <v>1130</v>
      </c>
      <c r="H866" s="793"/>
      <c r="I866" s="791" t="s">
        <v>438</v>
      </c>
      <c r="J866" s="791"/>
      <c r="K866" s="791" t="s">
        <v>439</v>
      </c>
      <c r="L866" s="791"/>
      <c r="M866" s="791" t="s">
        <v>1131</v>
      </c>
      <c r="N866" s="791"/>
      <c r="O866" s="791" t="s">
        <v>1132</v>
      </c>
      <c r="P866" s="363"/>
      <c r="Q866" s="237" t="s">
        <v>440</v>
      </c>
      <c r="R866" s="237"/>
      <c r="S866" s="237" t="s">
        <v>461</v>
      </c>
      <c r="T866" s="237"/>
      <c r="U866" s="237" t="s">
        <v>463</v>
      </c>
      <c r="V866" s="237"/>
      <c r="W866" s="237" t="s">
        <v>464</v>
      </c>
      <c r="X866" s="238"/>
      <c r="Y866" s="237"/>
      <c r="Z866" s="255">
        <f ca="1">OFFSET('Underwriting Risk'!$K$55,'Premium and Reserve Risk'!B865-1,0)</f>
        <v>0.13</v>
      </c>
      <c r="AA866" s="237"/>
      <c r="AB866" s="237"/>
      <c r="AC866" s="255">
        <f ca="1">OFFSET('Underwriting Risk'!$M$55,'Premium and Reserve Risk'!B865-1,0)</f>
        <v>0.2</v>
      </c>
      <c r="AD866" s="238"/>
      <c r="AE866" s="97"/>
      <c r="AF866" s="97"/>
      <c r="AG866" s="97"/>
      <c r="AH866" s="97"/>
    </row>
    <row r="867" spans="1:34" ht="6" customHeight="1" x14ac:dyDescent="0.25">
      <c r="A867" s="97"/>
      <c r="B867" s="106"/>
      <c r="C867" s="80"/>
      <c r="D867" s="80"/>
      <c r="E867" s="80"/>
      <c r="F867" s="256">
        <f ca="1">IF(OFFSET($Z$8,B865-1,0)=0,1,0)</f>
        <v>0</v>
      </c>
      <c r="G867" s="85"/>
      <c r="H867" s="85"/>
      <c r="I867" s="85"/>
      <c r="J867" s="85"/>
      <c r="K867" s="85"/>
      <c r="L867" s="85"/>
      <c r="M867" s="85"/>
      <c r="N867" s="85"/>
      <c r="O867" s="85"/>
      <c r="P867" s="85"/>
      <c r="Q867" s="85"/>
      <c r="R867" s="85"/>
      <c r="S867" s="85"/>
      <c r="T867" s="85"/>
      <c r="U867" s="85"/>
      <c r="V867" s="85"/>
      <c r="W867" s="85"/>
      <c r="X867" s="81"/>
      <c r="Y867" s="80"/>
      <c r="Z867" s="80"/>
      <c r="AA867" s="80"/>
      <c r="AB867" s="80"/>
      <c r="AC867" s="80"/>
      <c r="AD867" s="81"/>
      <c r="AE867" s="97"/>
      <c r="AF867" s="97"/>
      <c r="AG867" s="97"/>
      <c r="AH867" s="97"/>
    </row>
    <row r="868" spans="1:34" ht="13.5" customHeight="1" x14ac:dyDescent="0.25">
      <c r="A868" s="97"/>
      <c r="B868" s="257">
        <v>1</v>
      </c>
      <c r="C868" s="652"/>
      <c r="D868" s="80"/>
      <c r="E868" s="80"/>
      <c r="F868" s="258">
        <f ca="1">IF(B868&lt;=OFFSET($Z$8,B$865-1,0),0,1)</f>
        <v>0</v>
      </c>
      <c r="G868" s="624"/>
      <c r="H868" s="85"/>
      <c r="I868" s="624"/>
      <c r="J868" s="85"/>
      <c r="K868" s="624"/>
      <c r="L868" s="85"/>
      <c r="M868" s="624"/>
      <c r="N868" s="85"/>
      <c r="O868" s="624"/>
      <c r="P868" s="85"/>
      <c r="Q868" s="626">
        <f t="shared" ref="Q868:Q967" si="28">MAX(G868,I868)+K868+M868+0.3*O868</f>
        <v>0</v>
      </c>
      <c r="R868" s="85"/>
      <c r="S868" s="624"/>
      <c r="T868" s="260"/>
      <c r="U868" s="624"/>
      <c r="V868" s="85"/>
      <c r="W868" s="624"/>
      <c r="X868" s="81"/>
      <c r="Y868" s="80"/>
      <c r="Z868" s="737">
        <f ca="1">MAX(0%,IF(Q868&lt;&gt;0,MIN((S868-Q868)/Q868/'Underwriting Risk'!$E$27,'Premium and Reserve Risk'!$Z$866),'Premium and Reserve Risk'!$Z$866))</f>
        <v>0.13</v>
      </c>
      <c r="AA868" s="80"/>
      <c r="AB868" s="80"/>
      <c r="AC868" s="737">
        <f ca="1">MAX(0%,IF(U868&lt;&gt;0,MIN((W868-U868)/U868/'Underwriting Risk'!$E$27,'Premium and Reserve Risk'!$AC$866),'Premium and Reserve Risk'!$AC$866))</f>
        <v>0.2</v>
      </c>
      <c r="AD868" s="81"/>
      <c r="AE868" s="97"/>
      <c r="AF868" s="97"/>
      <c r="AG868" s="97"/>
      <c r="AH868" s="97"/>
    </row>
    <row r="869" spans="1:34" ht="13.5" customHeight="1" x14ac:dyDescent="0.25">
      <c r="A869" s="97"/>
      <c r="B869" s="257">
        <v>2</v>
      </c>
      <c r="C869" s="652"/>
      <c r="D869" s="80"/>
      <c r="E869" s="80"/>
      <c r="F869" s="258">
        <f t="shared" ref="F869:F932" ca="1" si="29">IF(B869&lt;=OFFSET($Z$8,B$865-1,0),0,1)</f>
        <v>0</v>
      </c>
      <c r="G869" s="624"/>
      <c r="H869" s="85"/>
      <c r="I869" s="624"/>
      <c r="J869" s="85"/>
      <c r="K869" s="624"/>
      <c r="L869" s="85"/>
      <c r="M869" s="624"/>
      <c r="N869" s="85"/>
      <c r="O869" s="624"/>
      <c r="P869" s="85"/>
      <c r="Q869" s="626">
        <f t="shared" si="28"/>
        <v>0</v>
      </c>
      <c r="R869" s="85"/>
      <c r="S869" s="624"/>
      <c r="T869" s="260"/>
      <c r="U869" s="624"/>
      <c r="V869" s="85"/>
      <c r="W869" s="624"/>
      <c r="X869" s="81"/>
      <c r="Y869" s="80"/>
      <c r="Z869" s="737">
        <f ca="1">MAX(0%,IF(Q869&lt;&gt;0,MIN((S869-Q869)/Q869/'Underwriting Risk'!$E$27,'Premium and Reserve Risk'!$Z$866),'Premium and Reserve Risk'!$Z$866))</f>
        <v>0.13</v>
      </c>
      <c r="AA869" s="80"/>
      <c r="AB869" s="80"/>
      <c r="AC869" s="737">
        <f ca="1">MAX(0%,IF(U869&lt;&gt;0,MIN((W869-U869)/U869/'Underwriting Risk'!$E$27,'Premium and Reserve Risk'!$AC$866),'Premium and Reserve Risk'!$AC$866))</f>
        <v>0.2</v>
      </c>
      <c r="AD869" s="81"/>
      <c r="AE869" s="97"/>
      <c r="AF869" s="97"/>
      <c r="AG869" s="97"/>
      <c r="AH869" s="97"/>
    </row>
    <row r="870" spans="1:34" ht="13.5" customHeight="1" x14ac:dyDescent="0.25">
      <c r="A870" s="97"/>
      <c r="B870" s="257">
        <v>3</v>
      </c>
      <c r="C870" s="652"/>
      <c r="D870" s="80"/>
      <c r="E870" s="80"/>
      <c r="F870" s="258">
        <f t="shared" ca="1" si="29"/>
        <v>0</v>
      </c>
      <c r="G870" s="624"/>
      <c r="H870" s="85"/>
      <c r="I870" s="624"/>
      <c r="J870" s="85"/>
      <c r="K870" s="624"/>
      <c r="L870" s="85"/>
      <c r="M870" s="624"/>
      <c r="N870" s="85"/>
      <c r="O870" s="624"/>
      <c r="P870" s="85"/>
      <c r="Q870" s="626">
        <f t="shared" si="28"/>
        <v>0</v>
      </c>
      <c r="R870" s="85"/>
      <c r="S870" s="624"/>
      <c r="T870" s="260"/>
      <c r="U870" s="624"/>
      <c r="V870" s="85"/>
      <c r="W870" s="624"/>
      <c r="X870" s="81"/>
      <c r="Y870" s="80"/>
      <c r="Z870" s="737">
        <f ca="1">MAX(0%,IF(Q870&lt;&gt;0,MIN((S870-Q870)/Q870/'Underwriting Risk'!$E$27,'Premium and Reserve Risk'!$Z$866),'Premium and Reserve Risk'!$Z$866))</f>
        <v>0.13</v>
      </c>
      <c r="AA870" s="80"/>
      <c r="AB870" s="80"/>
      <c r="AC870" s="737">
        <f ca="1">MAX(0%,IF(U870&lt;&gt;0,MIN((W870-U870)/U870/'Underwriting Risk'!$E$27,'Premium and Reserve Risk'!$AC$866),'Premium and Reserve Risk'!$AC$866))</f>
        <v>0.2</v>
      </c>
      <c r="AD870" s="81"/>
      <c r="AE870" s="97"/>
      <c r="AF870" s="97"/>
      <c r="AG870" s="97"/>
      <c r="AH870" s="97"/>
    </row>
    <row r="871" spans="1:34" ht="13.5" customHeight="1" x14ac:dyDescent="0.25">
      <c r="A871" s="97"/>
      <c r="B871" s="257">
        <v>4</v>
      </c>
      <c r="C871" s="652"/>
      <c r="D871" s="80"/>
      <c r="E871" s="80"/>
      <c r="F871" s="258">
        <f t="shared" ca="1" si="29"/>
        <v>0</v>
      </c>
      <c r="G871" s="624"/>
      <c r="H871" s="85"/>
      <c r="I871" s="624"/>
      <c r="J871" s="85"/>
      <c r="K871" s="624"/>
      <c r="L871" s="85"/>
      <c r="M871" s="624"/>
      <c r="N871" s="85"/>
      <c r="O871" s="624"/>
      <c r="P871" s="85"/>
      <c r="Q871" s="626">
        <f t="shared" si="28"/>
        <v>0</v>
      </c>
      <c r="R871" s="85"/>
      <c r="S871" s="624"/>
      <c r="T871" s="260"/>
      <c r="U871" s="624"/>
      <c r="V871" s="85"/>
      <c r="W871" s="624"/>
      <c r="X871" s="81"/>
      <c r="Y871" s="80"/>
      <c r="Z871" s="737">
        <f ca="1">MAX(0%,IF(Q871&lt;&gt;0,MIN((S871-Q871)/Q871/'Underwriting Risk'!$E$27,'Premium and Reserve Risk'!$Z$866),'Premium and Reserve Risk'!$Z$866))</f>
        <v>0.13</v>
      </c>
      <c r="AA871" s="80"/>
      <c r="AB871" s="80"/>
      <c r="AC871" s="737">
        <f ca="1">MAX(0%,IF(U871&lt;&gt;0,MIN((W871-U871)/U871/'Underwriting Risk'!$E$27,'Premium and Reserve Risk'!$AC$866),'Premium and Reserve Risk'!$AC$866))</f>
        <v>0.2</v>
      </c>
      <c r="AD871" s="81"/>
      <c r="AE871" s="97"/>
      <c r="AF871" s="97"/>
      <c r="AG871" s="97"/>
      <c r="AH871" s="97"/>
    </row>
    <row r="872" spans="1:34" ht="13.5" customHeight="1" x14ac:dyDescent="0.25">
      <c r="A872" s="97"/>
      <c r="B872" s="257">
        <v>5</v>
      </c>
      <c r="C872" s="652"/>
      <c r="D872" s="80"/>
      <c r="E872" s="80"/>
      <c r="F872" s="258">
        <f t="shared" ca="1" si="29"/>
        <v>0</v>
      </c>
      <c r="G872" s="624"/>
      <c r="H872" s="85"/>
      <c r="I872" s="624"/>
      <c r="J872" s="85"/>
      <c r="K872" s="624"/>
      <c r="L872" s="85"/>
      <c r="M872" s="624"/>
      <c r="N872" s="85"/>
      <c r="O872" s="624"/>
      <c r="P872" s="85"/>
      <c r="Q872" s="626">
        <f t="shared" si="28"/>
        <v>0</v>
      </c>
      <c r="R872" s="85"/>
      <c r="S872" s="624"/>
      <c r="T872" s="260"/>
      <c r="U872" s="624"/>
      <c r="V872" s="85"/>
      <c r="W872" s="624"/>
      <c r="X872" s="81"/>
      <c r="Y872" s="80"/>
      <c r="Z872" s="737">
        <f ca="1">MAX(0%,IF(Q872&lt;&gt;0,MIN((S872-Q872)/Q872/'Underwriting Risk'!$E$27,'Premium and Reserve Risk'!$Z$866),'Premium and Reserve Risk'!$Z$866))</f>
        <v>0.13</v>
      </c>
      <c r="AA872" s="80"/>
      <c r="AB872" s="80"/>
      <c r="AC872" s="737">
        <f ca="1">MAX(0%,IF(U872&lt;&gt;0,MIN((W872-U872)/U872/'Underwriting Risk'!$E$27,'Premium and Reserve Risk'!$AC$866),'Premium and Reserve Risk'!$AC$866))</f>
        <v>0.2</v>
      </c>
      <c r="AD872" s="81"/>
      <c r="AE872" s="97"/>
      <c r="AF872" s="97"/>
      <c r="AG872" s="97"/>
      <c r="AH872" s="97"/>
    </row>
    <row r="873" spans="1:34" ht="13.5" customHeight="1" x14ac:dyDescent="0.25">
      <c r="A873" s="97"/>
      <c r="B873" s="257">
        <v>6</v>
      </c>
      <c r="C873" s="652"/>
      <c r="D873" s="80"/>
      <c r="E873" s="80"/>
      <c r="F873" s="258">
        <f t="shared" ca="1" si="29"/>
        <v>0</v>
      </c>
      <c r="G873" s="624"/>
      <c r="H873" s="85"/>
      <c r="I873" s="624"/>
      <c r="J873" s="85"/>
      <c r="K873" s="624"/>
      <c r="L873" s="85"/>
      <c r="M873" s="624"/>
      <c r="N873" s="85"/>
      <c r="O873" s="624"/>
      <c r="P873" s="85"/>
      <c r="Q873" s="626">
        <f t="shared" si="28"/>
        <v>0</v>
      </c>
      <c r="R873" s="85"/>
      <c r="S873" s="624"/>
      <c r="T873" s="260"/>
      <c r="U873" s="624"/>
      <c r="V873" s="85"/>
      <c r="W873" s="624"/>
      <c r="X873" s="81"/>
      <c r="Y873" s="80"/>
      <c r="Z873" s="737">
        <f ca="1">MAX(0%,IF(Q873&lt;&gt;0,MIN((S873-Q873)/Q873/'Underwriting Risk'!$E$27,'Premium and Reserve Risk'!$Z$866),'Premium and Reserve Risk'!$Z$866))</f>
        <v>0.13</v>
      </c>
      <c r="AA873" s="80"/>
      <c r="AB873" s="80"/>
      <c r="AC873" s="737">
        <f ca="1">MAX(0%,IF(U873&lt;&gt;0,MIN((W873-U873)/U873/'Underwriting Risk'!$E$27,'Premium and Reserve Risk'!$AC$866),'Premium and Reserve Risk'!$AC$866))</f>
        <v>0.2</v>
      </c>
      <c r="AD873" s="81"/>
      <c r="AE873" s="97"/>
      <c r="AF873" s="97"/>
      <c r="AG873" s="97"/>
      <c r="AH873" s="97"/>
    </row>
    <row r="874" spans="1:34" ht="13.5" customHeight="1" x14ac:dyDescent="0.25">
      <c r="A874" s="97"/>
      <c r="B874" s="257">
        <v>7</v>
      </c>
      <c r="C874" s="652"/>
      <c r="D874" s="80"/>
      <c r="E874" s="80"/>
      <c r="F874" s="258">
        <f t="shared" ca="1" si="29"/>
        <v>0</v>
      </c>
      <c r="G874" s="624"/>
      <c r="H874" s="85"/>
      <c r="I874" s="624"/>
      <c r="J874" s="85"/>
      <c r="K874" s="624"/>
      <c r="L874" s="85"/>
      <c r="M874" s="624"/>
      <c r="N874" s="85"/>
      <c r="O874" s="624"/>
      <c r="P874" s="85"/>
      <c r="Q874" s="626">
        <f t="shared" si="28"/>
        <v>0</v>
      </c>
      <c r="R874" s="85"/>
      <c r="S874" s="624"/>
      <c r="T874" s="260"/>
      <c r="U874" s="624"/>
      <c r="V874" s="85"/>
      <c r="W874" s="624"/>
      <c r="X874" s="81"/>
      <c r="Y874" s="80"/>
      <c r="Z874" s="737">
        <f ca="1">MAX(0%,IF(Q874&lt;&gt;0,MIN((S874-Q874)/Q874/'Underwriting Risk'!$E$27,'Premium and Reserve Risk'!$Z$866),'Premium and Reserve Risk'!$Z$866))</f>
        <v>0.13</v>
      </c>
      <c r="AA874" s="80"/>
      <c r="AB874" s="80"/>
      <c r="AC874" s="737">
        <f ca="1">MAX(0%,IF(U874&lt;&gt;0,MIN((W874-U874)/U874/'Underwriting Risk'!$E$27,'Premium and Reserve Risk'!$AC$866),'Premium and Reserve Risk'!$AC$866))</f>
        <v>0.2</v>
      </c>
      <c r="AD874" s="81"/>
      <c r="AE874" s="97"/>
      <c r="AF874" s="97"/>
      <c r="AG874" s="97"/>
      <c r="AH874" s="97"/>
    </row>
    <row r="875" spans="1:34" ht="13.5" customHeight="1" x14ac:dyDescent="0.25">
      <c r="A875" s="97"/>
      <c r="B875" s="257">
        <v>8</v>
      </c>
      <c r="C875" s="652"/>
      <c r="D875" s="80"/>
      <c r="E875" s="80"/>
      <c r="F875" s="258">
        <f t="shared" ca="1" si="29"/>
        <v>0</v>
      </c>
      <c r="G875" s="624"/>
      <c r="H875" s="85"/>
      <c r="I875" s="624"/>
      <c r="J875" s="85"/>
      <c r="K875" s="624"/>
      <c r="L875" s="85"/>
      <c r="M875" s="624"/>
      <c r="N875" s="85"/>
      <c r="O875" s="624"/>
      <c r="P875" s="85"/>
      <c r="Q875" s="626">
        <f t="shared" si="28"/>
        <v>0</v>
      </c>
      <c r="R875" s="85"/>
      <c r="S875" s="624"/>
      <c r="T875" s="260"/>
      <c r="U875" s="624"/>
      <c r="V875" s="85"/>
      <c r="W875" s="624"/>
      <c r="X875" s="81"/>
      <c r="Y875" s="80"/>
      <c r="Z875" s="737">
        <f ca="1">MAX(0%,IF(Q875&lt;&gt;0,MIN((S875-Q875)/Q875/'Underwriting Risk'!$E$27,'Premium and Reserve Risk'!$Z$866),'Premium and Reserve Risk'!$Z$866))</f>
        <v>0.13</v>
      </c>
      <c r="AA875" s="80"/>
      <c r="AB875" s="80"/>
      <c r="AC875" s="737">
        <f ca="1">MAX(0%,IF(U875&lt;&gt;0,MIN((W875-U875)/U875/'Underwriting Risk'!$E$27,'Premium and Reserve Risk'!$AC$866),'Premium and Reserve Risk'!$AC$866))</f>
        <v>0.2</v>
      </c>
      <c r="AD875" s="81"/>
      <c r="AE875" s="97"/>
      <c r="AF875" s="97"/>
      <c r="AG875" s="97"/>
      <c r="AH875" s="97"/>
    </row>
    <row r="876" spans="1:34" ht="13.5" customHeight="1" x14ac:dyDescent="0.25">
      <c r="A876" s="97"/>
      <c r="B876" s="257">
        <v>9</v>
      </c>
      <c r="C876" s="652"/>
      <c r="D876" s="80"/>
      <c r="E876" s="80"/>
      <c r="F876" s="258">
        <f t="shared" ca="1" si="29"/>
        <v>0</v>
      </c>
      <c r="G876" s="624"/>
      <c r="H876" s="85"/>
      <c r="I876" s="624"/>
      <c r="J876" s="85"/>
      <c r="K876" s="624"/>
      <c r="L876" s="85"/>
      <c r="M876" s="624"/>
      <c r="N876" s="85"/>
      <c r="O876" s="624"/>
      <c r="P876" s="85"/>
      <c r="Q876" s="626">
        <f t="shared" si="28"/>
        <v>0</v>
      </c>
      <c r="R876" s="85"/>
      <c r="S876" s="624"/>
      <c r="T876" s="260"/>
      <c r="U876" s="624"/>
      <c r="V876" s="85"/>
      <c r="W876" s="624"/>
      <c r="X876" s="81"/>
      <c r="Y876" s="80"/>
      <c r="Z876" s="737">
        <f ca="1">MAX(0%,IF(Q876&lt;&gt;0,MIN((S876-Q876)/Q876/'Underwriting Risk'!$E$27,'Premium and Reserve Risk'!$Z$866),'Premium and Reserve Risk'!$Z$866))</f>
        <v>0.13</v>
      </c>
      <c r="AA876" s="80"/>
      <c r="AB876" s="80"/>
      <c r="AC876" s="737">
        <f ca="1">MAX(0%,IF(U876&lt;&gt;0,MIN((W876-U876)/U876/'Underwriting Risk'!$E$27,'Premium and Reserve Risk'!$AC$866),'Premium and Reserve Risk'!$AC$866))</f>
        <v>0.2</v>
      </c>
      <c r="AD876" s="81"/>
      <c r="AE876" s="97"/>
      <c r="AF876" s="97"/>
      <c r="AG876" s="97"/>
      <c r="AH876" s="97"/>
    </row>
    <row r="877" spans="1:34" ht="13.5" customHeight="1" x14ac:dyDescent="0.25">
      <c r="A877" s="97"/>
      <c r="B877" s="257">
        <v>10</v>
      </c>
      <c r="C877" s="652"/>
      <c r="D877" s="80"/>
      <c r="E877" s="80"/>
      <c r="F877" s="258">
        <f t="shared" ca="1" si="29"/>
        <v>0</v>
      </c>
      <c r="G877" s="624"/>
      <c r="H877" s="85"/>
      <c r="I877" s="624"/>
      <c r="J877" s="85"/>
      <c r="K877" s="624"/>
      <c r="L877" s="85"/>
      <c r="M877" s="624"/>
      <c r="N877" s="85"/>
      <c r="O877" s="624"/>
      <c r="P877" s="85"/>
      <c r="Q877" s="626">
        <f t="shared" si="28"/>
        <v>0</v>
      </c>
      <c r="R877" s="85"/>
      <c r="S877" s="624"/>
      <c r="T877" s="260"/>
      <c r="U877" s="624"/>
      <c r="V877" s="85"/>
      <c r="W877" s="624"/>
      <c r="X877" s="81"/>
      <c r="Y877" s="80"/>
      <c r="Z877" s="737">
        <f ca="1">MAX(0%,IF(Q877&lt;&gt;0,MIN((S877-Q877)/Q877/'Underwriting Risk'!$E$27,'Premium and Reserve Risk'!$Z$866),'Premium and Reserve Risk'!$Z$866))</f>
        <v>0.13</v>
      </c>
      <c r="AA877" s="80"/>
      <c r="AB877" s="80"/>
      <c r="AC877" s="737">
        <f ca="1">MAX(0%,IF(U877&lt;&gt;0,MIN((W877-U877)/U877/'Underwriting Risk'!$E$27,'Premium and Reserve Risk'!$AC$866),'Premium and Reserve Risk'!$AC$866))</f>
        <v>0.2</v>
      </c>
      <c r="AD877" s="81"/>
      <c r="AE877" s="97"/>
      <c r="AF877" s="97"/>
      <c r="AG877" s="97"/>
      <c r="AH877" s="97"/>
    </row>
    <row r="878" spans="1:34" ht="13.5" customHeight="1" x14ac:dyDescent="0.25">
      <c r="A878" s="97"/>
      <c r="B878" s="257">
        <v>11</v>
      </c>
      <c r="C878" s="652"/>
      <c r="D878" s="80"/>
      <c r="E878" s="80"/>
      <c r="F878" s="258">
        <f t="shared" ca="1" si="29"/>
        <v>0</v>
      </c>
      <c r="G878" s="624"/>
      <c r="H878" s="85"/>
      <c r="I878" s="624"/>
      <c r="J878" s="85"/>
      <c r="K878" s="624"/>
      <c r="L878" s="85"/>
      <c r="M878" s="624"/>
      <c r="N878" s="85"/>
      <c r="O878" s="624"/>
      <c r="P878" s="85"/>
      <c r="Q878" s="626">
        <f t="shared" si="28"/>
        <v>0</v>
      </c>
      <c r="R878" s="85"/>
      <c r="S878" s="624"/>
      <c r="T878" s="260"/>
      <c r="U878" s="624"/>
      <c r="V878" s="85"/>
      <c r="W878" s="624"/>
      <c r="X878" s="81"/>
      <c r="Y878" s="80"/>
      <c r="Z878" s="737">
        <f ca="1">MAX(0%,IF(Q878&lt;&gt;0,MIN((S878-Q878)/Q878/'Underwriting Risk'!$E$27,'Premium and Reserve Risk'!$Z$866),'Premium and Reserve Risk'!$Z$866))</f>
        <v>0.13</v>
      </c>
      <c r="AA878" s="80"/>
      <c r="AB878" s="80"/>
      <c r="AC878" s="737">
        <f ca="1">MAX(0%,IF(U878&lt;&gt;0,MIN((W878-U878)/U878/'Underwriting Risk'!$E$27,'Premium and Reserve Risk'!$AC$866),'Premium and Reserve Risk'!$AC$866))</f>
        <v>0.2</v>
      </c>
      <c r="AD878" s="81"/>
      <c r="AE878" s="97"/>
      <c r="AF878" s="97"/>
      <c r="AG878" s="97"/>
      <c r="AH878" s="97"/>
    </row>
    <row r="879" spans="1:34" ht="13.5" customHeight="1" x14ac:dyDescent="0.25">
      <c r="A879" s="97"/>
      <c r="B879" s="257">
        <v>12</v>
      </c>
      <c r="C879" s="652"/>
      <c r="D879" s="80"/>
      <c r="E879" s="80"/>
      <c r="F879" s="258">
        <f t="shared" ca="1" si="29"/>
        <v>0</v>
      </c>
      <c r="G879" s="624"/>
      <c r="H879" s="85"/>
      <c r="I879" s="624"/>
      <c r="J879" s="85"/>
      <c r="K879" s="624"/>
      <c r="L879" s="85"/>
      <c r="M879" s="624"/>
      <c r="N879" s="85"/>
      <c r="O879" s="624"/>
      <c r="P879" s="85"/>
      <c r="Q879" s="626">
        <f t="shared" si="28"/>
        <v>0</v>
      </c>
      <c r="R879" s="85"/>
      <c r="S879" s="624"/>
      <c r="T879" s="260"/>
      <c r="U879" s="624"/>
      <c r="V879" s="85"/>
      <c r="W879" s="624"/>
      <c r="X879" s="81"/>
      <c r="Y879" s="80"/>
      <c r="Z879" s="737">
        <f ca="1">MAX(0%,IF(Q879&lt;&gt;0,MIN((S879-Q879)/Q879/'Underwriting Risk'!$E$27,'Premium and Reserve Risk'!$Z$866),'Premium and Reserve Risk'!$Z$866))</f>
        <v>0.13</v>
      </c>
      <c r="AA879" s="80"/>
      <c r="AB879" s="80"/>
      <c r="AC879" s="737">
        <f ca="1">MAX(0%,IF(U879&lt;&gt;0,MIN((W879-U879)/U879/'Underwriting Risk'!$E$27,'Premium and Reserve Risk'!$AC$866),'Premium and Reserve Risk'!$AC$866))</f>
        <v>0.2</v>
      </c>
      <c r="AD879" s="81"/>
      <c r="AE879" s="97"/>
      <c r="AF879" s="97"/>
      <c r="AG879" s="97"/>
      <c r="AH879" s="97"/>
    </row>
    <row r="880" spans="1:34" ht="13.5" customHeight="1" x14ac:dyDescent="0.25">
      <c r="A880" s="97"/>
      <c r="B880" s="257">
        <v>13</v>
      </c>
      <c r="C880" s="652"/>
      <c r="D880" s="80"/>
      <c r="E880" s="80"/>
      <c r="F880" s="258">
        <f t="shared" ca="1" si="29"/>
        <v>0</v>
      </c>
      <c r="G880" s="624"/>
      <c r="H880" s="85"/>
      <c r="I880" s="624"/>
      <c r="J880" s="85"/>
      <c r="K880" s="624"/>
      <c r="L880" s="85"/>
      <c r="M880" s="624"/>
      <c r="N880" s="85"/>
      <c r="O880" s="624"/>
      <c r="P880" s="85"/>
      <c r="Q880" s="626">
        <f t="shared" si="28"/>
        <v>0</v>
      </c>
      <c r="R880" s="85"/>
      <c r="S880" s="624"/>
      <c r="T880" s="260"/>
      <c r="U880" s="624"/>
      <c r="V880" s="85"/>
      <c r="W880" s="624"/>
      <c r="X880" s="81"/>
      <c r="Y880" s="80"/>
      <c r="Z880" s="737">
        <f ca="1">MAX(0%,IF(Q880&lt;&gt;0,MIN((S880-Q880)/Q880/'Underwriting Risk'!$E$27,'Premium and Reserve Risk'!$Z$866),'Premium and Reserve Risk'!$Z$866))</f>
        <v>0.13</v>
      </c>
      <c r="AA880" s="80"/>
      <c r="AB880" s="80"/>
      <c r="AC880" s="737">
        <f ca="1">MAX(0%,IF(U880&lt;&gt;0,MIN((W880-U880)/U880/'Underwriting Risk'!$E$27,'Premium and Reserve Risk'!$AC$866),'Premium and Reserve Risk'!$AC$866))</f>
        <v>0.2</v>
      </c>
      <c r="AD880" s="81"/>
      <c r="AE880" s="97"/>
      <c r="AF880" s="97"/>
      <c r="AG880" s="97"/>
      <c r="AH880" s="97"/>
    </row>
    <row r="881" spans="1:34" ht="13.5" customHeight="1" x14ac:dyDescent="0.25">
      <c r="A881" s="97"/>
      <c r="B881" s="257">
        <v>14</v>
      </c>
      <c r="C881" s="652"/>
      <c r="D881" s="80"/>
      <c r="E881" s="80"/>
      <c r="F881" s="258">
        <f t="shared" ca="1" si="29"/>
        <v>0</v>
      </c>
      <c r="G881" s="624"/>
      <c r="H881" s="85"/>
      <c r="I881" s="624"/>
      <c r="J881" s="85"/>
      <c r="K881" s="624"/>
      <c r="L881" s="85"/>
      <c r="M881" s="624"/>
      <c r="N881" s="85"/>
      <c r="O881" s="624"/>
      <c r="P881" s="85"/>
      <c r="Q881" s="626">
        <f t="shared" si="28"/>
        <v>0</v>
      </c>
      <c r="R881" s="85"/>
      <c r="S881" s="624"/>
      <c r="T881" s="260"/>
      <c r="U881" s="624"/>
      <c r="V881" s="85"/>
      <c r="W881" s="624"/>
      <c r="X881" s="81"/>
      <c r="Y881" s="80"/>
      <c r="Z881" s="737">
        <f ca="1">MAX(0%,IF(Q881&lt;&gt;0,MIN((S881-Q881)/Q881/'Underwriting Risk'!$E$27,'Premium and Reserve Risk'!$Z$866),'Premium and Reserve Risk'!$Z$866))</f>
        <v>0.13</v>
      </c>
      <c r="AA881" s="80"/>
      <c r="AB881" s="80"/>
      <c r="AC881" s="737">
        <f ca="1">MAX(0%,IF(U881&lt;&gt;0,MIN((W881-U881)/U881/'Underwriting Risk'!$E$27,'Premium and Reserve Risk'!$AC$866),'Premium and Reserve Risk'!$AC$866))</f>
        <v>0.2</v>
      </c>
      <c r="AD881" s="81"/>
      <c r="AE881" s="97"/>
      <c r="AF881" s="97"/>
      <c r="AG881" s="97"/>
      <c r="AH881" s="97"/>
    </row>
    <row r="882" spans="1:34" ht="13.5" customHeight="1" x14ac:dyDescent="0.25">
      <c r="A882" s="97"/>
      <c r="B882" s="257">
        <v>15</v>
      </c>
      <c r="C882" s="652"/>
      <c r="D882" s="80"/>
      <c r="E882" s="80"/>
      <c r="F882" s="258">
        <f t="shared" ca="1" si="29"/>
        <v>0</v>
      </c>
      <c r="G882" s="624"/>
      <c r="H882" s="85"/>
      <c r="I882" s="624"/>
      <c r="J882" s="85"/>
      <c r="K882" s="624"/>
      <c r="L882" s="85"/>
      <c r="M882" s="624"/>
      <c r="N882" s="85"/>
      <c r="O882" s="624"/>
      <c r="P882" s="85"/>
      <c r="Q882" s="626">
        <f t="shared" si="28"/>
        <v>0</v>
      </c>
      <c r="R882" s="85"/>
      <c r="S882" s="624"/>
      <c r="T882" s="260"/>
      <c r="U882" s="624"/>
      <c r="V882" s="85"/>
      <c r="W882" s="624"/>
      <c r="X882" s="81"/>
      <c r="Y882" s="80"/>
      <c r="Z882" s="737">
        <f ca="1">MAX(0%,IF(Q882&lt;&gt;0,MIN((S882-Q882)/Q882/'Underwriting Risk'!$E$27,'Premium and Reserve Risk'!$Z$866),'Premium and Reserve Risk'!$Z$866))</f>
        <v>0.13</v>
      </c>
      <c r="AA882" s="80"/>
      <c r="AB882" s="80"/>
      <c r="AC882" s="737">
        <f ca="1">MAX(0%,IF(U882&lt;&gt;0,MIN((W882-U882)/U882/'Underwriting Risk'!$E$27,'Premium and Reserve Risk'!$AC$866),'Premium and Reserve Risk'!$AC$866))</f>
        <v>0.2</v>
      </c>
      <c r="AD882" s="81"/>
      <c r="AE882" s="97"/>
      <c r="AF882" s="97"/>
      <c r="AG882" s="97"/>
      <c r="AH882" s="97"/>
    </row>
    <row r="883" spans="1:34" ht="13.5" customHeight="1" x14ac:dyDescent="0.25">
      <c r="A883" s="97"/>
      <c r="B883" s="257">
        <v>16</v>
      </c>
      <c r="C883" s="652"/>
      <c r="D883" s="80"/>
      <c r="E883" s="80"/>
      <c r="F883" s="258">
        <f t="shared" ca="1" si="29"/>
        <v>0</v>
      </c>
      <c r="G883" s="624"/>
      <c r="H883" s="85"/>
      <c r="I883" s="624"/>
      <c r="J883" s="85"/>
      <c r="K883" s="624"/>
      <c r="L883" s="85"/>
      <c r="M883" s="624"/>
      <c r="N883" s="85"/>
      <c r="O883" s="624"/>
      <c r="P883" s="85"/>
      <c r="Q883" s="626">
        <f t="shared" si="28"/>
        <v>0</v>
      </c>
      <c r="R883" s="85"/>
      <c r="S883" s="624"/>
      <c r="T883" s="260"/>
      <c r="U883" s="624"/>
      <c r="V883" s="85"/>
      <c r="W883" s="624"/>
      <c r="X883" s="81"/>
      <c r="Y883" s="80"/>
      <c r="Z883" s="737">
        <f ca="1">MAX(0%,IF(Q883&lt;&gt;0,MIN((S883-Q883)/Q883/'Underwriting Risk'!$E$27,'Premium and Reserve Risk'!$Z$866),'Premium and Reserve Risk'!$Z$866))</f>
        <v>0.13</v>
      </c>
      <c r="AA883" s="80"/>
      <c r="AB883" s="80"/>
      <c r="AC883" s="737">
        <f ca="1">MAX(0%,IF(U883&lt;&gt;0,MIN((W883-U883)/U883/'Underwriting Risk'!$E$27,'Premium and Reserve Risk'!$AC$866),'Premium and Reserve Risk'!$AC$866))</f>
        <v>0.2</v>
      </c>
      <c r="AD883" s="81"/>
      <c r="AE883" s="97"/>
      <c r="AF883" s="97"/>
      <c r="AG883" s="97"/>
      <c r="AH883" s="97"/>
    </row>
    <row r="884" spans="1:34" ht="13.5" customHeight="1" x14ac:dyDescent="0.25">
      <c r="A884" s="97"/>
      <c r="B884" s="257">
        <v>17</v>
      </c>
      <c r="C884" s="652"/>
      <c r="D884" s="80"/>
      <c r="E884" s="80"/>
      <c r="F884" s="258">
        <f t="shared" ca="1" si="29"/>
        <v>0</v>
      </c>
      <c r="G884" s="624"/>
      <c r="H884" s="85"/>
      <c r="I884" s="624"/>
      <c r="J884" s="85"/>
      <c r="K884" s="624"/>
      <c r="L884" s="85"/>
      <c r="M884" s="624"/>
      <c r="N884" s="85"/>
      <c r="O884" s="624"/>
      <c r="P884" s="85"/>
      <c r="Q884" s="626">
        <f t="shared" si="28"/>
        <v>0</v>
      </c>
      <c r="R884" s="85"/>
      <c r="S884" s="624"/>
      <c r="T884" s="260"/>
      <c r="U884" s="624"/>
      <c r="V884" s="85"/>
      <c r="W884" s="624"/>
      <c r="X884" s="81"/>
      <c r="Y884" s="80"/>
      <c r="Z884" s="737">
        <f ca="1">MAX(0%,IF(Q884&lt;&gt;0,MIN((S884-Q884)/Q884/'Underwriting Risk'!$E$27,'Premium and Reserve Risk'!$Z$866),'Premium and Reserve Risk'!$Z$866))</f>
        <v>0.13</v>
      </c>
      <c r="AA884" s="80"/>
      <c r="AB884" s="80"/>
      <c r="AC884" s="737">
        <f ca="1">MAX(0%,IF(U884&lt;&gt;0,MIN((W884-U884)/U884/'Underwriting Risk'!$E$27,'Premium and Reserve Risk'!$AC$866),'Premium and Reserve Risk'!$AC$866))</f>
        <v>0.2</v>
      </c>
      <c r="AD884" s="81"/>
      <c r="AE884" s="97"/>
      <c r="AF884" s="97"/>
      <c r="AG884" s="97"/>
      <c r="AH884" s="97"/>
    </row>
    <row r="885" spans="1:34" ht="13.5" customHeight="1" x14ac:dyDescent="0.25">
      <c r="A885" s="97"/>
      <c r="B885" s="257">
        <v>18</v>
      </c>
      <c r="C885" s="652"/>
      <c r="D885" s="80"/>
      <c r="E885" s="80"/>
      <c r="F885" s="258">
        <f t="shared" ca="1" si="29"/>
        <v>0</v>
      </c>
      <c r="G885" s="624"/>
      <c r="H885" s="85"/>
      <c r="I885" s="624"/>
      <c r="J885" s="85"/>
      <c r="K885" s="624"/>
      <c r="L885" s="85"/>
      <c r="M885" s="624"/>
      <c r="N885" s="85"/>
      <c r="O885" s="624"/>
      <c r="P885" s="85"/>
      <c r="Q885" s="626">
        <f t="shared" si="28"/>
        <v>0</v>
      </c>
      <c r="R885" s="85"/>
      <c r="S885" s="624"/>
      <c r="T885" s="260"/>
      <c r="U885" s="624"/>
      <c r="V885" s="85"/>
      <c r="W885" s="624"/>
      <c r="X885" s="81"/>
      <c r="Y885" s="80"/>
      <c r="Z885" s="737">
        <f ca="1">MAX(0%,IF(Q885&lt;&gt;0,MIN((S885-Q885)/Q885/'Underwriting Risk'!$E$27,'Premium and Reserve Risk'!$Z$866),'Premium and Reserve Risk'!$Z$866))</f>
        <v>0.13</v>
      </c>
      <c r="AA885" s="80"/>
      <c r="AB885" s="80"/>
      <c r="AC885" s="737">
        <f ca="1">MAX(0%,IF(U885&lt;&gt;0,MIN((W885-U885)/U885/'Underwriting Risk'!$E$27,'Premium and Reserve Risk'!$AC$866),'Premium and Reserve Risk'!$AC$866))</f>
        <v>0.2</v>
      </c>
      <c r="AD885" s="81"/>
      <c r="AE885" s="97"/>
      <c r="AF885" s="97"/>
      <c r="AG885" s="97"/>
      <c r="AH885" s="97"/>
    </row>
    <row r="886" spans="1:34" ht="13.5" customHeight="1" x14ac:dyDescent="0.25">
      <c r="A886" s="97"/>
      <c r="B886" s="257">
        <v>19</v>
      </c>
      <c r="C886" s="652"/>
      <c r="D886" s="80"/>
      <c r="E886" s="80"/>
      <c r="F886" s="258">
        <f t="shared" ca="1" si="29"/>
        <v>0</v>
      </c>
      <c r="G886" s="624"/>
      <c r="H886" s="85"/>
      <c r="I886" s="624"/>
      <c r="J886" s="85"/>
      <c r="K886" s="624"/>
      <c r="L886" s="85"/>
      <c r="M886" s="624"/>
      <c r="N886" s="85"/>
      <c r="O886" s="624"/>
      <c r="P886" s="85"/>
      <c r="Q886" s="626">
        <f t="shared" si="28"/>
        <v>0</v>
      </c>
      <c r="R886" s="85"/>
      <c r="S886" s="624"/>
      <c r="T886" s="260"/>
      <c r="U886" s="624"/>
      <c r="V886" s="85"/>
      <c r="W886" s="624"/>
      <c r="X886" s="81"/>
      <c r="Y886" s="80"/>
      <c r="Z886" s="737">
        <f ca="1">MAX(0%,IF(Q886&lt;&gt;0,MIN((S886-Q886)/Q886/'Underwriting Risk'!$E$27,'Premium and Reserve Risk'!$Z$866),'Premium and Reserve Risk'!$Z$866))</f>
        <v>0.13</v>
      </c>
      <c r="AA886" s="80"/>
      <c r="AB886" s="80"/>
      <c r="AC886" s="737">
        <f ca="1">MAX(0%,IF(U886&lt;&gt;0,MIN((W886-U886)/U886/'Underwriting Risk'!$E$27,'Premium and Reserve Risk'!$AC$866),'Premium and Reserve Risk'!$AC$866))</f>
        <v>0.2</v>
      </c>
      <c r="AD886" s="81"/>
      <c r="AE886" s="97"/>
      <c r="AF886" s="97"/>
      <c r="AG886" s="97"/>
      <c r="AH886" s="97"/>
    </row>
    <row r="887" spans="1:34" ht="13.5" customHeight="1" x14ac:dyDescent="0.25">
      <c r="A887" s="97"/>
      <c r="B887" s="257">
        <v>20</v>
      </c>
      <c r="C887" s="652"/>
      <c r="D887" s="80"/>
      <c r="E887" s="80"/>
      <c r="F887" s="258">
        <f t="shared" ca="1" si="29"/>
        <v>0</v>
      </c>
      <c r="G887" s="624"/>
      <c r="H887" s="85"/>
      <c r="I887" s="624"/>
      <c r="J887" s="85"/>
      <c r="K887" s="624"/>
      <c r="L887" s="85"/>
      <c r="M887" s="624"/>
      <c r="N887" s="85"/>
      <c r="O887" s="624"/>
      <c r="P887" s="85"/>
      <c r="Q887" s="626">
        <f t="shared" si="28"/>
        <v>0</v>
      </c>
      <c r="R887" s="85"/>
      <c r="S887" s="624"/>
      <c r="T887" s="260"/>
      <c r="U887" s="624"/>
      <c r="V887" s="85"/>
      <c r="W887" s="624"/>
      <c r="X887" s="81"/>
      <c r="Y887" s="80"/>
      <c r="Z887" s="737">
        <f ca="1">MAX(0%,IF(Q887&lt;&gt;0,MIN((S887-Q887)/Q887/'Underwriting Risk'!$E$27,'Premium and Reserve Risk'!$Z$866),'Premium and Reserve Risk'!$Z$866))</f>
        <v>0.13</v>
      </c>
      <c r="AA887" s="80"/>
      <c r="AB887" s="80"/>
      <c r="AC887" s="737">
        <f ca="1">MAX(0%,IF(U887&lt;&gt;0,MIN((W887-U887)/U887/'Underwriting Risk'!$E$27,'Premium and Reserve Risk'!$AC$866),'Premium and Reserve Risk'!$AC$866))</f>
        <v>0.2</v>
      </c>
      <c r="AD887" s="81"/>
      <c r="AE887" s="97"/>
      <c r="AF887" s="97"/>
      <c r="AG887" s="97"/>
      <c r="AH887" s="97"/>
    </row>
    <row r="888" spans="1:34" ht="13.5" customHeight="1" x14ac:dyDescent="0.25">
      <c r="A888" s="97"/>
      <c r="B888" s="257">
        <v>21</v>
      </c>
      <c r="C888" s="652"/>
      <c r="D888" s="80"/>
      <c r="E888" s="80"/>
      <c r="F888" s="258">
        <f t="shared" ca="1" si="29"/>
        <v>0</v>
      </c>
      <c r="G888" s="624"/>
      <c r="H888" s="85"/>
      <c r="I888" s="624"/>
      <c r="J888" s="85"/>
      <c r="K888" s="624"/>
      <c r="L888" s="85"/>
      <c r="M888" s="624"/>
      <c r="N888" s="85"/>
      <c r="O888" s="624"/>
      <c r="P888" s="85"/>
      <c r="Q888" s="626">
        <f t="shared" si="28"/>
        <v>0</v>
      </c>
      <c r="R888" s="85"/>
      <c r="S888" s="624"/>
      <c r="T888" s="260"/>
      <c r="U888" s="624"/>
      <c r="V888" s="85"/>
      <c r="W888" s="624"/>
      <c r="X888" s="81"/>
      <c r="Y888" s="80"/>
      <c r="Z888" s="737">
        <f ca="1">MAX(0%,IF(Q888&lt;&gt;0,MIN((S888-Q888)/Q888/'Underwriting Risk'!$E$27,'Premium and Reserve Risk'!$Z$866),'Premium and Reserve Risk'!$Z$866))</f>
        <v>0.13</v>
      </c>
      <c r="AA888" s="80"/>
      <c r="AB888" s="80"/>
      <c r="AC888" s="737">
        <f ca="1">MAX(0%,IF(U888&lt;&gt;0,MIN((W888-U888)/U888/'Underwriting Risk'!$E$27,'Premium and Reserve Risk'!$AC$866),'Premium and Reserve Risk'!$AC$866))</f>
        <v>0.2</v>
      </c>
      <c r="AD888" s="81"/>
      <c r="AE888" s="97"/>
      <c r="AF888" s="97"/>
      <c r="AG888" s="97"/>
      <c r="AH888" s="97"/>
    </row>
    <row r="889" spans="1:34" ht="13.5" customHeight="1" x14ac:dyDescent="0.25">
      <c r="A889" s="97"/>
      <c r="B889" s="257">
        <v>22</v>
      </c>
      <c r="C889" s="652"/>
      <c r="D889" s="80"/>
      <c r="E889" s="80"/>
      <c r="F889" s="258">
        <f t="shared" ca="1" si="29"/>
        <v>0</v>
      </c>
      <c r="G889" s="624"/>
      <c r="H889" s="85"/>
      <c r="I889" s="624"/>
      <c r="J889" s="85"/>
      <c r="K889" s="624"/>
      <c r="L889" s="85"/>
      <c r="M889" s="624"/>
      <c r="N889" s="85"/>
      <c r="O889" s="624"/>
      <c r="P889" s="85"/>
      <c r="Q889" s="626">
        <f t="shared" si="28"/>
        <v>0</v>
      </c>
      <c r="R889" s="85"/>
      <c r="S889" s="624"/>
      <c r="T889" s="260"/>
      <c r="U889" s="624"/>
      <c r="V889" s="85"/>
      <c r="W889" s="624"/>
      <c r="X889" s="81"/>
      <c r="Y889" s="80"/>
      <c r="Z889" s="737">
        <f ca="1">MAX(0%,IF(Q889&lt;&gt;0,MIN((S889-Q889)/Q889/'Underwriting Risk'!$E$27,'Premium and Reserve Risk'!$Z$866),'Premium and Reserve Risk'!$Z$866))</f>
        <v>0.13</v>
      </c>
      <c r="AA889" s="80"/>
      <c r="AB889" s="80"/>
      <c r="AC889" s="737">
        <f ca="1">MAX(0%,IF(U889&lt;&gt;0,MIN((W889-U889)/U889/'Underwriting Risk'!$E$27,'Premium and Reserve Risk'!$AC$866),'Premium and Reserve Risk'!$AC$866))</f>
        <v>0.2</v>
      </c>
      <c r="AD889" s="81"/>
      <c r="AE889" s="97"/>
      <c r="AF889" s="97"/>
      <c r="AG889" s="97"/>
      <c r="AH889" s="97"/>
    </row>
    <row r="890" spans="1:34" ht="13.5" customHeight="1" x14ac:dyDescent="0.25">
      <c r="A890" s="97"/>
      <c r="B890" s="257">
        <v>23</v>
      </c>
      <c r="C890" s="652"/>
      <c r="D890" s="80"/>
      <c r="E890" s="80"/>
      <c r="F890" s="258">
        <f t="shared" ca="1" si="29"/>
        <v>0</v>
      </c>
      <c r="G890" s="624"/>
      <c r="H890" s="85"/>
      <c r="I890" s="624"/>
      <c r="J890" s="85"/>
      <c r="K890" s="624"/>
      <c r="L890" s="85"/>
      <c r="M890" s="624"/>
      <c r="N890" s="85"/>
      <c r="O890" s="624"/>
      <c r="P890" s="85"/>
      <c r="Q890" s="626">
        <f t="shared" si="28"/>
        <v>0</v>
      </c>
      <c r="R890" s="85"/>
      <c r="S890" s="624"/>
      <c r="T890" s="260"/>
      <c r="U890" s="624"/>
      <c r="V890" s="85"/>
      <c r="W890" s="624"/>
      <c r="X890" s="81"/>
      <c r="Y890" s="80"/>
      <c r="Z890" s="737">
        <f ca="1">MAX(0%,IF(Q890&lt;&gt;0,MIN((S890-Q890)/Q890/'Underwriting Risk'!$E$27,'Premium and Reserve Risk'!$Z$866),'Premium and Reserve Risk'!$Z$866))</f>
        <v>0.13</v>
      </c>
      <c r="AA890" s="80"/>
      <c r="AB890" s="80"/>
      <c r="AC890" s="737">
        <f ca="1">MAX(0%,IF(U890&lt;&gt;0,MIN((W890-U890)/U890/'Underwriting Risk'!$E$27,'Premium and Reserve Risk'!$AC$866),'Premium and Reserve Risk'!$AC$866))</f>
        <v>0.2</v>
      </c>
      <c r="AD890" s="81"/>
      <c r="AE890" s="97"/>
      <c r="AF890" s="97"/>
      <c r="AG890" s="97"/>
      <c r="AH890" s="97"/>
    </row>
    <row r="891" spans="1:34" ht="13.5" customHeight="1" x14ac:dyDescent="0.25">
      <c r="A891" s="97"/>
      <c r="B891" s="257">
        <v>24</v>
      </c>
      <c r="C891" s="652"/>
      <c r="D891" s="80"/>
      <c r="E891" s="80"/>
      <c r="F891" s="258">
        <f t="shared" ca="1" si="29"/>
        <v>0</v>
      </c>
      <c r="G891" s="624"/>
      <c r="H891" s="85"/>
      <c r="I891" s="624"/>
      <c r="J891" s="85"/>
      <c r="K891" s="624"/>
      <c r="L891" s="85"/>
      <c r="M891" s="624"/>
      <c r="N891" s="85"/>
      <c r="O891" s="624"/>
      <c r="P891" s="85"/>
      <c r="Q891" s="626">
        <f t="shared" si="28"/>
        <v>0</v>
      </c>
      <c r="R891" s="85"/>
      <c r="S891" s="624"/>
      <c r="T891" s="260"/>
      <c r="U891" s="624"/>
      <c r="V891" s="85"/>
      <c r="W891" s="624"/>
      <c r="X891" s="81"/>
      <c r="Y891" s="80"/>
      <c r="Z891" s="737">
        <f ca="1">MAX(0%,IF(Q891&lt;&gt;0,MIN((S891-Q891)/Q891/'Underwriting Risk'!$E$27,'Premium and Reserve Risk'!$Z$866),'Premium and Reserve Risk'!$Z$866))</f>
        <v>0.13</v>
      </c>
      <c r="AA891" s="80"/>
      <c r="AB891" s="80"/>
      <c r="AC891" s="737">
        <f ca="1">MAX(0%,IF(U891&lt;&gt;0,MIN((W891-U891)/U891/'Underwriting Risk'!$E$27,'Premium and Reserve Risk'!$AC$866),'Premium and Reserve Risk'!$AC$866))</f>
        <v>0.2</v>
      </c>
      <c r="AD891" s="81"/>
      <c r="AE891" s="97"/>
      <c r="AF891" s="97"/>
      <c r="AG891" s="97"/>
      <c r="AH891" s="97"/>
    </row>
    <row r="892" spans="1:34" ht="13.5" customHeight="1" x14ac:dyDescent="0.25">
      <c r="A892" s="97"/>
      <c r="B892" s="257">
        <v>25</v>
      </c>
      <c r="C892" s="652"/>
      <c r="D892" s="80"/>
      <c r="E892" s="80"/>
      <c r="F892" s="258">
        <f t="shared" ca="1" si="29"/>
        <v>0</v>
      </c>
      <c r="G892" s="624"/>
      <c r="H892" s="85"/>
      <c r="I892" s="624"/>
      <c r="J892" s="85"/>
      <c r="K892" s="624"/>
      <c r="L892" s="85"/>
      <c r="M892" s="624"/>
      <c r="N892" s="85"/>
      <c r="O892" s="624"/>
      <c r="P892" s="85"/>
      <c r="Q892" s="626">
        <f t="shared" si="28"/>
        <v>0</v>
      </c>
      <c r="R892" s="85"/>
      <c r="S892" s="624"/>
      <c r="T892" s="260"/>
      <c r="U892" s="624"/>
      <c r="V892" s="85"/>
      <c r="W892" s="624"/>
      <c r="X892" s="81"/>
      <c r="Y892" s="80"/>
      <c r="Z892" s="737">
        <f ca="1">MAX(0%,IF(Q892&lt;&gt;0,MIN((S892-Q892)/Q892/'Underwriting Risk'!$E$27,'Premium and Reserve Risk'!$Z$866),'Premium and Reserve Risk'!$Z$866))</f>
        <v>0.13</v>
      </c>
      <c r="AA892" s="80"/>
      <c r="AB892" s="80"/>
      <c r="AC892" s="737">
        <f ca="1">MAX(0%,IF(U892&lt;&gt;0,MIN((W892-U892)/U892/'Underwriting Risk'!$E$27,'Premium and Reserve Risk'!$AC$866),'Premium and Reserve Risk'!$AC$866))</f>
        <v>0.2</v>
      </c>
      <c r="AD892" s="81"/>
      <c r="AE892" s="97"/>
      <c r="AF892" s="97"/>
      <c r="AG892" s="97"/>
      <c r="AH892" s="97"/>
    </row>
    <row r="893" spans="1:34" ht="13.5" customHeight="1" x14ac:dyDescent="0.25">
      <c r="A893" s="97"/>
      <c r="B893" s="257">
        <v>26</v>
      </c>
      <c r="C893" s="652"/>
      <c r="D893" s="80"/>
      <c r="E893" s="80"/>
      <c r="F893" s="258">
        <f t="shared" ca="1" si="29"/>
        <v>0</v>
      </c>
      <c r="G893" s="624"/>
      <c r="H893" s="85"/>
      <c r="I893" s="624"/>
      <c r="J893" s="85"/>
      <c r="K893" s="624"/>
      <c r="L893" s="85"/>
      <c r="M893" s="624"/>
      <c r="N893" s="85"/>
      <c r="O893" s="624"/>
      <c r="P893" s="85"/>
      <c r="Q893" s="626">
        <f t="shared" si="28"/>
        <v>0</v>
      </c>
      <c r="R893" s="85"/>
      <c r="S893" s="624"/>
      <c r="T893" s="260"/>
      <c r="U893" s="624"/>
      <c r="V893" s="85"/>
      <c r="W893" s="624"/>
      <c r="X893" s="81"/>
      <c r="Y893" s="80"/>
      <c r="Z893" s="737">
        <f ca="1">MAX(0%,IF(Q893&lt;&gt;0,MIN((S893-Q893)/Q893/'Underwriting Risk'!$E$27,'Premium and Reserve Risk'!$Z$866),'Premium and Reserve Risk'!$Z$866))</f>
        <v>0.13</v>
      </c>
      <c r="AA893" s="80"/>
      <c r="AB893" s="80"/>
      <c r="AC893" s="737">
        <f ca="1">MAX(0%,IF(U893&lt;&gt;0,MIN((W893-U893)/U893/'Underwriting Risk'!$E$27,'Premium and Reserve Risk'!$AC$866),'Premium and Reserve Risk'!$AC$866))</f>
        <v>0.2</v>
      </c>
      <c r="AD893" s="81"/>
      <c r="AE893" s="97"/>
      <c r="AF893" s="97"/>
      <c r="AG893" s="97"/>
      <c r="AH893" s="97"/>
    </row>
    <row r="894" spans="1:34" ht="13.5" customHeight="1" x14ac:dyDescent="0.25">
      <c r="A894" s="97"/>
      <c r="B894" s="257">
        <v>27</v>
      </c>
      <c r="C894" s="652"/>
      <c r="D894" s="80"/>
      <c r="E894" s="80"/>
      <c r="F894" s="258">
        <f t="shared" ca="1" si="29"/>
        <v>0</v>
      </c>
      <c r="G894" s="624"/>
      <c r="H894" s="85"/>
      <c r="I894" s="624"/>
      <c r="J894" s="85"/>
      <c r="K894" s="624"/>
      <c r="L894" s="85"/>
      <c r="M894" s="624"/>
      <c r="N894" s="85"/>
      <c r="O894" s="624"/>
      <c r="P894" s="85"/>
      <c r="Q894" s="626">
        <f t="shared" si="28"/>
        <v>0</v>
      </c>
      <c r="R894" s="85"/>
      <c r="S894" s="624"/>
      <c r="T894" s="260"/>
      <c r="U894" s="624"/>
      <c r="V894" s="85"/>
      <c r="W894" s="624"/>
      <c r="X894" s="81"/>
      <c r="Y894" s="80"/>
      <c r="Z894" s="737">
        <f ca="1">MAX(0%,IF(Q894&lt;&gt;0,MIN((S894-Q894)/Q894/'Underwriting Risk'!$E$27,'Premium and Reserve Risk'!$Z$866),'Premium and Reserve Risk'!$Z$866))</f>
        <v>0.13</v>
      </c>
      <c r="AA894" s="80"/>
      <c r="AB894" s="80"/>
      <c r="AC894" s="737">
        <f ca="1">MAX(0%,IF(U894&lt;&gt;0,MIN((W894-U894)/U894/'Underwriting Risk'!$E$27,'Premium and Reserve Risk'!$AC$866),'Premium and Reserve Risk'!$AC$866))</f>
        <v>0.2</v>
      </c>
      <c r="AD894" s="81"/>
      <c r="AE894" s="97"/>
      <c r="AF894" s="97"/>
      <c r="AG894" s="97"/>
      <c r="AH894" s="97"/>
    </row>
    <row r="895" spans="1:34" ht="13.5" customHeight="1" x14ac:dyDescent="0.25">
      <c r="A895" s="97"/>
      <c r="B895" s="257">
        <v>28</v>
      </c>
      <c r="C895" s="652"/>
      <c r="D895" s="80"/>
      <c r="E895" s="80"/>
      <c r="F895" s="258">
        <f t="shared" ca="1" si="29"/>
        <v>0</v>
      </c>
      <c r="G895" s="624"/>
      <c r="H895" s="85"/>
      <c r="I895" s="624"/>
      <c r="J895" s="85"/>
      <c r="K895" s="624"/>
      <c r="L895" s="85"/>
      <c r="M895" s="624"/>
      <c r="N895" s="85"/>
      <c r="O895" s="624"/>
      <c r="P895" s="85"/>
      <c r="Q895" s="626">
        <f t="shared" si="28"/>
        <v>0</v>
      </c>
      <c r="R895" s="85"/>
      <c r="S895" s="624"/>
      <c r="T895" s="260"/>
      <c r="U895" s="624"/>
      <c r="V895" s="85"/>
      <c r="W895" s="624"/>
      <c r="X895" s="81"/>
      <c r="Y895" s="80"/>
      <c r="Z895" s="737">
        <f ca="1">MAX(0%,IF(Q895&lt;&gt;0,MIN((S895-Q895)/Q895/'Underwriting Risk'!$E$27,'Premium and Reserve Risk'!$Z$866),'Premium and Reserve Risk'!$Z$866))</f>
        <v>0.13</v>
      </c>
      <c r="AA895" s="80"/>
      <c r="AB895" s="80"/>
      <c r="AC895" s="737">
        <f ca="1">MAX(0%,IF(U895&lt;&gt;0,MIN((W895-U895)/U895/'Underwriting Risk'!$E$27,'Premium and Reserve Risk'!$AC$866),'Premium and Reserve Risk'!$AC$866))</f>
        <v>0.2</v>
      </c>
      <c r="AD895" s="81"/>
      <c r="AE895" s="97"/>
      <c r="AF895" s="97"/>
      <c r="AG895" s="97"/>
      <c r="AH895" s="97"/>
    </row>
    <row r="896" spans="1:34" ht="13.5" customHeight="1" x14ac:dyDescent="0.25">
      <c r="A896" s="97"/>
      <c r="B896" s="257">
        <v>29</v>
      </c>
      <c r="C896" s="652"/>
      <c r="D896" s="80"/>
      <c r="E896" s="80"/>
      <c r="F896" s="258">
        <f t="shared" ca="1" si="29"/>
        <v>0</v>
      </c>
      <c r="G896" s="624"/>
      <c r="H896" s="85"/>
      <c r="I896" s="624"/>
      <c r="J896" s="85"/>
      <c r="K896" s="624"/>
      <c r="L896" s="85"/>
      <c r="M896" s="624"/>
      <c r="N896" s="85"/>
      <c r="O896" s="624"/>
      <c r="P896" s="85"/>
      <c r="Q896" s="626">
        <f t="shared" si="28"/>
        <v>0</v>
      </c>
      <c r="R896" s="85"/>
      <c r="S896" s="624"/>
      <c r="T896" s="260"/>
      <c r="U896" s="624"/>
      <c r="V896" s="85"/>
      <c r="W896" s="624"/>
      <c r="X896" s="81"/>
      <c r="Y896" s="80"/>
      <c r="Z896" s="737">
        <f ca="1">MAX(0%,IF(Q896&lt;&gt;0,MIN((S896-Q896)/Q896/'Underwriting Risk'!$E$27,'Premium and Reserve Risk'!$Z$866),'Premium and Reserve Risk'!$Z$866))</f>
        <v>0.13</v>
      </c>
      <c r="AA896" s="80"/>
      <c r="AB896" s="80"/>
      <c r="AC896" s="737">
        <f ca="1">MAX(0%,IF(U896&lt;&gt;0,MIN((W896-U896)/U896/'Underwriting Risk'!$E$27,'Premium and Reserve Risk'!$AC$866),'Premium and Reserve Risk'!$AC$866))</f>
        <v>0.2</v>
      </c>
      <c r="AD896" s="81"/>
      <c r="AE896" s="97"/>
      <c r="AF896" s="97"/>
      <c r="AG896" s="97"/>
      <c r="AH896" s="97"/>
    </row>
    <row r="897" spans="1:34" ht="13.5" customHeight="1" x14ac:dyDescent="0.25">
      <c r="A897" s="97"/>
      <c r="B897" s="257">
        <v>30</v>
      </c>
      <c r="C897" s="652"/>
      <c r="D897" s="80"/>
      <c r="E897" s="80"/>
      <c r="F897" s="258">
        <f t="shared" ca="1" si="29"/>
        <v>0</v>
      </c>
      <c r="G897" s="624"/>
      <c r="H897" s="85"/>
      <c r="I897" s="624"/>
      <c r="J897" s="85"/>
      <c r="K897" s="624"/>
      <c r="L897" s="85"/>
      <c r="M897" s="624"/>
      <c r="N897" s="85"/>
      <c r="O897" s="624"/>
      <c r="P897" s="85"/>
      <c r="Q897" s="626">
        <f t="shared" si="28"/>
        <v>0</v>
      </c>
      <c r="R897" s="85"/>
      <c r="S897" s="624"/>
      <c r="T897" s="260"/>
      <c r="U897" s="624"/>
      <c r="V897" s="85"/>
      <c r="W897" s="624"/>
      <c r="X897" s="81"/>
      <c r="Y897" s="80"/>
      <c r="Z897" s="737">
        <f ca="1">MAX(0%,IF(Q897&lt;&gt;0,MIN((S897-Q897)/Q897/'Underwriting Risk'!$E$27,'Premium and Reserve Risk'!$Z$866),'Premium and Reserve Risk'!$Z$866))</f>
        <v>0.13</v>
      </c>
      <c r="AA897" s="80"/>
      <c r="AB897" s="80"/>
      <c r="AC897" s="737">
        <f ca="1">MAX(0%,IF(U897&lt;&gt;0,MIN((W897-U897)/U897/'Underwriting Risk'!$E$27,'Premium and Reserve Risk'!$AC$866),'Premium and Reserve Risk'!$AC$866))</f>
        <v>0.2</v>
      </c>
      <c r="AD897" s="81"/>
      <c r="AE897" s="97"/>
      <c r="AF897" s="97"/>
      <c r="AG897" s="97"/>
      <c r="AH897" s="97"/>
    </row>
    <row r="898" spans="1:34" ht="13.5" customHeight="1" x14ac:dyDescent="0.25">
      <c r="A898" s="97"/>
      <c r="B898" s="257">
        <v>31</v>
      </c>
      <c r="C898" s="652"/>
      <c r="D898" s="80"/>
      <c r="E898" s="80"/>
      <c r="F898" s="258">
        <f t="shared" ca="1" si="29"/>
        <v>0</v>
      </c>
      <c r="G898" s="624"/>
      <c r="H898" s="85"/>
      <c r="I898" s="624"/>
      <c r="J898" s="85"/>
      <c r="K898" s="624"/>
      <c r="L898" s="85"/>
      <c r="M898" s="624"/>
      <c r="N898" s="85"/>
      <c r="O898" s="624"/>
      <c r="P898" s="85"/>
      <c r="Q898" s="626">
        <f t="shared" si="28"/>
        <v>0</v>
      </c>
      <c r="R898" s="85"/>
      <c r="S898" s="624"/>
      <c r="T898" s="260"/>
      <c r="U898" s="624"/>
      <c r="V898" s="85"/>
      <c r="W898" s="624"/>
      <c r="X898" s="81"/>
      <c r="Y898" s="80"/>
      <c r="Z898" s="737">
        <f ca="1">MAX(0%,IF(Q898&lt;&gt;0,MIN((S898-Q898)/Q898/'Underwriting Risk'!$E$27,'Premium and Reserve Risk'!$Z$866),'Premium and Reserve Risk'!$Z$866))</f>
        <v>0.13</v>
      </c>
      <c r="AA898" s="80"/>
      <c r="AB898" s="80"/>
      <c r="AC898" s="737">
        <f ca="1">MAX(0%,IF(U898&lt;&gt;0,MIN((W898-U898)/U898/'Underwriting Risk'!$E$27,'Premium and Reserve Risk'!$AC$866),'Premium and Reserve Risk'!$AC$866))</f>
        <v>0.2</v>
      </c>
      <c r="AD898" s="81"/>
      <c r="AE898" s="97"/>
      <c r="AF898" s="97"/>
      <c r="AG898" s="97"/>
      <c r="AH898" s="97"/>
    </row>
    <row r="899" spans="1:34" ht="13.5" customHeight="1" x14ac:dyDescent="0.25">
      <c r="A899" s="97"/>
      <c r="B899" s="257">
        <v>32</v>
      </c>
      <c r="C899" s="652"/>
      <c r="D899" s="80"/>
      <c r="E899" s="80"/>
      <c r="F899" s="258">
        <f t="shared" ca="1" si="29"/>
        <v>0</v>
      </c>
      <c r="G899" s="624"/>
      <c r="H899" s="85"/>
      <c r="I899" s="624"/>
      <c r="J899" s="85"/>
      <c r="K899" s="624"/>
      <c r="L899" s="85"/>
      <c r="M899" s="624"/>
      <c r="N899" s="85"/>
      <c r="O899" s="624"/>
      <c r="P899" s="85"/>
      <c r="Q899" s="626">
        <f t="shared" si="28"/>
        <v>0</v>
      </c>
      <c r="R899" s="85"/>
      <c r="S899" s="624"/>
      <c r="T899" s="260"/>
      <c r="U899" s="624"/>
      <c r="V899" s="85"/>
      <c r="W899" s="624"/>
      <c r="X899" s="81"/>
      <c r="Y899" s="80"/>
      <c r="Z899" s="737">
        <f ca="1">MAX(0%,IF(Q899&lt;&gt;0,MIN((S899-Q899)/Q899/'Underwriting Risk'!$E$27,'Premium and Reserve Risk'!$Z$866),'Premium and Reserve Risk'!$Z$866))</f>
        <v>0.13</v>
      </c>
      <c r="AA899" s="80"/>
      <c r="AB899" s="80"/>
      <c r="AC899" s="737">
        <f ca="1">MAX(0%,IF(U899&lt;&gt;0,MIN((W899-U899)/U899/'Underwriting Risk'!$E$27,'Premium and Reserve Risk'!$AC$866),'Premium and Reserve Risk'!$AC$866))</f>
        <v>0.2</v>
      </c>
      <c r="AD899" s="81"/>
      <c r="AE899" s="97"/>
      <c r="AF899" s="97"/>
      <c r="AG899" s="97"/>
      <c r="AH899" s="97"/>
    </row>
    <row r="900" spans="1:34" ht="13.5" customHeight="1" x14ac:dyDescent="0.25">
      <c r="A900" s="97"/>
      <c r="B900" s="257">
        <v>33</v>
      </c>
      <c r="C900" s="652"/>
      <c r="D900" s="80"/>
      <c r="E900" s="80"/>
      <c r="F900" s="258">
        <f t="shared" ca="1" si="29"/>
        <v>0</v>
      </c>
      <c r="G900" s="624"/>
      <c r="H900" s="85"/>
      <c r="I900" s="624"/>
      <c r="J900" s="85"/>
      <c r="K900" s="624"/>
      <c r="L900" s="85"/>
      <c r="M900" s="624"/>
      <c r="N900" s="85"/>
      <c r="O900" s="624"/>
      <c r="P900" s="85"/>
      <c r="Q900" s="626">
        <f t="shared" si="28"/>
        <v>0</v>
      </c>
      <c r="R900" s="85"/>
      <c r="S900" s="624"/>
      <c r="T900" s="260"/>
      <c r="U900" s="624"/>
      <c r="V900" s="85"/>
      <c r="W900" s="624"/>
      <c r="X900" s="81"/>
      <c r="Y900" s="80"/>
      <c r="Z900" s="737">
        <f ca="1">MAX(0%,IF(Q900&lt;&gt;0,MIN((S900-Q900)/Q900/'Underwriting Risk'!$E$27,'Premium and Reserve Risk'!$Z$866),'Premium and Reserve Risk'!$Z$866))</f>
        <v>0.13</v>
      </c>
      <c r="AA900" s="80"/>
      <c r="AB900" s="80"/>
      <c r="AC900" s="737">
        <f ca="1">MAX(0%,IF(U900&lt;&gt;0,MIN((W900-U900)/U900/'Underwriting Risk'!$E$27,'Premium and Reserve Risk'!$AC$866),'Premium and Reserve Risk'!$AC$866))</f>
        <v>0.2</v>
      </c>
      <c r="AD900" s="81"/>
      <c r="AE900" s="97"/>
      <c r="AF900" s="97"/>
      <c r="AG900" s="97"/>
      <c r="AH900" s="97"/>
    </row>
    <row r="901" spans="1:34" ht="13.5" customHeight="1" x14ac:dyDescent="0.25">
      <c r="A901" s="97"/>
      <c r="B901" s="257">
        <v>34</v>
      </c>
      <c r="C901" s="652"/>
      <c r="D901" s="80"/>
      <c r="E901" s="80"/>
      <c r="F901" s="258">
        <f t="shared" ca="1" si="29"/>
        <v>0</v>
      </c>
      <c r="G901" s="624"/>
      <c r="H901" s="85"/>
      <c r="I901" s="624"/>
      <c r="J901" s="85"/>
      <c r="K901" s="624"/>
      <c r="L901" s="85"/>
      <c r="M901" s="624"/>
      <c r="N901" s="85"/>
      <c r="O901" s="624"/>
      <c r="P901" s="85"/>
      <c r="Q901" s="626">
        <f t="shared" si="28"/>
        <v>0</v>
      </c>
      <c r="R901" s="85"/>
      <c r="S901" s="624"/>
      <c r="T901" s="260"/>
      <c r="U901" s="624"/>
      <c r="V901" s="85"/>
      <c r="W901" s="624"/>
      <c r="X901" s="81"/>
      <c r="Y901" s="80"/>
      <c r="Z901" s="737">
        <f ca="1">MAX(0%,IF(Q901&lt;&gt;0,MIN((S901-Q901)/Q901/'Underwriting Risk'!$E$27,'Premium and Reserve Risk'!$Z$866),'Premium and Reserve Risk'!$Z$866))</f>
        <v>0.13</v>
      </c>
      <c r="AA901" s="80"/>
      <c r="AB901" s="80"/>
      <c r="AC901" s="737">
        <f ca="1">MAX(0%,IF(U901&lt;&gt;0,MIN((W901-U901)/U901/'Underwriting Risk'!$E$27,'Premium and Reserve Risk'!$AC$866),'Premium and Reserve Risk'!$AC$866))</f>
        <v>0.2</v>
      </c>
      <c r="AD901" s="81"/>
      <c r="AE901" s="97"/>
      <c r="AF901" s="97"/>
      <c r="AG901" s="97"/>
      <c r="AH901" s="97"/>
    </row>
    <row r="902" spans="1:34" ht="13.5" customHeight="1" x14ac:dyDescent="0.25">
      <c r="A902" s="97"/>
      <c r="B902" s="257">
        <v>35</v>
      </c>
      <c r="C902" s="652"/>
      <c r="D902" s="80"/>
      <c r="E902" s="80"/>
      <c r="F902" s="258">
        <f t="shared" ca="1" si="29"/>
        <v>0</v>
      </c>
      <c r="G902" s="624"/>
      <c r="H902" s="85"/>
      <c r="I902" s="624"/>
      <c r="J902" s="85"/>
      <c r="K902" s="624"/>
      <c r="L902" s="85"/>
      <c r="M902" s="624"/>
      <c r="N902" s="85"/>
      <c r="O902" s="624"/>
      <c r="P902" s="85"/>
      <c r="Q902" s="626">
        <f t="shared" si="28"/>
        <v>0</v>
      </c>
      <c r="R902" s="85"/>
      <c r="S902" s="624"/>
      <c r="T902" s="260"/>
      <c r="U902" s="624"/>
      <c r="V902" s="85"/>
      <c r="W902" s="624"/>
      <c r="X902" s="81"/>
      <c r="Y902" s="80"/>
      <c r="Z902" s="737">
        <f ca="1">MAX(0%,IF(Q902&lt;&gt;0,MIN((S902-Q902)/Q902/'Underwriting Risk'!$E$27,'Premium and Reserve Risk'!$Z$866),'Premium and Reserve Risk'!$Z$866))</f>
        <v>0.13</v>
      </c>
      <c r="AA902" s="80"/>
      <c r="AB902" s="80"/>
      <c r="AC902" s="737">
        <f ca="1">MAX(0%,IF(U902&lt;&gt;0,MIN((W902-U902)/U902/'Underwriting Risk'!$E$27,'Premium and Reserve Risk'!$AC$866),'Premium and Reserve Risk'!$AC$866))</f>
        <v>0.2</v>
      </c>
      <c r="AD902" s="81"/>
      <c r="AE902" s="97"/>
      <c r="AF902" s="97"/>
      <c r="AG902" s="97"/>
      <c r="AH902" s="97"/>
    </row>
    <row r="903" spans="1:34" ht="13.5" customHeight="1" x14ac:dyDescent="0.25">
      <c r="A903" s="97"/>
      <c r="B903" s="257">
        <v>36</v>
      </c>
      <c r="C903" s="652"/>
      <c r="D903" s="80"/>
      <c r="E903" s="80"/>
      <c r="F903" s="258">
        <f t="shared" ca="1" si="29"/>
        <v>0</v>
      </c>
      <c r="G903" s="624"/>
      <c r="H903" s="85"/>
      <c r="I903" s="624"/>
      <c r="J903" s="85"/>
      <c r="K903" s="624"/>
      <c r="L903" s="85"/>
      <c r="M903" s="624"/>
      <c r="N903" s="85"/>
      <c r="O903" s="624"/>
      <c r="P903" s="85"/>
      <c r="Q903" s="626">
        <f t="shared" si="28"/>
        <v>0</v>
      </c>
      <c r="R903" s="85"/>
      <c r="S903" s="624"/>
      <c r="T903" s="260"/>
      <c r="U903" s="624"/>
      <c r="V903" s="85"/>
      <c r="W903" s="624"/>
      <c r="X903" s="81"/>
      <c r="Y903" s="80"/>
      <c r="Z903" s="737">
        <f ca="1">MAX(0%,IF(Q903&lt;&gt;0,MIN((S903-Q903)/Q903/'Underwriting Risk'!$E$27,'Premium and Reserve Risk'!$Z$866),'Premium and Reserve Risk'!$Z$866))</f>
        <v>0.13</v>
      </c>
      <c r="AA903" s="80"/>
      <c r="AB903" s="80"/>
      <c r="AC903" s="737">
        <f ca="1">MAX(0%,IF(U903&lt;&gt;0,MIN((W903-U903)/U903/'Underwriting Risk'!$E$27,'Premium and Reserve Risk'!$AC$866),'Premium and Reserve Risk'!$AC$866))</f>
        <v>0.2</v>
      </c>
      <c r="AD903" s="81"/>
      <c r="AE903" s="97"/>
      <c r="AF903" s="97"/>
      <c r="AG903" s="97"/>
      <c r="AH903" s="97"/>
    </row>
    <row r="904" spans="1:34" ht="13.5" customHeight="1" x14ac:dyDescent="0.25">
      <c r="A904" s="97"/>
      <c r="B904" s="257">
        <v>37</v>
      </c>
      <c r="C904" s="652"/>
      <c r="D904" s="80"/>
      <c r="E904" s="80"/>
      <c r="F904" s="258">
        <f t="shared" ca="1" si="29"/>
        <v>0</v>
      </c>
      <c r="G904" s="624"/>
      <c r="H904" s="85"/>
      <c r="I904" s="624"/>
      <c r="J904" s="85"/>
      <c r="K904" s="624"/>
      <c r="L904" s="85"/>
      <c r="M904" s="624"/>
      <c r="N904" s="85"/>
      <c r="O904" s="624"/>
      <c r="P904" s="85"/>
      <c r="Q904" s="626">
        <f t="shared" si="28"/>
        <v>0</v>
      </c>
      <c r="R904" s="85"/>
      <c r="S904" s="624"/>
      <c r="T904" s="260"/>
      <c r="U904" s="624"/>
      <c r="V904" s="85"/>
      <c r="W904" s="624"/>
      <c r="X904" s="81"/>
      <c r="Y904" s="80"/>
      <c r="Z904" s="737">
        <f ca="1">MAX(0%,IF(Q904&lt;&gt;0,MIN((S904-Q904)/Q904/'Underwriting Risk'!$E$27,'Premium and Reserve Risk'!$Z$866),'Premium and Reserve Risk'!$Z$866))</f>
        <v>0.13</v>
      </c>
      <c r="AA904" s="80"/>
      <c r="AB904" s="80"/>
      <c r="AC904" s="737">
        <f ca="1">MAX(0%,IF(U904&lt;&gt;0,MIN((W904-U904)/U904/'Underwriting Risk'!$E$27,'Premium and Reserve Risk'!$AC$866),'Premium and Reserve Risk'!$AC$866))</f>
        <v>0.2</v>
      </c>
      <c r="AD904" s="81"/>
      <c r="AE904" s="97"/>
      <c r="AF904" s="97"/>
      <c r="AG904" s="97"/>
      <c r="AH904" s="97"/>
    </row>
    <row r="905" spans="1:34" ht="13.5" customHeight="1" x14ac:dyDescent="0.25">
      <c r="A905" s="97"/>
      <c r="B905" s="257">
        <v>38</v>
      </c>
      <c r="C905" s="652"/>
      <c r="D905" s="80"/>
      <c r="E905" s="80"/>
      <c r="F905" s="258">
        <f t="shared" ca="1" si="29"/>
        <v>0</v>
      </c>
      <c r="G905" s="624"/>
      <c r="H905" s="85"/>
      <c r="I905" s="624"/>
      <c r="J905" s="85"/>
      <c r="K905" s="624"/>
      <c r="L905" s="85"/>
      <c r="M905" s="624"/>
      <c r="N905" s="85"/>
      <c r="O905" s="624"/>
      <c r="P905" s="85"/>
      <c r="Q905" s="626">
        <f t="shared" si="28"/>
        <v>0</v>
      </c>
      <c r="R905" s="85"/>
      <c r="S905" s="624"/>
      <c r="T905" s="260"/>
      <c r="U905" s="624"/>
      <c r="V905" s="85"/>
      <c r="W905" s="624"/>
      <c r="X905" s="81"/>
      <c r="Y905" s="80"/>
      <c r="Z905" s="737">
        <f ca="1">MAX(0%,IF(Q905&lt;&gt;0,MIN((S905-Q905)/Q905/'Underwriting Risk'!$E$27,'Premium and Reserve Risk'!$Z$866),'Premium and Reserve Risk'!$Z$866))</f>
        <v>0.13</v>
      </c>
      <c r="AA905" s="80"/>
      <c r="AB905" s="80"/>
      <c r="AC905" s="737">
        <f ca="1">MAX(0%,IF(U905&lt;&gt;0,MIN((W905-U905)/U905/'Underwriting Risk'!$E$27,'Premium and Reserve Risk'!$AC$866),'Premium and Reserve Risk'!$AC$866))</f>
        <v>0.2</v>
      </c>
      <c r="AD905" s="81"/>
      <c r="AE905" s="97"/>
      <c r="AF905" s="97"/>
      <c r="AG905" s="97"/>
      <c r="AH905" s="97"/>
    </row>
    <row r="906" spans="1:34" ht="13.5" customHeight="1" x14ac:dyDescent="0.25">
      <c r="A906" s="97"/>
      <c r="B906" s="257">
        <v>39</v>
      </c>
      <c r="C906" s="652"/>
      <c r="D906" s="80"/>
      <c r="E906" s="80"/>
      <c r="F906" s="258">
        <f t="shared" ca="1" si="29"/>
        <v>0</v>
      </c>
      <c r="G906" s="624"/>
      <c r="H906" s="85"/>
      <c r="I906" s="624"/>
      <c r="J906" s="85"/>
      <c r="K906" s="624"/>
      <c r="L906" s="85"/>
      <c r="M906" s="624"/>
      <c r="N906" s="85"/>
      <c r="O906" s="624"/>
      <c r="P906" s="85"/>
      <c r="Q906" s="626">
        <f t="shared" si="28"/>
        <v>0</v>
      </c>
      <c r="R906" s="85"/>
      <c r="S906" s="624"/>
      <c r="T906" s="260"/>
      <c r="U906" s="624"/>
      <c r="V906" s="85"/>
      <c r="W906" s="624"/>
      <c r="X906" s="81"/>
      <c r="Y906" s="80"/>
      <c r="Z906" s="737">
        <f ca="1">MAX(0%,IF(Q906&lt;&gt;0,MIN((S906-Q906)/Q906/'Underwriting Risk'!$E$27,'Premium and Reserve Risk'!$Z$866),'Premium and Reserve Risk'!$Z$866))</f>
        <v>0.13</v>
      </c>
      <c r="AA906" s="80"/>
      <c r="AB906" s="80"/>
      <c r="AC906" s="737">
        <f ca="1">MAX(0%,IF(U906&lt;&gt;0,MIN((W906-U906)/U906/'Underwriting Risk'!$E$27,'Premium and Reserve Risk'!$AC$866),'Premium and Reserve Risk'!$AC$866))</f>
        <v>0.2</v>
      </c>
      <c r="AD906" s="81"/>
      <c r="AE906" s="97"/>
      <c r="AF906" s="97"/>
      <c r="AG906" s="97"/>
      <c r="AH906" s="97"/>
    </row>
    <row r="907" spans="1:34" ht="13.5" customHeight="1" x14ac:dyDescent="0.25">
      <c r="A907" s="97"/>
      <c r="B907" s="257">
        <v>40</v>
      </c>
      <c r="C907" s="652"/>
      <c r="D907" s="80"/>
      <c r="E907" s="80"/>
      <c r="F907" s="258">
        <f t="shared" ca="1" si="29"/>
        <v>0</v>
      </c>
      <c r="G907" s="624"/>
      <c r="H907" s="85"/>
      <c r="I907" s="624"/>
      <c r="J907" s="85"/>
      <c r="K907" s="624"/>
      <c r="L907" s="85"/>
      <c r="M907" s="624"/>
      <c r="N907" s="85"/>
      <c r="O907" s="624"/>
      <c r="P907" s="85"/>
      <c r="Q907" s="626">
        <f t="shared" si="28"/>
        <v>0</v>
      </c>
      <c r="R907" s="85"/>
      <c r="S907" s="624"/>
      <c r="T907" s="260"/>
      <c r="U907" s="624"/>
      <c r="V907" s="85"/>
      <c r="W907" s="624"/>
      <c r="X907" s="81"/>
      <c r="Y907" s="80"/>
      <c r="Z907" s="737">
        <f ca="1">MAX(0%,IF(Q907&lt;&gt;0,MIN((S907-Q907)/Q907/'Underwriting Risk'!$E$27,'Premium and Reserve Risk'!$Z$866),'Premium and Reserve Risk'!$Z$866))</f>
        <v>0.13</v>
      </c>
      <c r="AA907" s="80"/>
      <c r="AB907" s="80"/>
      <c r="AC907" s="737">
        <f ca="1">MAX(0%,IF(U907&lt;&gt;0,MIN((W907-U907)/U907/'Underwriting Risk'!$E$27,'Premium and Reserve Risk'!$AC$866),'Premium and Reserve Risk'!$AC$866))</f>
        <v>0.2</v>
      </c>
      <c r="AD907" s="81"/>
      <c r="AE907" s="97"/>
      <c r="AF907" s="97"/>
      <c r="AG907" s="97"/>
      <c r="AH907" s="97"/>
    </row>
    <row r="908" spans="1:34" ht="13.5" customHeight="1" x14ac:dyDescent="0.25">
      <c r="A908" s="97"/>
      <c r="B908" s="257">
        <v>41</v>
      </c>
      <c r="C908" s="652"/>
      <c r="D908" s="80"/>
      <c r="E908" s="80"/>
      <c r="F908" s="258">
        <f t="shared" ca="1" si="29"/>
        <v>0</v>
      </c>
      <c r="G908" s="624"/>
      <c r="H908" s="85"/>
      <c r="I908" s="624"/>
      <c r="J908" s="85"/>
      <c r="K908" s="624"/>
      <c r="L908" s="85"/>
      <c r="M908" s="624"/>
      <c r="N908" s="85"/>
      <c r="O908" s="624"/>
      <c r="P908" s="85"/>
      <c r="Q908" s="626">
        <f t="shared" si="28"/>
        <v>0</v>
      </c>
      <c r="R908" s="85"/>
      <c r="S908" s="624"/>
      <c r="T908" s="260"/>
      <c r="U908" s="624"/>
      <c r="V908" s="85"/>
      <c r="W908" s="624"/>
      <c r="X908" s="81"/>
      <c r="Y908" s="80"/>
      <c r="Z908" s="737">
        <f ca="1">MAX(0%,IF(Q908&lt;&gt;0,MIN((S908-Q908)/Q908/'Underwriting Risk'!$E$27,'Premium and Reserve Risk'!$Z$866),'Premium and Reserve Risk'!$Z$866))</f>
        <v>0.13</v>
      </c>
      <c r="AA908" s="80"/>
      <c r="AB908" s="80"/>
      <c r="AC908" s="737">
        <f ca="1">MAX(0%,IF(U908&lt;&gt;0,MIN((W908-U908)/U908/'Underwriting Risk'!$E$27,'Premium and Reserve Risk'!$AC$866),'Premium and Reserve Risk'!$AC$866))</f>
        <v>0.2</v>
      </c>
      <c r="AD908" s="81"/>
      <c r="AE908" s="97"/>
      <c r="AF908" s="97"/>
      <c r="AG908" s="97"/>
      <c r="AH908" s="97"/>
    </row>
    <row r="909" spans="1:34" ht="13.5" customHeight="1" x14ac:dyDescent="0.25">
      <c r="A909" s="97"/>
      <c r="B909" s="257">
        <v>42</v>
      </c>
      <c r="C909" s="652"/>
      <c r="D909" s="80"/>
      <c r="E909" s="80"/>
      <c r="F909" s="258">
        <f t="shared" ca="1" si="29"/>
        <v>0</v>
      </c>
      <c r="G909" s="624"/>
      <c r="H909" s="85"/>
      <c r="I909" s="624"/>
      <c r="J909" s="85"/>
      <c r="K909" s="624"/>
      <c r="L909" s="85"/>
      <c r="M909" s="624"/>
      <c r="N909" s="85"/>
      <c r="O909" s="624"/>
      <c r="P909" s="85"/>
      <c r="Q909" s="626">
        <f t="shared" si="28"/>
        <v>0</v>
      </c>
      <c r="R909" s="85"/>
      <c r="S909" s="624"/>
      <c r="T909" s="260"/>
      <c r="U909" s="624"/>
      <c r="V909" s="85"/>
      <c r="W909" s="624"/>
      <c r="X909" s="81"/>
      <c r="Y909" s="80"/>
      <c r="Z909" s="737">
        <f ca="1">MAX(0%,IF(Q909&lt;&gt;0,MIN((S909-Q909)/Q909/'Underwriting Risk'!$E$27,'Premium and Reserve Risk'!$Z$866),'Premium and Reserve Risk'!$Z$866))</f>
        <v>0.13</v>
      </c>
      <c r="AA909" s="80"/>
      <c r="AB909" s="80"/>
      <c r="AC909" s="737">
        <f ca="1">MAX(0%,IF(U909&lt;&gt;0,MIN((W909-U909)/U909/'Underwriting Risk'!$E$27,'Premium and Reserve Risk'!$AC$866),'Premium and Reserve Risk'!$AC$866))</f>
        <v>0.2</v>
      </c>
      <c r="AD909" s="81"/>
      <c r="AE909" s="97"/>
      <c r="AF909" s="97"/>
      <c r="AG909" s="97"/>
      <c r="AH909" s="97"/>
    </row>
    <row r="910" spans="1:34" ht="13.5" customHeight="1" x14ac:dyDescent="0.25">
      <c r="A910" s="97"/>
      <c r="B910" s="257">
        <v>43</v>
      </c>
      <c r="C910" s="652"/>
      <c r="D910" s="80"/>
      <c r="E910" s="80"/>
      <c r="F910" s="258">
        <f t="shared" ca="1" si="29"/>
        <v>0</v>
      </c>
      <c r="G910" s="624"/>
      <c r="H910" s="85"/>
      <c r="I910" s="624"/>
      <c r="J910" s="85"/>
      <c r="K910" s="624"/>
      <c r="L910" s="85"/>
      <c r="M910" s="624"/>
      <c r="N910" s="85"/>
      <c r="O910" s="624"/>
      <c r="P910" s="85"/>
      <c r="Q910" s="626">
        <f t="shared" si="28"/>
        <v>0</v>
      </c>
      <c r="R910" s="85"/>
      <c r="S910" s="624"/>
      <c r="T910" s="260"/>
      <c r="U910" s="624"/>
      <c r="V910" s="85"/>
      <c r="W910" s="624"/>
      <c r="X910" s="81"/>
      <c r="Y910" s="80"/>
      <c r="Z910" s="737">
        <f ca="1">MAX(0%,IF(Q910&lt;&gt;0,MIN((S910-Q910)/Q910/'Underwriting Risk'!$E$27,'Premium and Reserve Risk'!$Z$866),'Premium and Reserve Risk'!$Z$866))</f>
        <v>0.13</v>
      </c>
      <c r="AA910" s="80"/>
      <c r="AB910" s="80"/>
      <c r="AC910" s="737">
        <f ca="1">MAX(0%,IF(U910&lt;&gt;0,MIN((W910-U910)/U910/'Underwriting Risk'!$E$27,'Premium and Reserve Risk'!$AC$866),'Premium and Reserve Risk'!$AC$866))</f>
        <v>0.2</v>
      </c>
      <c r="AD910" s="81"/>
      <c r="AE910" s="97"/>
      <c r="AF910" s="97"/>
      <c r="AG910" s="97"/>
      <c r="AH910" s="97"/>
    </row>
    <row r="911" spans="1:34" ht="13.5" customHeight="1" x14ac:dyDescent="0.25">
      <c r="A911" s="97"/>
      <c r="B911" s="257">
        <v>44</v>
      </c>
      <c r="C911" s="652"/>
      <c r="D911" s="80"/>
      <c r="E911" s="80"/>
      <c r="F911" s="258">
        <f t="shared" ca="1" si="29"/>
        <v>0</v>
      </c>
      <c r="G911" s="624"/>
      <c r="H911" s="85"/>
      <c r="I911" s="624"/>
      <c r="J911" s="85"/>
      <c r="K911" s="624"/>
      <c r="L911" s="85"/>
      <c r="M911" s="624"/>
      <c r="N911" s="85"/>
      <c r="O911" s="624"/>
      <c r="P911" s="85"/>
      <c r="Q911" s="626">
        <f t="shared" si="28"/>
        <v>0</v>
      </c>
      <c r="R911" s="85"/>
      <c r="S911" s="624"/>
      <c r="T911" s="260"/>
      <c r="U911" s="624"/>
      <c r="V911" s="85"/>
      <c r="W911" s="624"/>
      <c r="X911" s="81"/>
      <c r="Y911" s="80"/>
      <c r="Z911" s="737">
        <f ca="1">MAX(0%,IF(Q911&lt;&gt;0,MIN((S911-Q911)/Q911/'Underwriting Risk'!$E$27,'Premium and Reserve Risk'!$Z$866),'Premium and Reserve Risk'!$Z$866))</f>
        <v>0.13</v>
      </c>
      <c r="AA911" s="80"/>
      <c r="AB911" s="80"/>
      <c r="AC911" s="737">
        <f ca="1">MAX(0%,IF(U911&lt;&gt;0,MIN((W911-U911)/U911/'Underwriting Risk'!$E$27,'Premium and Reserve Risk'!$AC$866),'Premium and Reserve Risk'!$AC$866))</f>
        <v>0.2</v>
      </c>
      <c r="AD911" s="81"/>
      <c r="AE911" s="97"/>
      <c r="AF911" s="97"/>
      <c r="AG911" s="97"/>
      <c r="AH911" s="97"/>
    </row>
    <row r="912" spans="1:34" ht="13.5" customHeight="1" x14ac:dyDescent="0.25">
      <c r="A912" s="97"/>
      <c r="B912" s="257">
        <v>45</v>
      </c>
      <c r="C912" s="652"/>
      <c r="D912" s="80"/>
      <c r="E912" s="80"/>
      <c r="F912" s="258">
        <f t="shared" ca="1" si="29"/>
        <v>0</v>
      </c>
      <c r="G912" s="624"/>
      <c r="H912" s="85"/>
      <c r="I912" s="624"/>
      <c r="J912" s="85"/>
      <c r="K912" s="624"/>
      <c r="L912" s="85"/>
      <c r="M912" s="624"/>
      <c r="N912" s="85"/>
      <c r="O912" s="624"/>
      <c r="P912" s="85"/>
      <c r="Q912" s="626">
        <f t="shared" si="28"/>
        <v>0</v>
      </c>
      <c r="R912" s="85"/>
      <c r="S912" s="624"/>
      <c r="T912" s="260"/>
      <c r="U912" s="624"/>
      <c r="V912" s="85"/>
      <c r="W912" s="624"/>
      <c r="X912" s="81"/>
      <c r="Y912" s="80"/>
      <c r="Z912" s="737">
        <f ca="1">MAX(0%,IF(Q912&lt;&gt;0,MIN((S912-Q912)/Q912/'Underwriting Risk'!$E$27,'Premium and Reserve Risk'!$Z$866),'Premium and Reserve Risk'!$Z$866))</f>
        <v>0.13</v>
      </c>
      <c r="AA912" s="80"/>
      <c r="AB912" s="80"/>
      <c r="AC912" s="737">
        <f ca="1">MAX(0%,IF(U912&lt;&gt;0,MIN((W912-U912)/U912/'Underwriting Risk'!$E$27,'Premium and Reserve Risk'!$AC$866),'Premium and Reserve Risk'!$AC$866))</f>
        <v>0.2</v>
      </c>
      <c r="AD912" s="81"/>
      <c r="AE912" s="97"/>
      <c r="AF912" s="97"/>
      <c r="AG912" s="97"/>
      <c r="AH912" s="97"/>
    </row>
    <row r="913" spans="1:34" ht="13.5" customHeight="1" x14ac:dyDescent="0.25">
      <c r="A913" s="97"/>
      <c r="B913" s="257">
        <v>46</v>
      </c>
      <c r="C913" s="652"/>
      <c r="D913" s="80"/>
      <c r="E913" s="80"/>
      <c r="F913" s="258">
        <f t="shared" ca="1" si="29"/>
        <v>0</v>
      </c>
      <c r="G913" s="624"/>
      <c r="H913" s="85"/>
      <c r="I913" s="624"/>
      <c r="J913" s="85"/>
      <c r="K913" s="624"/>
      <c r="L913" s="85"/>
      <c r="M913" s="624"/>
      <c r="N913" s="85"/>
      <c r="O913" s="624"/>
      <c r="P913" s="85"/>
      <c r="Q913" s="626">
        <f t="shared" si="28"/>
        <v>0</v>
      </c>
      <c r="R913" s="85"/>
      <c r="S913" s="624"/>
      <c r="T913" s="260"/>
      <c r="U913" s="624"/>
      <c r="V913" s="85"/>
      <c r="W913" s="624"/>
      <c r="X913" s="81"/>
      <c r="Y913" s="80"/>
      <c r="Z913" s="737">
        <f ca="1">MAX(0%,IF(Q913&lt;&gt;0,MIN((S913-Q913)/Q913/'Underwriting Risk'!$E$27,'Premium and Reserve Risk'!$Z$866),'Premium and Reserve Risk'!$Z$866))</f>
        <v>0.13</v>
      </c>
      <c r="AA913" s="80"/>
      <c r="AB913" s="80"/>
      <c r="AC913" s="737">
        <f ca="1">MAX(0%,IF(U913&lt;&gt;0,MIN((W913-U913)/U913/'Underwriting Risk'!$E$27,'Premium and Reserve Risk'!$AC$866),'Premium and Reserve Risk'!$AC$866))</f>
        <v>0.2</v>
      </c>
      <c r="AD913" s="81"/>
      <c r="AE913" s="97"/>
      <c r="AF913" s="97"/>
      <c r="AG913" s="97"/>
      <c r="AH913" s="97"/>
    </row>
    <row r="914" spans="1:34" ht="13.5" customHeight="1" x14ac:dyDescent="0.25">
      <c r="A914" s="97"/>
      <c r="B914" s="257">
        <v>47</v>
      </c>
      <c r="C914" s="652"/>
      <c r="D914" s="80"/>
      <c r="E914" s="80"/>
      <c r="F914" s="258">
        <f t="shared" ca="1" si="29"/>
        <v>0</v>
      </c>
      <c r="G914" s="624"/>
      <c r="H914" s="85"/>
      <c r="I914" s="624"/>
      <c r="J914" s="85"/>
      <c r="K914" s="624"/>
      <c r="L914" s="85"/>
      <c r="M914" s="624"/>
      <c r="N914" s="85"/>
      <c r="O914" s="624"/>
      <c r="P914" s="85"/>
      <c r="Q914" s="626">
        <f t="shared" si="28"/>
        <v>0</v>
      </c>
      <c r="R914" s="85"/>
      <c r="S914" s="624"/>
      <c r="T914" s="260"/>
      <c r="U914" s="624"/>
      <c r="V914" s="85"/>
      <c r="W914" s="624"/>
      <c r="X914" s="81"/>
      <c r="Y914" s="80"/>
      <c r="Z914" s="737">
        <f ca="1">MAX(0%,IF(Q914&lt;&gt;0,MIN((S914-Q914)/Q914/'Underwriting Risk'!$E$27,'Premium and Reserve Risk'!$Z$866),'Premium and Reserve Risk'!$Z$866))</f>
        <v>0.13</v>
      </c>
      <c r="AA914" s="80"/>
      <c r="AB914" s="80"/>
      <c r="AC914" s="737">
        <f ca="1">MAX(0%,IF(U914&lt;&gt;0,MIN((W914-U914)/U914/'Underwriting Risk'!$E$27,'Premium and Reserve Risk'!$AC$866),'Premium and Reserve Risk'!$AC$866))</f>
        <v>0.2</v>
      </c>
      <c r="AD914" s="81"/>
      <c r="AE914" s="97"/>
      <c r="AF914" s="97"/>
      <c r="AG914" s="97"/>
      <c r="AH914" s="97"/>
    </row>
    <row r="915" spans="1:34" ht="13.5" customHeight="1" x14ac:dyDescent="0.25">
      <c r="A915" s="97"/>
      <c r="B915" s="257">
        <v>48</v>
      </c>
      <c r="C915" s="652"/>
      <c r="D915" s="80"/>
      <c r="E915" s="80"/>
      <c r="F915" s="258">
        <f t="shared" ca="1" si="29"/>
        <v>0</v>
      </c>
      <c r="G915" s="624"/>
      <c r="H915" s="85"/>
      <c r="I915" s="624"/>
      <c r="J915" s="85"/>
      <c r="K915" s="624"/>
      <c r="L915" s="85"/>
      <c r="M915" s="624"/>
      <c r="N915" s="85"/>
      <c r="O915" s="624"/>
      <c r="P915" s="85"/>
      <c r="Q915" s="626">
        <f t="shared" si="28"/>
        <v>0</v>
      </c>
      <c r="R915" s="85"/>
      <c r="S915" s="624"/>
      <c r="T915" s="260"/>
      <c r="U915" s="624"/>
      <c r="V915" s="85"/>
      <c r="W915" s="624"/>
      <c r="X915" s="81"/>
      <c r="Y915" s="80"/>
      <c r="Z915" s="737">
        <f ca="1">MAX(0%,IF(Q915&lt;&gt;0,MIN((S915-Q915)/Q915/'Underwriting Risk'!$E$27,'Premium and Reserve Risk'!$Z$866),'Premium and Reserve Risk'!$Z$866))</f>
        <v>0.13</v>
      </c>
      <c r="AA915" s="80"/>
      <c r="AB915" s="80"/>
      <c r="AC915" s="737">
        <f ca="1">MAX(0%,IF(U915&lt;&gt;0,MIN((W915-U915)/U915/'Underwriting Risk'!$E$27,'Premium and Reserve Risk'!$AC$866),'Premium and Reserve Risk'!$AC$866))</f>
        <v>0.2</v>
      </c>
      <c r="AD915" s="81"/>
      <c r="AE915" s="97"/>
      <c r="AF915" s="97"/>
      <c r="AG915" s="97"/>
      <c r="AH915" s="97"/>
    </row>
    <row r="916" spans="1:34" ht="13.5" customHeight="1" x14ac:dyDescent="0.25">
      <c r="A916" s="97"/>
      <c r="B916" s="257">
        <v>49</v>
      </c>
      <c r="C916" s="652"/>
      <c r="D916" s="80"/>
      <c r="E916" s="80"/>
      <c r="F916" s="258">
        <f t="shared" ca="1" si="29"/>
        <v>0</v>
      </c>
      <c r="G916" s="624"/>
      <c r="H916" s="85"/>
      <c r="I916" s="624"/>
      <c r="J916" s="85"/>
      <c r="K916" s="624"/>
      <c r="L916" s="85"/>
      <c r="M916" s="624"/>
      <c r="N916" s="85"/>
      <c r="O916" s="624"/>
      <c r="P916" s="85"/>
      <c r="Q916" s="626">
        <f t="shared" si="28"/>
        <v>0</v>
      </c>
      <c r="R916" s="85"/>
      <c r="S916" s="624"/>
      <c r="T916" s="260"/>
      <c r="U916" s="624"/>
      <c r="V916" s="85"/>
      <c r="W916" s="624"/>
      <c r="X916" s="81"/>
      <c r="Y916" s="80"/>
      <c r="Z916" s="737">
        <f ca="1">MAX(0%,IF(Q916&lt;&gt;0,MIN((S916-Q916)/Q916/'Underwriting Risk'!$E$27,'Premium and Reserve Risk'!$Z$866),'Premium and Reserve Risk'!$Z$866))</f>
        <v>0.13</v>
      </c>
      <c r="AA916" s="80"/>
      <c r="AB916" s="80"/>
      <c r="AC916" s="737">
        <f ca="1">MAX(0%,IF(U916&lt;&gt;0,MIN((W916-U916)/U916/'Underwriting Risk'!$E$27,'Premium and Reserve Risk'!$AC$866),'Premium and Reserve Risk'!$AC$866))</f>
        <v>0.2</v>
      </c>
      <c r="AD916" s="81"/>
      <c r="AE916" s="97"/>
      <c r="AF916" s="97"/>
      <c r="AG916" s="97"/>
      <c r="AH916" s="97"/>
    </row>
    <row r="917" spans="1:34" ht="13.5" customHeight="1" x14ac:dyDescent="0.25">
      <c r="A917" s="97"/>
      <c r="B917" s="257">
        <v>50</v>
      </c>
      <c r="C917" s="652"/>
      <c r="D917" s="80"/>
      <c r="E917" s="80"/>
      <c r="F917" s="258">
        <f t="shared" ca="1" si="29"/>
        <v>0</v>
      </c>
      <c r="G917" s="624"/>
      <c r="H917" s="85"/>
      <c r="I917" s="624"/>
      <c r="J917" s="85"/>
      <c r="K917" s="624"/>
      <c r="L917" s="85"/>
      <c r="M917" s="624"/>
      <c r="N917" s="85"/>
      <c r="O917" s="624"/>
      <c r="P917" s="85"/>
      <c r="Q917" s="626">
        <f t="shared" si="28"/>
        <v>0</v>
      </c>
      <c r="R917" s="85"/>
      <c r="S917" s="624"/>
      <c r="T917" s="260"/>
      <c r="U917" s="624"/>
      <c r="V917" s="85"/>
      <c r="W917" s="624"/>
      <c r="X917" s="81"/>
      <c r="Y917" s="80"/>
      <c r="Z917" s="737">
        <f ca="1">MAX(0%,IF(Q917&lt;&gt;0,MIN((S917-Q917)/Q917/'Underwriting Risk'!$E$27,'Premium and Reserve Risk'!$Z$866),'Premium and Reserve Risk'!$Z$866))</f>
        <v>0.13</v>
      </c>
      <c r="AA917" s="80"/>
      <c r="AB917" s="80"/>
      <c r="AC917" s="737">
        <f ca="1">MAX(0%,IF(U917&lt;&gt;0,MIN((W917-U917)/U917/'Underwriting Risk'!$E$27,'Premium and Reserve Risk'!$AC$866),'Premium and Reserve Risk'!$AC$866))</f>
        <v>0.2</v>
      </c>
      <c r="AD917" s="81"/>
      <c r="AE917" s="97"/>
      <c r="AF917" s="97"/>
      <c r="AG917" s="97"/>
      <c r="AH917" s="97"/>
    </row>
    <row r="918" spans="1:34" ht="13.5" customHeight="1" x14ac:dyDescent="0.25">
      <c r="A918" s="97"/>
      <c r="B918" s="257">
        <v>51</v>
      </c>
      <c r="C918" s="652"/>
      <c r="D918" s="80"/>
      <c r="E918" s="80"/>
      <c r="F918" s="258">
        <f t="shared" ca="1" si="29"/>
        <v>0</v>
      </c>
      <c r="G918" s="624"/>
      <c r="H918" s="85"/>
      <c r="I918" s="624"/>
      <c r="J918" s="85"/>
      <c r="K918" s="624"/>
      <c r="L918" s="85"/>
      <c r="M918" s="624"/>
      <c r="N918" s="85"/>
      <c r="O918" s="624"/>
      <c r="P918" s="85"/>
      <c r="Q918" s="626">
        <f t="shared" si="28"/>
        <v>0</v>
      </c>
      <c r="R918" s="85"/>
      <c r="S918" s="624"/>
      <c r="T918" s="260"/>
      <c r="U918" s="624"/>
      <c r="V918" s="85"/>
      <c r="W918" s="624"/>
      <c r="X918" s="81"/>
      <c r="Y918" s="80"/>
      <c r="Z918" s="737">
        <f ca="1">MAX(0%,IF(Q918&lt;&gt;0,MIN((S918-Q918)/Q918/'Underwriting Risk'!$E$27,'Premium and Reserve Risk'!$Z$866),'Premium and Reserve Risk'!$Z$866))</f>
        <v>0.13</v>
      </c>
      <c r="AA918" s="80"/>
      <c r="AB918" s="80"/>
      <c r="AC918" s="737">
        <f ca="1">MAX(0%,IF(U918&lt;&gt;0,MIN((W918-U918)/U918/'Underwriting Risk'!$E$27,'Premium and Reserve Risk'!$AC$866),'Premium and Reserve Risk'!$AC$866))</f>
        <v>0.2</v>
      </c>
      <c r="AD918" s="81"/>
      <c r="AE918" s="97"/>
      <c r="AF918" s="97"/>
      <c r="AG918" s="97"/>
      <c r="AH918" s="97"/>
    </row>
    <row r="919" spans="1:34" ht="13.5" customHeight="1" x14ac:dyDescent="0.25">
      <c r="A919" s="97"/>
      <c r="B919" s="257">
        <v>52</v>
      </c>
      <c r="C919" s="652"/>
      <c r="D919" s="80"/>
      <c r="E919" s="80"/>
      <c r="F919" s="258">
        <f t="shared" ca="1" si="29"/>
        <v>0</v>
      </c>
      <c r="G919" s="624"/>
      <c r="H919" s="85"/>
      <c r="I919" s="624"/>
      <c r="J919" s="85"/>
      <c r="K919" s="624"/>
      <c r="L919" s="85"/>
      <c r="M919" s="624"/>
      <c r="N919" s="85"/>
      <c r="O919" s="624"/>
      <c r="P919" s="85"/>
      <c r="Q919" s="626">
        <f t="shared" si="28"/>
        <v>0</v>
      </c>
      <c r="R919" s="85"/>
      <c r="S919" s="624"/>
      <c r="T919" s="260"/>
      <c r="U919" s="624"/>
      <c r="V919" s="85"/>
      <c r="W919" s="624"/>
      <c r="X919" s="81"/>
      <c r="Y919" s="80"/>
      <c r="Z919" s="737">
        <f ca="1">MAX(0%,IF(Q919&lt;&gt;0,MIN((S919-Q919)/Q919/'Underwriting Risk'!$E$27,'Premium and Reserve Risk'!$Z$866),'Premium and Reserve Risk'!$Z$866))</f>
        <v>0.13</v>
      </c>
      <c r="AA919" s="80"/>
      <c r="AB919" s="80"/>
      <c r="AC919" s="737">
        <f ca="1">MAX(0%,IF(U919&lt;&gt;0,MIN((W919-U919)/U919/'Underwriting Risk'!$E$27,'Premium and Reserve Risk'!$AC$866),'Premium and Reserve Risk'!$AC$866))</f>
        <v>0.2</v>
      </c>
      <c r="AD919" s="81"/>
      <c r="AE919" s="97"/>
      <c r="AF919" s="97"/>
      <c r="AG919" s="97"/>
      <c r="AH919" s="97"/>
    </row>
    <row r="920" spans="1:34" ht="13.5" customHeight="1" x14ac:dyDescent="0.25">
      <c r="A920" s="97"/>
      <c r="B920" s="257">
        <v>53</v>
      </c>
      <c r="C920" s="652"/>
      <c r="D920" s="80"/>
      <c r="E920" s="80"/>
      <c r="F920" s="258">
        <f t="shared" ca="1" si="29"/>
        <v>0</v>
      </c>
      <c r="G920" s="624"/>
      <c r="H920" s="85"/>
      <c r="I920" s="624"/>
      <c r="J920" s="85"/>
      <c r="K920" s="624"/>
      <c r="L920" s="85"/>
      <c r="M920" s="624"/>
      <c r="N920" s="85"/>
      <c r="O920" s="624"/>
      <c r="P920" s="85"/>
      <c r="Q920" s="626">
        <f t="shared" si="28"/>
        <v>0</v>
      </c>
      <c r="R920" s="85"/>
      <c r="S920" s="624"/>
      <c r="T920" s="260"/>
      <c r="U920" s="624"/>
      <c r="V920" s="85"/>
      <c r="W920" s="624"/>
      <c r="X920" s="81"/>
      <c r="Y920" s="80"/>
      <c r="Z920" s="737">
        <f ca="1">MAX(0%,IF(Q920&lt;&gt;0,MIN((S920-Q920)/Q920/'Underwriting Risk'!$E$27,'Premium and Reserve Risk'!$Z$866),'Premium and Reserve Risk'!$Z$866))</f>
        <v>0.13</v>
      </c>
      <c r="AA920" s="80"/>
      <c r="AB920" s="80"/>
      <c r="AC920" s="737">
        <f ca="1">MAX(0%,IF(U920&lt;&gt;0,MIN((W920-U920)/U920/'Underwriting Risk'!$E$27,'Premium and Reserve Risk'!$AC$866),'Premium and Reserve Risk'!$AC$866))</f>
        <v>0.2</v>
      </c>
      <c r="AD920" s="81"/>
      <c r="AE920" s="97"/>
      <c r="AF920" s="97"/>
      <c r="AG920" s="97"/>
      <c r="AH920" s="97"/>
    </row>
    <row r="921" spans="1:34" ht="13.5" customHeight="1" x14ac:dyDescent="0.25">
      <c r="A921" s="97"/>
      <c r="B921" s="257">
        <v>54</v>
      </c>
      <c r="C921" s="652"/>
      <c r="D921" s="80"/>
      <c r="E921" s="80"/>
      <c r="F921" s="258">
        <f t="shared" ca="1" si="29"/>
        <v>0</v>
      </c>
      <c r="G921" s="624"/>
      <c r="H921" s="85"/>
      <c r="I921" s="624"/>
      <c r="J921" s="85"/>
      <c r="K921" s="624"/>
      <c r="L921" s="85"/>
      <c r="M921" s="624"/>
      <c r="N921" s="85"/>
      <c r="O921" s="624"/>
      <c r="P921" s="85"/>
      <c r="Q921" s="626">
        <f t="shared" si="28"/>
        <v>0</v>
      </c>
      <c r="R921" s="85"/>
      <c r="S921" s="624"/>
      <c r="T921" s="260"/>
      <c r="U921" s="624"/>
      <c r="V921" s="85"/>
      <c r="W921" s="624"/>
      <c r="X921" s="81"/>
      <c r="Y921" s="80"/>
      <c r="Z921" s="737">
        <f ca="1">MAX(0%,IF(Q921&lt;&gt;0,MIN((S921-Q921)/Q921/'Underwriting Risk'!$E$27,'Premium and Reserve Risk'!$Z$866),'Premium and Reserve Risk'!$Z$866))</f>
        <v>0.13</v>
      </c>
      <c r="AA921" s="80"/>
      <c r="AB921" s="80"/>
      <c r="AC921" s="737">
        <f ca="1">MAX(0%,IF(U921&lt;&gt;0,MIN((W921-U921)/U921/'Underwriting Risk'!$E$27,'Premium and Reserve Risk'!$AC$866),'Premium and Reserve Risk'!$AC$866))</f>
        <v>0.2</v>
      </c>
      <c r="AD921" s="81"/>
      <c r="AE921" s="97"/>
      <c r="AF921" s="97"/>
      <c r="AG921" s="97"/>
      <c r="AH921" s="97"/>
    </row>
    <row r="922" spans="1:34" ht="13.5" customHeight="1" x14ac:dyDescent="0.25">
      <c r="A922" s="97"/>
      <c r="B922" s="257">
        <v>55</v>
      </c>
      <c r="C922" s="652"/>
      <c r="D922" s="80"/>
      <c r="E922" s="80"/>
      <c r="F922" s="258">
        <f t="shared" ca="1" si="29"/>
        <v>0</v>
      </c>
      <c r="G922" s="624"/>
      <c r="H922" s="85"/>
      <c r="I922" s="624"/>
      <c r="J922" s="85"/>
      <c r="K922" s="624"/>
      <c r="L922" s="85"/>
      <c r="M922" s="624"/>
      <c r="N922" s="85"/>
      <c r="O922" s="624"/>
      <c r="P922" s="85"/>
      <c r="Q922" s="626">
        <f t="shared" si="28"/>
        <v>0</v>
      </c>
      <c r="R922" s="85"/>
      <c r="S922" s="624"/>
      <c r="T922" s="260"/>
      <c r="U922" s="624"/>
      <c r="V922" s="85"/>
      <c r="W922" s="624"/>
      <c r="X922" s="81"/>
      <c r="Y922" s="80"/>
      <c r="Z922" s="737">
        <f ca="1">MAX(0%,IF(Q922&lt;&gt;0,MIN((S922-Q922)/Q922/'Underwriting Risk'!$E$27,'Premium and Reserve Risk'!$Z$866),'Premium and Reserve Risk'!$Z$866))</f>
        <v>0.13</v>
      </c>
      <c r="AA922" s="80"/>
      <c r="AB922" s="80"/>
      <c r="AC922" s="737">
        <f ca="1">MAX(0%,IF(U922&lt;&gt;0,MIN((W922-U922)/U922/'Underwriting Risk'!$E$27,'Premium and Reserve Risk'!$AC$866),'Premium and Reserve Risk'!$AC$866))</f>
        <v>0.2</v>
      </c>
      <c r="AD922" s="81"/>
      <c r="AE922" s="97"/>
      <c r="AF922" s="97"/>
      <c r="AG922" s="97"/>
      <c r="AH922" s="97"/>
    </row>
    <row r="923" spans="1:34" ht="13.5" customHeight="1" x14ac:dyDescent="0.25">
      <c r="A923" s="97"/>
      <c r="B923" s="257">
        <v>56</v>
      </c>
      <c r="C923" s="652"/>
      <c r="D923" s="80"/>
      <c r="E923" s="80"/>
      <c r="F923" s="258">
        <f t="shared" ca="1" si="29"/>
        <v>0</v>
      </c>
      <c r="G923" s="624"/>
      <c r="H923" s="85"/>
      <c r="I923" s="624"/>
      <c r="J923" s="85"/>
      <c r="K923" s="624"/>
      <c r="L923" s="85"/>
      <c r="M923" s="624"/>
      <c r="N923" s="85"/>
      <c r="O923" s="624"/>
      <c r="P923" s="85"/>
      <c r="Q923" s="626">
        <f t="shared" si="28"/>
        <v>0</v>
      </c>
      <c r="R923" s="85"/>
      <c r="S923" s="624"/>
      <c r="T923" s="260"/>
      <c r="U923" s="624"/>
      <c r="V923" s="85"/>
      <c r="W923" s="624"/>
      <c r="X923" s="81"/>
      <c r="Y923" s="80"/>
      <c r="Z923" s="737">
        <f ca="1">MAX(0%,IF(Q923&lt;&gt;0,MIN((S923-Q923)/Q923/'Underwriting Risk'!$E$27,'Premium and Reserve Risk'!$Z$866),'Premium and Reserve Risk'!$Z$866))</f>
        <v>0.13</v>
      </c>
      <c r="AA923" s="80"/>
      <c r="AB923" s="80"/>
      <c r="AC923" s="737">
        <f ca="1">MAX(0%,IF(U923&lt;&gt;0,MIN((W923-U923)/U923/'Underwriting Risk'!$E$27,'Premium and Reserve Risk'!$AC$866),'Premium and Reserve Risk'!$AC$866))</f>
        <v>0.2</v>
      </c>
      <c r="AD923" s="81"/>
      <c r="AE923" s="97"/>
      <c r="AF923" s="97"/>
      <c r="AG923" s="97"/>
      <c r="AH923" s="97"/>
    </row>
    <row r="924" spans="1:34" ht="13.5" customHeight="1" x14ac:dyDescent="0.25">
      <c r="A924" s="97"/>
      <c r="B924" s="257">
        <v>57</v>
      </c>
      <c r="C924" s="652"/>
      <c r="D924" s="80"/>
      <c r="E924" s="80"/>
      <c r="F924" s="258">
        <f t="shared" ca="1" si="29"/>
        <v>0</v>
      </c>
      <c r="G924" s="624"/>
      <c r="H924" s="85"/>
      <c r="I924" s="624"/>
      <c r="J924" s="85"/>
      <c r="K924" s="624"/>
      <c r="L924" s="85"/>
      <c r="M924" s="624"/>
      <c r="N924" s="85"/>
      <c r="O924" s="624"/>
      <c r="P924" s="85"/>
      <c r="Q924" s="626">
        <f t="shared" si="28"/>
        <v>0</v>
      </c>
      <c r="R924" s="85"/>
      <c r="S924" s="624"/>
      <c r="T924" s="260"/>
      <c r="U924" s="624"/>
      <c r="V924" s="85"/>
      <c r="W924" s="624"/>
      <c r="X924" s="81"/>
      <c r="Y924" s="80"/>
      <c r="Z924" s="737">
        <f ca="1">MAX(0%,IF(Q924&lt;&gt;0,MIN((S924-Q924)/Q924/'Underwriting Risk'!$E$27,'Premium and Reserve Risk'!$Z$866),'Premium and Reserve Risk'!$Z$866))</f>
        <v>0.13</v>
      </c>
      <c r="AA924" s="80"/>
      <c r="AB924" s="80"/>
      <c r="AC924" s="737">
        <f ca="1">MAX(0%,IF(U924&lt;&gt;0,MIN((W924-U924)/U924/'Underwriting Risk'!$E$27,'Premium and Reserve Risk'!$AC$866),'Premium and Reserve Risk'!$AC$866))</f>
        <v>0.2</v>
      </c>
      <c r="AD924" s="81"/>
      <c r="AE924" s="97"/>
      <c r="AF924" s="97"/>
      <c r="AG924" s="97"/>
      <c r="AH924" s="97"/>
    </row>
    <row r="925" spans="1:34" ht="13.5" customHeight="1" x14ac:dyDescent="0.25">
      <c r="A925" s="97"/>
      <c r="B925" s="257">
        <v>58</v>
      </c>
      <c r="C925" s="652"/>
      <c r="D925" s="80"/>
      <c r="E925" s="80"/>
      <c r="F925" s="258">
        <f t="shared" ca="1" si="29"/>
        <v>0</v>
      </c>
      <c r="G925" s="624"/>
      <c r="H925" s="85"/>
      <c r="I925" s="624"/>
      <c r="J925" s="85"/>
      <c r="K925" s="624"/>
      <c r="L925" s="85"/>
      <c r="M925" s="624"/>
      <c r="N925" s="85"/>
      <c r="O925" s="624"/>
      <c r="P925" s="85"/>
      <c r="Q925" s="626">
        <f t="shared" si="28"/>
        <v>0</v>
      </c>
      <c r="R925" s="85"/>
      <c r="S925" s="624"/>
      <c r="T925" s="260"/>
      <c r="U925" s="624"/>
      <c r="V925" s="85"/>
      <c r="W925" s="624"/>
      <c r="X925" s="81"/>
      <c r="Y925" s="80"/>
      <c r="Z925" s="737">
        <f ca="1">MAX(0%,IF(Q925&lt;&gt;0,MIN((S925-Q925)/Q925/'Underwriting Risk'!$E$27,'Premium and Reserve Risk'!$Z$866),'Premium and Reserve Risk'!$Z$866))</f>
        <v>0.13</v>
      </c>
      <c r="AA925" s="80"/>
      <c r="AB925" s="80"/>
      <c r="AC925" s="737">
        <f ca="1">MAX(0%,IF(U925&lt;&gt;0,MIN((W925-U925)/U925/'Underwriting Risk'!$E$27,'Premium and Reserve Risk'!$AC$866),'Premium and Reserve Risk'!$AC$866))</f>
        <v>0.2</v>
      </c>
      <c r="AD925" s="81"/>
      <c r="AE925" s="97"/>
      <c r="AF925" s="97"/>
      <c r="AG925" s="97"/>
      <c r="AH925" s="97"/>
    </row>
    <row r="926" spans="1:34" ht="13.5" customHeight="1" x14ac:dyDescent="0.25">
      <c r="A926" s="97"/>
      <c r="B926" s="257">
        <v>59</v>
      </c>
      <c r="C926" s="652"/>
      <c r="D926" s="80"/>
      <c r="E926" s="80"/>
      <c r="F926" s="258">
        <f t="shared" ca="1" si="29"/>
        <v>0</v>
      </c>
      <c r="G926" s="624"/>
      <c r="H926" s="85"/>
      <c r="I926" s="624"/>
      <c r="J926" s="85"/>
      <c r="K926" s="624"/>
      <c r="L926" s="85"/>
      <c r="M926" s="624"/>
      <c r="N926" s="85"/>
      <c r="O926" s="624"/>
      <c r="P926" s="85"/>
      <c r="Q926" s="626">
        <f t="shared" si="28"/>
        <v>0</v>
      </c>
      <c r="R926" s="85"/>
      <c r="S926" s="624"/>
      <c r="T926" s="260"/>
      <c r="U926" s="624"/>
      <c r="V926" s="85"/>
      <c r="W926" s="624"/>
      <c r="X926" s="81"/>
      <c r="Y926" s="80"/>
      <c r="Z926" s="737">
        <f ca="1">MAX(0%,IF(Q926&lt;&gt;0,MIN((S926-Q926)/Q926/'Underwriting Risk'!$E$27,'Premium and Reserve Risk'!$Z$866),'Premium and Reserve Risk'!$Z$866))</f>
        <v>0.13</v>
      </c>
      <c r="AA926" s="80"/>
      <c r="AB926" s="80"/>
      <c r="AC926" s="737">
        <f ca="1">MAX(0%,IF(U926&lt;&gt;0,MIN((W926-U926)/U926/'Underwriting Risk'!$E$27,'Premium and Reserve Risk'!$AC$866),'Premium and Reserve Risk'!$AC$866))</f>
        <v>0.2</v>
      </c>
      <c r="AD926" s="81"/>
      <c r="AE926" s="97"/>
      <c r="AF926" s="97"/>
      <c r="AG926" s="97"/>
      <c r="AH926" s="97"/>
    </row>
    <row r="927" spans="1:34" ht="13.5" customHeight="1" x14ac:dyDescent="0.25">
      <c r="A927" s="97"/>
      <c r="B927" s="257">
        <v>60</v>
      </c>
      <c r="C927" s="652"/>
      <c r="D927" s="80"/>
      <c r="E927" s="80"/>
      <c r="F927" s="258">
        <f t="shared" ca="1" si="29"/>
        <v>0</v>
      </c>
      <c r="G927" s="624"/>
      <c r="H927" s="85"/>
      <c r="I927" s="624"/>
      <c r="J927" s="85"/>
      <c r="K927" s="624"/>
      <c r="L927" s="85"/>
      <c r="M927" s="624"/>
      <c r="N927" s="85"/>
      <c r="O927" s="624"/>
      <c r="P927" s="85"/>
      <c r="Q927" s="626">
        <f t="shared" si="28"/>
        <v>0</v>
      </c>
      <c r="R927" s="85"/>
      <c r="S927" s="624"/>
      <c r="T927" s="260"/>
      <c r="U927" s="624"/>
      <c r="V927" s="85"/>
      <c r="W927" s="624"/>
      <c r="X927" s="81"/>
      <c r="Y927" s="80"/>
      <c r="Z927" s="737">
        <f ca="1">MAX(0%,IF(Q927&lt;&gt;0,MIN((S927-Q927)/Q927/'Underwriting Risk'!$E$27,'Premium and Reserve Risk'!$Z$866),'Premium and Reserve Risk'!$Z$866))</f>
        <v>0.13</v>
      </c>
      <c r="AA927" s="80"/>
      <c r="AB927" s="80"/>
      <c r="AC927" s="737">
        <f ca="1">MAX(0%,IF(U927&lt;&gt;0,MIN((W927-U927)/U927/'Underwriting Risk'!$E$27,'Premium and Reserve Risk'!$AC$866),'Premium and Reserve Risk'!$AC$866))</f>
        <v>0.2</v>
      </c>
      <c r="AD927" s="81"/>
      <c r="AE927" s="97"/>
      <c r="AF927" s="97"/>
      <c r="AG927" s="97"/>
      <c r="AH927" s="97"/>
    </row>
    <row r="928" spans="1:34" ht="13.5" customHeight="1" x14ac:dyDescent="0.25">
      <c r="A928" s="97"/>
      <c r="B928" s="257">
        <v>61</v>
      </c>
      <c r="C928" s="652"/>
      <c r="D928" s="80"/>
      <c r="E928" s="80"/>
      <c r="F928" s="258">
        <f t="shared" ca="1" si="29"/>
        <v>0</v>
      </c>
      <c r="G928" s="624"/>
      <c r="H928" s="85"/>
      <c r="I928" s="624"/>
      <c r="J928" s="85"/>
      <c r="K928" s="624"/>
      <c r="L928" s="85"/>
      <c r="M928" s="624"/>
      <c r="N928" s="85"/>
      <c r="O928" s="624"/>
      <c r="P928" s="85"/>
      <c r="Q928" s="626">
        <f t="shared" si="28"/>
        <v>0</v>
      </c>
      <c r="R928" s="85"/>
      <c r="S928" s="624"/>
      <c r="T928" s="260"/>
      <c r="U928" s="624"/>
      <c r="V928" s="85"/>
      <c r="W928" s="624"/>
      <c r="X928" s="81"/>
      <c r="Y928" s="80"/>
      <c r="Z928" s="737">
        <f ca="1">MAX(0%,IF(Q928&lt;&gt;0,MIN((S928-Q928)/Q928/'Underwriting Risk'!$E$27,'Premium and Reserve Risk'!$Z$866),'Premium and Reserve Risk'!$Z$866))</f>
        <v>0.13</v>
      </c>
      <c r="AA928" s="80"/>
      <c r="AB928" s="80"/>
      <c r="AC928" s="737">
        <f ca="1">MAX(0%,IF(U928&lt;&gt;0,MIN((W928-U928)/U928/'Underwriting Risk'!$E$27,'Premium and Reserve Risk'!$AC$866),'Premium and Reserve Risk'!$AC$866))</f>
        <v>0.2</v>
      </c>
      <c r="AD928" s="81"/>
      <c r="AE928" s="97"/>
      <c r="AF928" s="97"/>
      <c r="AG928" s="97"/>
      <c r="AH928" s="97"/>
    </row>
    <row r="929" spans="1:34" ht="13.5" customHeight="1" x14ac:dyDescent="0.25">
      <c r="A929" s="97"/>
      <c r="B929" s="257">
        <v>62</v>
      </c>
      <c r="C929" s="652"/>
      <c r="D929" s="80"/>
      <c r="E929" s="80"/>
      <c r="F929" s="258">
        <f t="shared" ca="1" si="29"/>
        <v>0</v>
      </c>
      <c r="G929" s="624"/>
      <c r="H929" s="85"/>
      <c r="I929" s="624"/>
      <c r="J929" s="85"/>
      <c r="K929" s="624"/>
      <c r="L929" s="85"/>
      <c r="M929" s="624"/>
      <c r="N929" s="85"/>
      <c r="O929" s="624"/>
      <c r="P929" s="85"/>
      <c r="Q929" s="626">
        <f t="shared" si="28"/>
        <v>0</v>
      </c>
      <c r="R929" s="85"/>
      <c r="S929" s="624"/>
      <c r="T929" s="260"/>
      <c r="U929" s="624"/>
      <c r="V929" s="85"/>
      <c r="W929" s="624"/>
      <c r="X929" s="81"/>
      <c r="Y929" s="80"/>
      <c r="Z929" s="737">
        <f ca="1">MAX(0%,IF(Q929&lt;&gt;0,MIN((S929-Q929)/Q929/'Underwriting Risk'!$E$27,'Premium and Reserve Risk'!$Z$866),'Premium and Reserve Risk'!$Z$866))</f>
        <v>0.13</v>
      </c>
      <c r="AA929" s="80"/>
      <c r="AB929" s="80"/>
      <c r="AC929" s="737">
        <f ca="1">MAX(0%,IF(U929&lt;&gt;0,MIN((W929-U929)/U929/'Underwriting Risk'!$E$27,'Premium and Reserve Risk'!$AC$866),'Premium and Reserve Risk'!$AC$866))</f>
        <v>0.2</v>
      </c>
      <c r="AD929" s="81"/>
      <c r="AE929" s="97"/>
      <c r="AF929" s="97"/>
      <c r="AG929" s="97"/>
      <c r="AH929" s="97"/>
    </row>
    <row r="930" spans="1:34" ht="13.5" customHeight="1" x14ac:dyDescent="0.25">
      <c r="A930" s="97"/>
      <c r="B930" s="257">
        <v>63</v>
      </c>
      <c r="C930" s="652"/>
      <c r="D930" s="80"/>
      <c r="E930" s="80"/>
      <c r="F930" s="258">
        <f t="shared" ca="1" si="29"/>
        <v>0</v>
      </c>
      <c r="G930" s="624"/>
      <c r="H930" s="85"/>
      <c r="I930" s="624"/>
      <c r="J930" s="85"/>
      <c r="K930" s="624"/>
      <c r="L930" s="85"/>
      <c r="M930" s="624"/>
      <c r="N930" s="85"/>
      <c r="O930" s="624"/>
      <c r="P930" s="85"/>
      <c r="Q930" s="626">
        <f t="shared" si="28"/>
        <v>0</v>
      </c>
      <c r="R930" s="85"/>
      <c r="S930" s="624"/>
      <c r="T930" s="260"/>
      <c r="U930" s="624"/>
      <c r="V930" s="85"/>
      <c r="W930" s="624"/>
      <c r="X930" s="81"/>
      <c r="Y930" s="80"/>
      <c r="Z930" s="737">
        <f ca="1">MAX(0%,IF(Q930&lt;&gt;0,MIN((S930-Q930)/Q930/'Underwriting Risk'!$E$27,'Premium and Reserve Risk'!$Z$866),'Premium and Reserve Risk'!$Z$866))</f>
        <v>0.13</v>
      </c>
      <c r="AA930" s="80"/>
      <c r="AB930" s="80"/>
      <c r="AC930" s="737">
        <f ca="1">MAX(0%,IF(U930&lt;&gt;0,MIN((W930-U930)/U930/'Underwriting Risk'!$E$27,'Premium and Reserve Risk'!$AC$866),'Premium and Reserve Risk'!$AC$866))</f>
        <v>0.2</v>
      </c>
      <c r="AD930" s="81"/>
      <c r="AE930" s="97"/>
      <c r="AF930" s="97"/>
      <c r="AG930" s="97"/>
      <c r="AH930" s="97"/>
    </row>
    <row r="931" spans="1:34" ht="13.5" customHeight="1" x14ac:dyDescent="0.25">
      <c r="A931" s="97"/>
      <c r="B931" s="257">
        <v>64</v>
      </c>
      <c r="C931" s="652"/>
      <c r="D931" s="80"/>
      <c r="E931" s="80"/>
      <c r="F931" s="258">
        <f t="shared" ca="1" si="29"/>
        <v>0</v>
      </c>
      <c r="G931" s="624"/>
      <c r="H931" s="85"/>
      <c r="I931" s="624"/>
      <c r="J931" s="85"/>
      <c r="K931" s="624"/>
      <c r="L931" s="85"/>
      <c r="M931" s="624"/>
      <c r="N931" s="85"/>
      <c r="O931" s="624"/>
      <c r="P931" s="85"/>
      <c r="Q931" s="626">
        <f t="shared" si="28"/>
        <v>0</v>
      </c>
      <c r="R931" s="85"/>
      <c r="S931" s="624"/>
      <c r="T931" s="260"/>
      <c r="U931" s="624"/>
      <c r="V931" s="85"/>
      <c r="W931" s="624"/>
      <c r="X931" s="81"/>
      <c r="Y931" s="80"/>
      <c r="Z931" s="737">
        <f ca="1">MAX(0%,IF(Q931&lt;&gt;0,MIN((S931-Q931)/Q931/'Underwriting Risk'!$E$27,'Premium and Reserve Risk'!$Z$866),'Premium and Reserve Risk'!$Z$866))</f>
        <v>0.13</v>
      </c>
      <c r="AA931" s="80"/>
      <c r="AB931" s="80"/>
      <c r="AC931" s="737">
        <f ca="1">MAX(0%,IF(U931&lt;&gt;0,MIN((W931-U931)/U931/'Underwriting Risk'!$E$27,'Premium and Reserve Risk'!$AC$866),'Premium and Reserve Risk'!$AC$866))</f>
        <v>0.2</v>
      </c>
      <c r="AD931" s="81"/>
      <c r="AE931" s="97"/>
      <c r="AF931" s="97"/>
      <c r="AG931" s="97"/>
      <c r="AH931" s="97"/>
    </row>
    <row r="932" spans="1:34" ht="13.5" customHeight="1" x14ac:dyDescent="0.25">
      <c r="A932" s="97"/>
      <c r="B932" s="257">
        <v>65</v>
      </c>
      <c r="C932" s="652"/>
      <c r="D932" s="80"/>
      <c r="E932" s="80"/>
      <c r="F932" s="258">
        <f t="shared" ca="1" si="29"/>
        <v>0</v>
      </c>
      <c r="G932" s="624"/>
      <c r="H932" s="85"/>
      <c r="I932" s="624"/>
      <c r="J932" s="85"/>
      <c r="K932" s="624"/>
      <c r="L932" s="85"/>
      <c r="M932" s="624"/>
      <c r="N932" s="85"/>
      <c r="O932" s="624"/>
      <c r="P932" s="85"/>
      <c r="Q932" s="626">
        <f t="shared" si="28"/>
        <v>0</v>
      </c>
      <c r="R932" s="85"/>
      <c r="S932" s="624"/>
      <c r="T932" s="260"/>
      <c r="U932" s="624"/>
      <c r="V932" s="85"/>
      <c r="W932" s="624"/>
      <c r="X932" s="81"/>
      <c r="Y932" s="80"/>
      <c r="Z932" s="737">
        <f ca="1">MAX(0%,IF(Q932&lt;&gt;0,MIN((S932-Q932)/Q932/'Underwriting Risk'!$E$27,'Premium and Reserve Risk'!$Z$866),'Premium and Reserve Risk'!$Z$866))</f>
        <v>0.13</v>
      </c>
      <c r="AA932" s="80"/>
      <c r="AB932" s="80"/>
      <c r="AC932" s="737">
        <f ca="1">MAX(0%,IF(U932&lt;&gt;0,MIN((W932-U932)/U932/'Underwriting Risk'!$E$27,'Premium and Reserve Risk'!$AC$866),'Premium and Reserve Risk'!$AC$866))</f>
        <v>0.2</v>
      </c>
      <c r="AD932" s="81"/>
      <c r="AE932" s="97"/>
      <c r="AF932" s="97"/>
      <c r="AG932" s="97"/>
      <c r="AH932" s="97"/>
    </row>
    <row r="933" spans="1:34" ht="13.5" customHeight="1" x14ac:dyDescent="0.25">
      <c r="A933" s="97"/>
      <c r="B933" s="257">
        <v>66</v>
      </c>
      <c r="C933" s="652"/>
      <c r="D933" s="80"/>
      <c r="E933" s="80"/>
      <c r="F933" s="258">
        <f t="shared" ref="F933:F967" ca="1" si="30">IF(B933&lt;=OFFSET($Z$8,B$865-1,0),0,1)</f>
        <v>0</v>
      </c>
      <c r="G933" s="624"/>
      <c r="H933" s="85"/>
      <c r="I933" s="624"/>
      <c r="J933" s="85"/>
      <c r="K933" s="624"/>
      <c r="L933" s="85"/>
      <c r="M933" s="624"/>
      <c r="N933" s="85"/>
      <c r="O933" s="624"/>
      <c r="P933" s="85"/>
      <c r="Q933" s="626">
        <f t="shared" si="28"/>
        <v>0</v>
      </c>
      <c r="R933" s="85"/>
      <c r="S933" s="624"/>
      <c r="T933" s="260"/>
      <c r="U933" s="624"/>
      <c r="V933" s="85"/>
      <c r="W933" s="624"/>
      <c r="X933" s="81"/>
      <c r="Y933" s="80"/>
      <c r="Z933" s="737">
        <f ca="1">MAX(0%,IF(Q933&lt;&gt;0,MIN((S933-Q933)/Q933/'Underwriting Risk'!$E$27,'Premium and Reserve Risk'!$Z$866),'Premium and Reserve Risk'!$Z$866))</f>
        <v>0.13</v>
      </c>
      <c r="AA933" s="80"/>
      <c r="AB933" s="80"/>
      <c r="AC933" s="737">
        <f ca="1">MAX(0%,IF(U933&lt;&gt;0,MIN((W933-U933)/U933/'Underwriting Risk'!$E$27,'Premium and Reserve Risk'!$AC$866),'Premium and Reserve Risk'!$AC$866))</f>
        <v>0.2</v>
      </c>
      <c r="AD933" s="81"/>
      <c r="AE933" s="97"/>
      <c r="AF933" s="97"/>
      <c r="AG933" s="97"/>
      <c r="AH933" s="97"/>
    </row>
    <row r="934" spans="1:34" ht="13.5" customHeight="1" x14ac:dyDescent="0.25">
      <c r="A934" s="97"/>
      <c r="B934" s="257">
        <v>67</v>
      </c>
      <c r="C934" s="652"/>
      <c r="D934" s="80"/>
      <c r="E934" s="80"/>
      <c r="F934" s="258">
        <f t="shared" ca="1" si="30"/>
        <v>0</v>
      </c>
      <c r="G934" s="624"/>
      <c r="H934" s="85"/>
      <c r="I934" s="624"/>
      <c r="J934" s="85"/>
      <c r="K934" s="624"/>
      <c r="L934" s="85"/>
      <c r="M934" s="624"/>
      <c r="N934" s="85"/>
      <c r="O934" s="624"/>
      <c r="P934" s="85"/>
      <c r="Q934" s="626">
        <f t="shared" si="28"/>
        <v>0</v>
      </c>
      <c r="R934" s="85"/>
      <c r="S934" s="624"/>
      <c r="T934" s="260"/>
      <c r="U934" s="624"/>
      <c r="V934" s="85"/>
      <c r="W934" s="624"/>
      <c r="X934" s="81"/>
      <c r="Y934" s="80"/>
      <c r="Z934" s="737">
        <f ca="1">MAX(0%,IF(Q934&lt;&gt;0,MIN((S934-Q934)/Q934/'Underwriting Risk'!$E$27,'Premium and Reserve Risk'!$Z$866),'Premium and Reserve Risk'!$Z$866))</f>
        <v>0.13</v>
      </c>
      <c r="AA934" s="80"/>
      <c r="AB934" s="80"/>
      <c r="AC934" s="737">
        <f ca="1">MAX(0%,IF(U934&lt;&gt;0,MIN((W934-U934)/U934/'Underwriting Risk'!$E$27,'Premium and Reserve Risk'!$AC$866),'Premium and Reserve Risk'!$AC$866))</f>
        <v>0.2</v>
      </c>
      <c r="AD934" s="81"/>
      <c r="AE934" s="97"/>
      <c r="AF934" s="97"/>
      <c r="AG934" s="97"/>
      <c r="AH934" s="97"/>
    </row>
    <row r="935" spans="1:34" ht="13.5" customHeight="1" x14ac:dyDescent="0.25">
      <c r="A935" s="97"/>
      <c r="B935" s="257">
        <v>68</v>
      </c>
      <c r="C935" s="652"/>
      <c r="D935" s="80"/>
      <c r="E935" s="80"/>
      <c r="F935" s="258">
        <f t="shared" ca="1" si="30"/>
        <v>0</v>
      </c>
      <c r="G935" s="624"/>
      <c r="H935" s="85"/>
      <c r="I935" s="624"/>
      <c r="J935" s="85"/>
      <c r="K935" s="624"/>
      <c r="L935" s="85"/>
      <c r="M935" s="624"/>
      <c r="N935" s="85"/>
      <c r="O935" s="624"/>
      <c r="P935" s="85"/>
      <c r="Q935" s="626">
        <f t="shared" si="28"/>
        <v>0</v>
      </c>
      <c r="R935" s="85"/>
      <c r="S935" s="624"/>
      <c r="T935" s="260"/>
      <c r="U935" s="624"/>
      <c r="V935" s="85"/>
      <c r="W935" s="624"/>
      <c r="X935" s="81"/>
      <c r="Y935" s="80"/>
      <c r="Z935" s="737">
        <f ca="1">MAX(0%,IF(Q935&lt;&gt;0,MIN((S935-Q935)/Q935/'Underwriting Risk'!$E$27,'Premium and Reserve Risk'!$Z$866),'Premium and Reserve Risk'!$Z$866))</f>
        <v>0.13</v>
      </c>
      <c r="AA935" s="80"/>
      <c r="AB935" s="80"/>
      <c r="AC935" s="737">
        <f ca="1">MAX(0%,IF(U935&lt;&gt;0,MIN((W935-U935)/U935/'Underwriting Risk'!$E$27,'Premium and Reserve Risk'!$AC$866),'Premium and Reserve Risk'!$AC$866))</f>
        <v>0.2</v>
      </c>
      <c r="AD935" s="81"/>
      <c r="AE935" s="97"/>
      <c r="AF935" s="97"/>
      <c r="AG935" s="97"/>
      <c r="AH935" s="97"/>
    </row>
    <row r="936" spans="1:34" ht="13.5" customHeight="1" x14ac:dyDescent="0.25">
      <c r="A936" s="97"/>
      <c r="B936" s="257">
        <v>69</v>
      </c>
      <c r="C936" s="652"/>
      <c r="D936" s="80"/>
      <c r="E936" s="80"/>
      <c r="F936" s="258">
        <f t="shared" ca="1" si="30"/>
        <v>0</v>
      </c>
      <c r="G936" s="624"/>
      <c r="H936" s="85"/>
      <c r="I936" s="624"/>
      <c r="J936" s="85"/>
      <c r="K936" s="624"/>
      <c r="L936" s="85"/>
      <c r="M936" s="624"/>
      <c r="N936" s="85"/>
      <c r="O936" s="624"/>
      <c r="P936" s="85"/>
      <c r="Q936" s="626">
        <f t="shared" si="28"/>
        <v>0</v>
      </c>
      <c r="R936" s="85"/>
      <c r="S936" s="624"/>
      <c r="T936" s="260"/>
      <c r="U936" s="624"/>
      <c r="V936" s="85"/>
      <c r="W936" s="624"/>
      <c r="X936" s="81"/>
      <c r="Y936" s="80"/>
      <c r="Z936" s="737">
        <f ca="1">MAX(0%,IF(Q936&lt;&gt;0,MIN((S936-Q936)/Q936/'Underwriting Risk'!$E$27,'Premium and Reserve Risk'!$Z$866),'Premium and Reserve Risk'!$Z$866))</f>
        <v>0.13</v>
      </c>
      <c r="AA936" s="80"/>
      <c r="AB936" s="80"/>
      <c r="AC936" s="737">
        <f ca="1">MAX(0%,IF(U936&lt;&gt;0,MIN((W936-U936)/U936/'Underwriting Risk'!$E$27,'Premium and Reserve Risk'!$AC$866),'Premium and Reserve Risk'!$AC$866))</f>
        <v>0.2</v>
      </c>
      <c r="AD936" s="81"/>
      <c r="AE936" s="97"/>
      <c r="AF936" s="97"/>
      <c r="AG936" s="97"/>
      <c r="AH936" s="97"/>
    </row>
    <row r="937" spans="1:34" ht="13.5" customHeight="1" x14ac:dyDescent="0.25">
      <c r="A937" s="97"/>
      <c r="B937" s="257">
        <v>70</v>
      </c>
      <c r="C937" s="652"/>
      <c r="D937" s="80"/>
      <c r="E937" s="80"/>
      <c r="F937" s="258">
        <f t="shared" ca="1" si="30"/>
        <v>0</v>
      </c>
      <c r="G937" s="624"/>
      <c r="H937" s="85"/>
      <c r="I937" s="624"/>
      <c r="J937" s="85"/>
      <c r="K937" s="624"/>
      <c r="L937" s="85"/>
      <c r="M937" s="624"/>
      <c r="N937" s="85"/>
      <c r="O937" s="624"/>
      <c r="P937" s="85"/>
      <c r="Q937" s="626">
        <f t="shared" si="28"/>
        <v>0</v>
      </c>
      <c r="R937" s="85"/>
      <c r="S937" s="624"/>
      <c r="T937" s="260"/>
      <c r="U937" s="624"/>
      <c r="V937" s="85"/>
      <c r="W937" s="624"/>
      <c r="X937" s="81"/>
      <c r="Y937" s="80"/>
      <c r="Z937" s="737">
        <f ca="1">MAX(0%,IF(Q937&lt;&gt;0,MIN((S937-Q937)/Q937/'Underwriting Risk'!$E$27,'Premium and Reserve Risk'!$Z$866),'Premium and Reserve Risk'!$Z$866))</f>
        <v>0.13</v>
      </c>
      <c r="AA937" s="80"/>
      <c r="AB937" s="80"/>
      <c r="AC937" s="737">
        <f ca="1">MAX(0%,IF(U937&lt;&gt;0,MIN((W937-U937)/U937/'Underwriting Risk'!$E$27,'Premium and Reserve Risk'!$AC$866),'Premium and Reserve Risk'!$AC$866))</f>
        <v>0.2</v>
      </c>
      <c r="AD937" s="81"/>
      <c r="AE937" s="97"/>
      <c r="AF937" s="97"/>
      <c r="AG937" s="97"/>
      <c r="AH937" s="97"/>
    </row>
    <row r="938" spans="1:34" ht="13.5" customHeight="1" x14ac:dyDescent="0.25">
      <c r="A938" s="97"/>
      <c r="B938" s="257">
        <v>71</v>
      </c>
      <c r="C938" s="652"/>
      <c r="D938" s="80"/>
      <c r="E938" s="80"/>
      <c r="F938" s="258">
        <f t="shared" ca="1" si="30"/>
        <v>0</v>
      </c>
      <c r="G938" s="624"/>
      <c r="H938" s="85"/>
      <c r="I938" s="624"/>
      <c r="J938" s="85"/>
      <c r="K938" s="624"/>
      <c r="L938" s="85"/>
      <c r="M938" s="624"/>
      <c r="N938" s="85"/>
      <c r="O938" s="624"/>
      <c r="P938" s="85"/>
      <c r="Q938" s="626">
        <f t="shared" si="28"/>
        <v>0</v>
      </c>
      <c r="R938" s="85"/>
      <c r="S938" s="624"/>
      <c r="T938" s="260"/>
      <c r="U938" s="624"/>
      <c r="V938" s="85"/>
      <c r="W938" s="624"/>
      <c r="X938" s="81"/>
      <c r="Y938" s="80"/>
      <c r="Z938" s="737">
        <f ca="1">MAX(0%,IF(Q938&lt;&gt;0,MIN((S938-Q938)/Q938/'Underwriting Risk'!$E$27,'Premium and Reserve Risk'!$Z$866),'Premium and Reserve Risk'!$Z$866))</f>
        <v>0.13</v>
      </c>
      <c r="AA938" s="80"/>
      <c r="AB938" s="80"/>
      <c r="AC938" s="737">
        <f ca="1">MAX(0%,IF(U938&lt;&gt;0,MIN((W938-U938)/U938/'Underwriting Risk'!$E$27,'Premium and Reserve Risk'!$AC$866),'Premium and Reserve Risk'!$AC$866))</f>
        <v>0.2</v>
      </c>
      <c r="AD938" s="81"/>
      <c r="AE938" s="97"/>
      <c r="AF938" s="97"/>
      <c r="AG938" s="97"/>
      <c r="AH938" s="97"/>
    </row>
    <row r="939" spans="1:34" ht="13.5" customHeight="1" x14ac:dyDescent="0.25">
      <c r="A939" s="97"/>
      <c r="B939" s="257">
        <v>72</v>
      </c>
      <c r="C939" s="652"/>
      <c r="D939" s="80"/>
      <c r="E939" s="80"/>
      <c r="F939" s="258">
        <f t="shared" ca="1" si="30"/>
        <v>0</v>
      </c>
      <c r="G939" s="624"/>
      <c r="H939" s="85"/>
      <c r="I939" s="624"/>
      <c r="J939" s="85"/>
      <c r="K939" s="624"/>
      <c r="L939" s="85"/>
      <c r="M939" s="624"/>
      <c r="N939" s="85"/>
      <c r="O939" s="624"/>
      <c r="P939" s="85"/>
      <c r="Q939" s="626">
        <f t="shared" si="28"/>
        <v>0</v>
      </c>
      <c r="R939" s="85"/>
      <c r="S939" s="624"/>
      <c r="T939" s="260"/>
      <c r="U939" s="624"/>
      <c r="V939" s="85"/>
      <c r="W939" s="624"/>
      <c r="X939" s="81"/>
      <c r="Y939" s="80"/>
      <c r="Z939" s="737">
        <f ca="1">MAX(0%,IF(Q939&lt;&gt;0,MIN((S939-Q939)/Q939/'Underwriting Risk'!$E$27,'Premium and Reserve Risk'!$Z$866),'Premium and Reserve Risk'!$Z$866))</f>
        <v>0.13</v>
      </c>
      <c r="AA939" s="80"/>
      <c r="AB939" s="80"/>
      <c r="AC939" s="737">
        <f ca="1">MAX(0%,IF(U939&lt;&gt;0,MIN((W939-U939)/U939/'Underwriting Risk'!$E$27,'Premium and Reserve Risk'!$AC$866),'Premium and Reserve Risk'!$AC$866))</f>
        <v>0.2</v>
      </c>
      <c r="AD939" s="81"/>
      <c r="AE939" s="97"/>
      <c r="AF939" s="97"/>
      <c r="AG939" s="97"/>
      <c r="AH939" s="97"/>
    </row>
    <row r="940" spans="1:34" ht="13.5" customHeight="1" x14ac:dyDescent="0.25">
      <c r="A940" s="97"/>
      <c r="B940" s="257">
        <v>73</v>
      </c>
      <c r="C940" s="652"/>
      <c r="D940" s="80"/>
      <c r="E940" s="80"/>
      <c r="F940" s="258">
        <f t="shared" ca="1" si="30"/>
        <v>0</v>
      </c>
      <c r="G940" s="624"/>
      <c r="H940" s="85"/>
      <c r="I940" s="624"/>
      <c r="J940" s="85"/>
      <c r="K940" s="624"/>
      <c r="L940" s="85"/>
      <c r="M940" s="624"/>
      <c r="N940" s="85"/>
      <c r="O940" s="624"/>
      <c r="P940" s="85"/>
      <c r="Q940" s="626">
        <f t="shared" si="28"/>
        <v>0</v>
      </c>
      <c r="R940" s="85"/>
      <c r="S940" s="624"/>
      <c r="T940" s="260"/>
      <c r="U940" s="624"/>
      <c r="V940" s="85"/>
      <c r="W940" s="624"/>
      <c r="X940" s="81"/>
      <c r="Y940" s="80"/>
      <c r="Z940" s="737">
        <f ca="1">MAX(0%,IF(Q940&lt;&gt;0,MIN((S940-Q940)/Q940/'Underwriting Risk'!$E$27,'Premium and Reserve Risk'!$Z$866),'Premium and Reserve Risk'!$Z$866))</f>
        <v>0.13</v>
      </c>
      <c r="AA940" s="80"/>
      <c r="AB940" s="80"/>
      <c r="AC940" s="737">
        <f ca="1">MAX(0%,IF(U940&lt;&gt;0,MIN((W940-U940)/U940/'Underwriting Risk'!$E$27,'Premium and Reserve Risk'!$AC$866),'Premium and Reserve Risk'!$AC$866))</f>
        <v>0.2</v>
      </c>
      <c r="AD940" s="81"/>
      <c r="AE940" s="97"/>
      <c r="AF940" s="97"/>
      <c r="AG940" s="97"/>
      <c r="AH940" s="97"/>
    </row>
    <row r="941" spans="1:34" ht="13.5" customHeight="1" x14ac:dyDescent="0.25">
      <c r="A941" s="97"/>
      <c r="B941" s="257">
        <v>74</v>
      </c>
      <c r="C941" s="652"/>
      <c r="D941" s="80"/>
      <c r="E941" s="80"/>
      <c r="F941" s="258">
        <f t="shared" ca="1" si="30"/>
        <v>0</v>
      </c>
      <c r="G941" s="624"/>
      <c r="H941" s="85"/>
      <c r="I941" s="624"/>
      <c r="J941" s="85"/>
      <c r="K941" s="624"/>
      <c r="L941" s="85"/>
      <c r="M941" s="624"/>
      <c r="N941" s="85"/>
      <c r="O941" s="624"/>
      <c r="P941" s="85"/>
      <c r="Q941" s="626">
        <f t="shared" si="28"/>
        <v>0</v>
      </c>
      <c r="R941" s="85"/>
      <c r="S941" s="624"/>
      <c r="T941" s="260"/>
      <c r="U941" s="624"/>
      <c r="V941" s="85"/>
      <c r="W941" s="624"/>
      <c r="X941" s="81"/>
      <c r="Y941" s="80"/>
      <c r="Z941" s="737">
        <f ca="1">MAX(0%,IF(Q941&lt;&gt;0,MIN((S941-Q941)/Q941/'Underwriting Risk'!$E$27,'Premium and Reserve Risk'!$Z$866),'Premium and Reserve Risk'!$Z$866))</f>
        <v>0.13</v>
      </c>
      <c r="AA941" s="80"/>
      <c r="AB941" s="80"/>
      <c r="AC941" s="737">
        <f ca="1">MAX(0%,IF(U941&lt;&gt;0,MIN((W941-U941)/U941/'Underwriting Risk'!$E$27,'Premium and Reserve Risk'!$AC$866),'Premium and Reserve Risk'!$AC$866))</f>
        <v>0.2</v>
      </c>
      <c r="AD941" s="81"/>
      <c r="AE941" s="97"/>
      <c r="AF941" s="97"/>
      <c r="AG941" s="97"/>
      <c r="AH941" s="97"/>
    </row>
    <row r="942" spans="1:34" ht="13.5" customHeight="1" x14ac:dyDescent="0.25">
      <c r="A942" s="97"/>
      <c r="B942" s="257">
        <v>75</v>
      </c>
      <c r="C942" s="652"/>
      <c r="D942" s="80"/>
      <c r="E942" s="80"/>
      <c r="F942" s="258">
        <f t="shared" ca="1" si="30"/>
        <v>0</v>
      </c>
      <c r="G942" s="624"/>
      <c r="H942" s="85"/>
      <c r="I942" s="624"/>
      <c r="J942" s="85"/>
      <c r="K942" s="624"/>
      <c r="L942" s="85"/>
      <c r="M942" s="624"/>
      <c r="N942" s="85"/>
      <c r="O942" s="624"/>
      <c r="P942" s="85"/>
      <c r="Q942" s="626">
        <f t="shared" si="28"/>
        <v>0</v>
      </c>
      <c r="R942" s="85"/>
      <c r="S942" s="624"/>
      <c r="T942" s="260"/>
      <c r="U942" s="624"/>
      <c r="V942" s="85"/>
      <c r="W942" s="624"/>
      <c r="X942" s="81"/>
      <c r="Y942" s="80"/>
      <c r="Z942" s="737">
        <f ca="1">MAX(0%,IF(Q942&lt;&gt;0,MIN((S942-Q942)/Q942/'Underwriting Risk'!$E$27,'Premium and Reserve Risk'!$Z$866),'Premium and Reserve Risk'!$Z$866))</f>
        <v>0.13</v>
      </c>
      <c r="AA942" s="80"/>
      <c r="AB942" s="80"/>
      <c r="AC942" s="737">
        <f ca="1">MAX(0%,IF(U942&lt;&gt;0,MIN((W942-U942)/U942/'Underwriting Risk'!$E$27,'Premium and Reserve Risk'!$AC$866),'Premium and Reserve Risk'!$AC$866))</f>
        <v>0.2</v>
      </c>
      <c r="AD942" s="81"/>
      <c r="AE942" s="97"/>
      <c r="AF942" s="97"/>
      <c r="AG942" s="97"/>
      <c r="AH942" s="97"/>
    </row>
    <row r="943" spans="1:34" ht="13.5" customHeight="1" x14ac:dyDescent="0.25">
      <c r="A943" s="97"/>
      <c r="B943" s="257">
        <v>76</v>
      </c>
      <c r="C943" s="652"/>
      <c r="D943" s="80"/>
      <c r="E943" s="80"/>
      <c r="F943" s="258">
        <f t="shared" ca="1" si="30"/>
        <v>0</v>
      </c>
      <c r="G943" s="624"/>
      <c r="H943" s="85"/>
      <c r="I943" s="624"/>
      <c r="J943" s="85"/>
      <c r="K943" s="624"/>
      <c r="L943" s="85"/>
      <c r="M943" s="624"/>
      <c r="N943" s="85"/>
      <c r="O943" s="624"/>
      <c r="P943" s="85"/>
      <c r="Q943" s="626">
        <f t="shared" si="28"/>
        <v>0</v>
      </c>
      <c r="R943" s="85"/>
      <c r="S943" s="624"/>
      <c r="T943" s="260"/>
      <c r="U943" s="624"/>
      <c r="V943" s="85"/>
      <c r="W943" s="624"/>
      <c r="X943" s="81"/>
      <c r="Y943" s="80"/>
      <c r="Z943" s="737">
        <f ca="1">MAX(0%,IF(Q943&lt;&gt;0,MIN((S943-Q943)/Q943/'Underwriting Risk'!$E$27,'Premium and Reserve Risk'!$Z$866),'Premium and Reserve Risk'!$Z$866))</f>
        <v>0.13</v>
      </c>
      <c r="AA943" s="80"/>
      <c r="AB943" s="80"/>
      <c r="AC943" s="737">
        <f ca="1">MAX(0%,IF(U943&lt;&gt;0,MIN((W943-U943)/U943/'Underwriting Risk'!$E$27,'Premium and Reserve Risk'!$AC$866),'Premium and Reserve Risk'!$AC$866))</f>
        <v>0.2</v>
      </c>
      <c r="AD943" s="81"/>
      <c r="AE943" s="97"/>
      <c r="AF943" s="97"/>
      <c r="AG943" s="97"/>
      <c r="AH943" s="97"/>
    </row>
    <row r="944" spans="1:34" ht="13.5" customHeight="1" x14ac:dyDescent="0.25">
      <c r="A944" s="97"/>
      <c r="B944" s="257">
        <v>77</v>
      </c>
      <c r="C944" s="652"/>
      <c r="D944" s="80"/>
      <c r="E944" s="80"/>
      <c r="F944" s="258">
        <f t="shared" ca="1" si="30"/>
        <v>0</v>
      </c>
      <c r="G944" s="624"/>
      <c r="H944" s="85"/>
      <c r="I944" s="624"/>
      <c r="J944" s="85"/>
      <c r="K944" s="624"/>
      <c r="L944" s="85"/>
      <c r="M944" s="624"/>
      <c r="N944" s="85"/>
      <c r="O944" s="624"/>
      <c r="P944" s="85"/>
      <c r="Q944" s="626">
        <f t="shared" si="28"/>
        <v>0</v>
      </c>
      <c r="R944" s="85"/>
      <c r="S944" s="624"/>
      <c r="T944" s="260"/>
      <c r="U944" s="624"/>
      <c r="V944" s="85"/>
      <c r="W944" s="624"/>
      <c r="X944" s="81"/>
      <c r="Y944" s="80"/>
      <c r="Z944" s="737">
        <f ca="1">MAX(0%,IF(Q944&lt;&gt;0,MIN((S944-Q944)/Q944/'Underwriting Risk'!$E$27,'Premium and Reserve Risk'!$Z$866),'Premium and Reserve Risk'!$Z$866))</f>
        <v>0.13</v>
      </c>
      <c r="AA944" s="80"/>
      <c r="AB944" s="80"/>
      <c r="AC944" s="737">
        <f ca="1">MAX(0%,IF(U944&lt;&gt;0,MIN((W944-U944)/U944/'Underwriting Risk'!$E$27,'Premium and Reserve Risk'!$AC$866),'Premium and Reserve Risk'!$AC$866))</f>
        <v>0.2</v>
      </c>
      <c r="AD944" s="81"/>
      <c r="AE944" s="97"/>
      <c r="AF944" s="97"/>
      <c r="AG944" s="97"/>
      <c r="AH944" s="97"/>
    </row>
    <row r="945" spans="1:34" ht="13.5" customHeight="1" x14ac:dyDescent="0.25">
      <c r="A945" s="97"/>
      <c r="B945" s="257">
        <v>78</v>
      </c>
      <c r="C945" s="652"/>
      <c r="D945" s="80"/>
      <c r="E945" s="80"/>
      <c r="F945" s="258">
        <f t="shared" ca="1" si="30"/>
        <v>0</v>
      </c>
      <c r="G945" s="624"/>
      <c r="H945" s="85"/>
      <c r="I945" s="624"/>
      <c r="J945" s="85"/>
      <c r="K945" s="624"/>
      <c r="L945" s="85"/>
      <c r="M945" s="624"/>
      <c r="N945" s="85"/>
      <c r="O945" s="624"/>
      <c r="P945" s="85"/>
      <c r="Q945" s="626">
        <f t="shared" si="28"/>
        <v>0</v>
      </c>
      <c r="R945" s="85"/>
      <c r="S945" s="624"/>
      <c r="T945" s="260"/>
      <c r="U945" s="624"/>
      <c r="V945" s="85"/>
      <c r="W945" s="624"/>
      <c r="X945" s="81"/>
      <c r="Y945" s="80"/>
      <c r="Z945" s="737">
        <f ca="1">MAX(0%,IF(Q945&lt;&gt;0,MIN((S945-Q945)/Q945/'Underwriting Risk'!$E$27,'Premium and Reserve Risk'!$Z$866),'Premium and Reserve Risk'!$Z$866))</f>
        <v>0.13</v>
      </c>
      <c r="AA945" s="80"/>
      <c r="AB945" s="80"/>
      <c r="AC945" s="737">
        <f ca="1">MAX(0%,IF(U945&lt;&gt;0,MIN((W945-U945)/U945/'Underwriting Risk'!$E$27,'Premium and Reserve Risk'!$AC$866),'Premium and Reserve Risk'!$AC$866))</f>
        <v>0.2</v>
      </c>
      <c r="AD945" s="81"/>
      <c r="AE945" s="97"/>
      <c r="AF945" s="97"/>
      <c r="AG945" s="97"/>
      <c r="AH945" s="97"/>
    </row>
    <row r="946" spans="1:34" ht="13.5" customHeight="1" x14ac:dyDescent="0.25">
      <c r="A946" s="97"/>
      <c r="B946" s="257">
        <v>79</v>
      </c>
      <c r="C946" s="652"/>
      <c r="D946" s="80"/>
      <c r="E946" s="80"/>
      <c r="F946" s="258">
        <f t="shared" ca="1" si="30"/>
        <v>0</v>
      </c>
      <c r="G946" s="624"/>
      <c r="H946" s="85"/>
      <c r="I946" s="624"/>
      <c r="J946" s="85"/>
      <c r="K946" s="624"/>
      <c r="L946" s="85"/>
      <c r="M946" s="624"/>
      <c r="N946" s="85"/>
      <c r="O946" s="624"/>
      <c r="P946" s="85"/>
      <c r="Q946" s="626">
        <f t="shared" si="28"/>
        <v>0</v>
      </c>
      <c r="R946" s="85"/>
      <c r="S946" s="624"/>
      <c r="T946" s="260"/>
      <c r="U946" s="624"/>
      <c r="V946" s="85"/>
      <c r="W946" s="624"/>
      <c r="X946" s="81"/>
      <c r="Y946" s="80"/>
      <c r="Z946" s="737">
        <f ca="1">MAX(0%,IF(Q946&lt;&gt;0,MIN((S946-Q946)/Q946/'Underwriting Risk'!$E$27,'Premium and Reserve Risk'!$Z$866),'Premium and Reserve Risk'!$Z$866))</f>
        <v>0.13</v>
      </c>
      <c r="AA946" s="80"/>
      <c r="AB946" s="80"/>
      <c r="AC946" s="737">
        <f ca="1">MAX(0%,IF(U946&lt;&gt;0,MIN((W946-U946)/U946/'Underwriting Risk'!$E$27,'Premium and Reserve Risk'!$AC$866),'Premium and Reserve Risk'!$AC$866))</f>
        <v>0.2</v>
      </c>
      <c r="AD946" s="81"/>
      <c r="AE946" s="97"/>
      <c r="AF946" s="97"/>
      <c r="AG946" s="97"/>
      <c r="AH946" s="97"/>
    </row>
    <row r="947" spans="1:34" ht="13.5" customHeight="1" x14ac:dyDescent="0.25">
      <c r="A947" s="97"/>
      <c r="B947" s="257">
        <v>80</v>
      </c>
      <c r="C947" s="652"/>
      <c r="D947" s="80"/>
      <c r="E947" s="80"/>
      <c r="F947" s="258">
        <f t="shared" ca="1" si="30"/>
        <v>0</v>
      </c>
      <c r="G947" s="624"/>
      <c r="H947" s="85"/>
      <c r="I947" s="624"/>
      <c r="J947" s="85"/>
      <c r="K947" s="624"/>
      <c r="L947" s="85"/>
      <c r="M947" s="624"/>
      <c r="N947" s="85"/>
      <c r="O947" s="624"/>
      <c r="P947" s="85"/>
      <c r="Q947" s="626">
        <f t="shared" si="28"/>
        <v>0</v>
      </c>
      <c r="R947" s="85"/>
      <c r="S947" s="624"/>
      <c r="T947" s="260"/>
      <c r="U947" s="624"/>
      <c r="V947" s="85"/>
      <c r="W947" s="624"/>
      <c r="X947" s="81"/>
      <c r="Y947" s="80"/>
      <c r="Z947" s="737">
        <f ca="1">MAX(0%,IF(Q947&lt;&gt;0,MIN((S947-Q947)/Q947/'Underwriting Risk'!$E$27,'Premium and Reserve Risk'!$Z$866),'Premium and Reserve Risk'!$Z$866))</f>
        <v>0.13</v>
      </c>
      <c r="AA947" s="80"/>
      <c r="AB947" s="80"/>
      <c r="AC947" s="737">
        <f ca="1">MAX(0%,IF(U947&lt;&gt;0,MIN((W947-U947)/U947/'Underwriting Risk'!$E$27,'Premium and Reserve Risk'!$AC$866),'Premium and Reserve Risk'!$AC$866))</f>
        <v>0.2</v>
      </c>
      <c r="AD947" s="81"/>
      <c r="AE947" s="97"/>
      <c r="AF947" s="97"/>
      <c r="AG947" s="97"/>
      <c r="AH947" s="97"/>
    </row>
    <row r="948" spans="1:34" ht="13.5" customHeight="1" x14ac:dyDescent="0.25">
      <c r="A948" s="97"/>
      <c r="B948" s="257">
        <v>81</v>
      </c>
      <c r="C948" s="652"/>
      <c r="D948" s="80"/>
      <c r="E948" s="80"/>
      <c r="F948" s="258">
        <f t="shared" ca="1" si="30"/>
        <v>0</v>
      </c>
      <c r="G948" s="624"/>
      <c r="H948" s="85"/>
      <c r="I948" s="624"/>
      <c r="J948" s="85"/>
      <c r="K948" s="624"/>
      <c r="L948" s="85"/>
      <c r="M948" s="624"/>
      <c r="N948" s="85"/>
      <c r="O948" s="624"/>
      <c r="P948" s="85"/>
      <c r="Q948" s="626">
        <f t="shared" si="28"/>
        <v>0</v>
      </c>
      <c r="R948" s="85"/>
      <c r="S948" s="624"/>
      <c r="T948" s="260"/>
      <c r="U948" s="624"/>
      <c r="V948" s="85"/>
      <c r="W948" s="624"/>
      <c r="X948" s="81"/>
      <c r="Y948" s="80"/>
      <c r="Z948" s="737">
        <f ca="1">MAX(0%,IF(Q948&lt;&gt;0,MIN((S948-Q948)/Q948/'Underwriting Risk'!$E$27,'Premium and Reserve Risk'!$Z$866),'Premium and Reserve Risk'!$Z$866))</f>
        <v>0.13</v>
      </c>
      <c r="AA948" s="80"/>
      <c r="AB948" s="80"/>
      <c r="AC948" s="737">
        <f ca="1">MAX(0%,IF(U948&lt;&gt;0,MIN((W948-U948)/U948/'Underwriting Risk'!$E$27,'Premium and Reserve Risk'!$AC$866),'Premium and Reserve Risk'!$AC$866))</f>
        <v>0.2</v>
      </c>
      <c r="AD948" s="81"/>
      <c r="AE948" s="97"/>
      <c r="AF948" s="97"/>
      <c r="AG948" s="97"/>
      <c r="AH948" s="97"/>
    </row>
    <row r="949" spans="1:34" ht="13.5" customHeight="1" x14ac:dyDescent="0.25">
      <c r="A949" s="97"/>
      <c r="B949" s="257">
        <v>82</v>
      </c>
      <c r="C949" s="652"/>
      <c r="D949" s="80"/>
      <c r="E949" s="80"/>
      <c r="F949" s="258">
        <f t="shared" ca="1" si="30"/>
        <v>0</v>
      </c>
      <c r="G949" s="624"/>
      <c r="H949" s="85"/>
      <c r="I949" s="624"/>
      <c r="J949" s="85"/>
      <c r="K949" s="624"/>
      <c r="L949" s="85"/>
      <c r="M949" s="624"/>
      <c r="N949" s="85"/>
      <c r="O949" s="624"/>
      <c r="P949" s="85"/>
      <c r="Q949" s="626">
        <f t="shared" si="28"/>
        <v>0</v>
      </c>
      <c r="R949" s="85"/>
      <c r="S949" s="624"/>
      <c r="T949" s="260"/>
      <c r="U949" s="624"/>
      <c r="V949" s="85"/>
      <c r="W949" s="624"/>
      <c r="X949" s="81"/>
      <c r="Y949" s="80"/>
      <c r="Z949" s="737">
        <f ca="1">MAX(0%,IF(Q949&lt;&gt;0,MIN((S949-Q949)/Q949/'Underwriting Risk'!$E$27,'Premium and Reserve Risk'!$Z$866),'Premium and Reserve Risk'!$Z$866))</f>
        <v>0.13</v>
      </c>
      <c r="AA949" s="80"/>
      <c r="AB949" s="80"/>
      <c r="AC949" s="737">
        <f ca="1">MAX(0%,IF(U949&lt;&gt;0,MIN((W949-U949)/U949/'Underwriting Risk'!$E$27,'Premium and Reserve Risk'!$AC$866),'Premium and Reserve Risk'!$AC$866))</f>
        <v>0.2</v>
      </c>
      <c r="AD949" s="81"/>
      <c r="AE949" s="97"/>
      <c r="AF949" s="97"/>
      <c r="AG949" s="97"/>
      <c r="AH949" s="97"/>
    </row>
    <row r="950" spans="1:34" ht="13.5" customHeight="1" x14ac:dyDescent="0.25">
      <c r="A950" s="97"/>
      <c r="B950" s="257">
        <v>83</v>
      </c>
      <c r="C950" s="652"/>
      <c r="D950" s="80"/>
      <c r="E950" s="80"/>
      <c r="F950" s="258">
        <f t="shared" ca="1" si="30"/>
        <v>0</v>
      </c>
      <c r="G950" s="624"/>
      <c r="H950" s="85"/>
      <c r="I950" s="624"/>
      <c r="J950" s="85"/>
      <c r="K950" s="624"/>
      <c r="L950" s="85"/>
      <c r="M950" s="624"/>
      <c r="N950" s="85"/>
      <c r="O950" s="624"/>
      <c r="P950" s="85"/>
      <c r="Q950" s="626">
        <f t="shared" si="28"/>
        <v>0</v>
      </c>
      <c r="R950" s="85"/>
      <c r="S950" s="624"/>
      <c r="T950" s="260"/>
      <c r="U950" s="624"/>
      <c r="V950" s="85"/>
      <c r="W950" s="624"/>
      <c r="X950" s="81"/>
      <c r="Y950" s="80"/>
      <c r="Z950" s="737">
        <f ca="1">MAX(0%,IF(Q950&lt;&gt;0,MIN((S950-Q950)/Q950/'Underwriting Risk'!$E$27,'Premium and Reserve Risk'!$Z$866),'Premium and Reserve Risk'!$Z$866))</f>
        <v>0.13</v>
      </c>
      <c r="AA950" s="80"/>
      <c r="AB950" s="80"/>
      <c r="AC950" s="737">
        <f ca="1">MAX(0%,IF(U950&lt;&gt;0,MIN((W950-U950)/U950/'Underwriting Risk'!$E$27,'Premium and Reserve Risk'!$AC$866),'Premium and Reserve Risk'!$AC$866))</f>
        <v>0.2</v>
      </c>
      <c r="AD950" s="81"/>
      <c r="AE950" s="97"/>
      <c r="AF950" s="97"/>
      <c r="AG950" s="97"/>
      <c r="AH950" s="97"/>
    </row>
    <row r="951" spans="1:34" ht="13.5" customHeight="1" x14ac:dyDescent="0.25">
      <c r="A951" s="97"/>
      <c r="B951" s="257">
        <v>84</v>
      </c>
      <c r="C951" s="652"/>
      <c r="D951" s="80"/>
      <c r="E951" s="80"/>
      <c r="F951" s="258">
        <f t="shared" ca="1" si="30"/>
        <v>0</v>
      </c>
      <c r="G951" s="624"/>
      <c r="H951" s="85"/>
      <c r="I951" s="624"/>
      <c r="J951" s="85"/>
      <c r="K951" s="624"/>
      <c r="L951" s="85"/>
      <c r="M951" s="624"/>
      <c r="N951" s="85"/>
      <c r="O951" s="624"/>
      <c r="P951" s="85"/>
      <c r="Q951" s="626">
        <f t="shared" si="28"/>
        <v>0</v>
      </c>
      <c r="R951" s="85"/>
      <c r="S951" s="624"/>
      <c r="T951" s="260"/>
      <c r="U951" s="624"/>
      <c r="V951" s="85"/>
      <c r="W951" s="624"/>
      <c r="X951" s="81"/>
      <c r="Y951" s="80"/>
      <c r="Z951" s="737">
        <f ca="1">MAX(0%,IF(Q951&lt;&gt;0,MIN((S951-Q951)/Q951/'Underwriting Risk'!$E$27,'Premium and Reserve Risk'!$Z$866),'Premium and Reserve Risk'!$Z$866))</f>
        <v>0.13</v>
      </c>
      <c r="AA951" s="80"/>
      <c r="AB951" s="80"/>
      <c r="AC951" s="737">
        <f ca="1">MAX(0%,IF(U951&lt;&gt;0,MIN((W951-U951)/U951/'Underwriting Risk'!$E$27,'Premium and Reserve Risk'!$AC$866),'Premium and Reserve Risk'!$AC$866))</f>
        <v>0.2</v>
      </c>
      <c r="AD951" s="81"/>
      <c r="AE951" s="97"/>
      <c r="AF951" s="97"/>
      <c r="AG951" s="97"/>
      <c r="AH951" s="97"/>
    </row>
    <row r="952" spans="1:34" ht="13.5" customHeight="1" x14ac:dyDescent="0.25">
      <c r="A952" s="97"/>
      <c r="B952" s="257">
        <v>85</v>
      </c>
      <c r="C952" s="652"/>
      <c r="D952" s="80"/>
      <c r="E952" s="80"/>
      <c r="F952" s="258">
        <f t="shared" ca="1" si="30"/>
        <v>0</v>
      </c>
      <c r="G952" s="624"/>
      <c r="H952" s="85"/>
      <c r="I952" s="624"/>
      <c r="J952" s="85"/>
      <c r="K952" s="624"/>
      <c r="L952" s="85"/>
      <c r="M952" s="624"/>
      <c r="N952" s="85"/>
      <c r="O952" s="624"/>
      <c r="P952" s="85"/>
      <c r="Q952" s="626">
        <f t="shared" si="28"/>
        <v>0</v>
      </c>
      <c r="R952" s="85"/>
      <c r="S952" s="624"/>
      <c r="T952" s="260"/>
      <c r="U952" s="624"/>
      <c r="V952" s="85"/>
      <c r="W952" s="624"/>
      <c r="X952" s="81"/>
      <c r="Y952" s="80"/>
      <c r="Z952" s="737">
        <f ca="1">MAX(0%,IF(Q952&lt;&gt;0,MIN((S952-Q952)/Q952/'Underwriting Risk'!$E$27,'Premium and Reserve Risk'!$Z$866),'Premium and Reserve Risk'!$Z$866))</f>
        <v>0.13</v>
      </c>
      <c r="AA952" s="80"/>
      <c r="AB952" s="80"/>
      <c r="AC952" s="737">
        <f ca="1">MAX(0%,IF(U952&lt;&gt;0,MIN((W952-U952)/U952/'Underwriting Risk'!$E$27,'Premium and Reserve Risk'!$AC$866),'Premium and Reserve Risk'!$AC$866))</f>
        <v>0.2</v>
      </c>
      <c r="AD952" s="81"/>
      <c r="AE952" s="97"/>
      <c r="AF952" s="97"/>
      <c r="AG952" s="97"/>
      <c r="AH952" s="97"/>
    </row>
    <row r="953" spans="1:34" ht="13.5" customHeight="1" x14ac:dyDescent="0.25">
      <c r="A953" s="97"/>
      <c r="B953" s="257">
        <v>86</v>
      </c>
      <c r="C953" s="652"/>
      <c r="D953" s="80"/>
      <c r="E953" s="80"/>
      <c r="F953" s="258">
        <f t="shared" ca="1" si="30"/>
        <v>0</v>
      </c>
      <c r="G953" s="624"/>
      <c r="H953" s="85"/>
      <c r="I953" s="624"/>
      <c r="J953" s="85"/>
      <c r="K953" s="624"/>
      <c r="L953" s="85"/>
      <c r="M953" s="624"/>
      <c r="N953" s="85"/>
      <c r="O953" s="624"/>
      <c r="P953" s="85"/>
      <c r="Q953" s="626">
        <f t="shared" si="28"/>
        <v>0</v>
      </c>
      <c r="R953" s="85"/>
      <c r="S953" s="624"/>
      <c r="T953" s="260"/>
      <c r="U953" s="624"/>
      <c r="V953" s="85"/>
      <c r="W953" s="624"/>
      <c r="X953" s="81"/>
      <c r="Y953" s="80"/>
      <c r="Z953" s="737">
        <f ca="1">MAX(0%,IF(Q953&lt;&gt;0,MIN((S953-Q953)/Q953/'Underwriting Risk'!$E$27,'Premium and Reserve Risk'!$Z$866),'Premium and Reserve Risk'!$Z$866))</f>
        <v>0.13</v>
      </c>
      <c r="AA953" s="80"/>
      <c r="AB953" s="80"/>
      <c r="AC953" s="737">
        <f ca="1">MAX(0%,IF(U953&lt;&gt;0,MIN((W953-U953)/U953/'Underwriting Risk'!$E$27,'Premium and Reserve Risk'!$AC$866),'Premium and Reserve Risk'!$AC$866))</f>
        <v>0.2</v>
      </c>
      <c r="AD953" s="81"/>
      <c r="AE953" s="97"/>
      <c r="AF953" s="97"/>
      <c r="AG953" s="97"/>
      <c r="AH953" s="97"/>
    </row>
    <row r="954" spans="1:34" ht="13.5" customHeight="1" x14ac:dyDescent="0.25">
      <c r="A954" s="97"/>
      <c r="B954" s="257">
        <v>87</v>
      </c>
      <c r="C954" s="652"/>
      <c r="D954" s="80"/>
      <c r="E954" s="80"/>
      <c r="F954" s="258">
        <f t="shared" ca="1" si="30"/>
        <v>0</v>
      </c>
      <c r="G954" s="624"/>
      <c r="H954" s="85"/>
      <c r="I954" s="624"/>
      <c r="J954" s="85"/>
      <c r="K954" s="624"/>
      <c r="L954" s="85"/>
      <c r="M954" s="624"/>
      <c r="N954" s="85"/>
      <c r="O954" s="624"/>
      <c r="P954" s="85"/>
      <c r="Q954" s="626">
        <f t="shared" si="28"/>
        <v>0</v>
      </c>
      <c r="R954" s="85"/>
      <c r="S954" s="624"/>
      <c r="T954" s="260"/>
      <c r="U954" s="624"/>
      <c r="V954" s="85"/>
      <c r="W954" s="624"/>
      <c r="X954" s="81"/>
      <c r="Y954" s="80"/>
      <c r="Z954" s="737">
        <f ca="1">MAX(0%,IF(Q954&lt;&gt;0,MIN((S954-Q954)/Q954/'Underwriting Risk'!$E$27,'Premium and Reserve Risk'!$Z$866),'Premium and Reserve Risk'!$Z$866))</f>
        <v>0.13</v>
      </c>
      <c r="AA954" s="80"/>
      <c r="AB954" s="80"/>
      <c r="AC954" s="737">
        <f ca="1">MAX(0%,IF(U954&lt;&gt;0,MIN((W954-U954)/U954/'Underwriting Risk'!$E$27,'Premium and Reserve Risk'!$AC$866),'Premium and Reserve Risk'!$AC$866))</f>
        <v>0.2</v>
      </c>
      <c r="AD954" s="81"/>
      <c r="AE954" s="97"/>
      <c r="AF954" s="97"/>
      <c r="AG954" s="97"/>
      <c r="AH954" s="97"/>
    </row>
    <row r="955" spans="1:34" ht="13.5" customHeight="1" x14ac:dyDescent="0.25">
      <c r="A955" s="97"/>
      <c r="B955" s="257">
        <v>88</v>
      </c>
      <c r="C955" s="652"/>
      <c r="D955" s="80"/>
      <c r="E955" s="80"/>
      <c r="F955" s="258">
        <f t="shared" ca="1" si="30"/>
        <v>0</v>
      </c>
      <c r="G955" s="624"/>
      <c r="H955" s="85"/>
      <c r="I955" s="624"/>
      <c r="J955" s="85"/>
      <c r="K955" s="624"/>
      <c r="L955" s="85"/>
      <c r="M955" s="624"/>
      <c r="N955" s="85"/>
      <c r="O955" s="624"/>
      <c r="P955" s="85"/>
      <c r="Q955" s="626">
        <f t="shared" si="28"/>
        <v>0</v>
      </c>
      <c r="R955" s="85"/>
      <c r="S955" s="624"/>
      <c r="T955" s="260"/>
      <c r="U955" s="624"/>
      <c r="V955" s="85"/>
      <c r="W955" s="624"/>
      <c r="X955" s="81"/>
      <c r="Y955" s="80"/>
      <c r="Z955" s="737">
        <f ca="1">MAX(0%,IF(Q955&lt;&gt;0,MIN((S955-Q955)/Q955/'Underwriting Risk'!$E$27,'Premium and Reserve Risk'!$Z$866),'Premium and Reserve Risk'!$Z$866))</f>
        <v>0.13</v>
      </c>
      <c r="AA955" s="80"/>
      <c r="AB955" s="80"/>
      <c r="AC955" s="737">
        <f ca="1">MAX(0%,IF(U955&lt;&gt;0,MIN((W955-U955)/U955/'Underwriting Risk'!$E$27,'Premium and Reserve Risk'!$AC$866),'Premium and Reserve Risk'!$AC$866))</f>
        <v>0.2</v>
      </c>
      <c r="AD955" s="81"/>
      <c r="AE955" s="97"/>
      <c r="AF955" s="97"/>
      <c r="AG955" s="97"/>
      <c r="AH955" s="97"/>
    </row>
    <row r="956" spans="1:34" ht="13.5" customHeight="1" x14ac:dyDescent="0.25">
      <c r="A956" s="97"/>
      <c r="B956" s="257">
        <v>89</v>
      </c>
      <c r="C956" s="652"/>
      <c r="D956" s="80"/>
      <c r="E956" s="80"/>
      <c r="F956" s="258">
        <f t="shared" ca="1" si="30"/>
        <v>0</v>
      </c>
      <c r="G956" s="624"/>
      <c r="H956" s="85"/>
      <c r="I956" s="624"/>
      <c r="J956" s="85"/>
      <c r="K956" s="624"/>
      <c r="L956" s="85"/>
      <c r="M956" s="624"/>
      <c r="N956" s="85"/>
      <c r="O956" s="624"/>
      <c r="P956" s="85"/>
      <c r="Q956" s="626">
        <f t="shared" si="28"/>
        <v>0</v>
      </c>
      <c r="R956" s="85"/>
      <c r="S956" s="624"/>
      <c r="T956" s="260"/>
      <c r="U956" s="624"/>
      <c r="V956" s="85"/>
      <c r="W956" s="624"/>
      <c r="X956" s="81"/>
      <c r="Y956" s="80"/>
      <c r="Z956" s="737">
        <f ca="1">MAX(0%,IF(Q956&lt;&gt;0,MIN((S956-Q956)/Q956/'Underwriting Risk'!$E$27,'Premium and Reserve Risk'!$Z$866),'Premium and Reserve Risk'!$Z$866))</f>
        <v>0.13</v>
      </c>
      <c r="AA956" s="80"/>
      <c r="AB956" s="80"/>
      <c r="AC956" s="737">
        <f ca="1">MAX(0%,IF(U956&lt;&gt;0,MIN((W956-U956)/U956/'Underwriting Risk'!$E$27,'Premium and Reserve Risk'!$AC$866),'Premium and Reserve Risk'!$AC$866))</f>
        <v>0.2</v>
      </c>
      <c r="AD956" s="81"/>
      <c r="AE956" s="97"/>
      <c r="AF956" s="97"/>
      <c r="AG956" s="97"/>
      <c r="AH956" s="97"/>
    </row>
    <row r="957" spans="1:34" ht="13.5" customHeight="1" x14ac:dyDescent="0.25">
      <c r="A957" s="97"/>
      <c r="B957" s="257">
        <v>90</v>
      </c>
      <c r="C957" s="652"/>
      <c r="D957" s="80"/>
      <c r="E957" s="80"/>
      <c r="F957" s="258">
        <f t="shared" ca="1" si="30"/>
        <v>0</v>
      </c>
      <c r="G957" s="624"/>
      <c r="H957" s="85"/>
      <c r="I957" s="624"/>
      <c r="J957" s="85"/>
      <c r="K957" s="624"/>
      <c r="L957" s="85"/>
      <c r="M957" s="624"/>
      <c r="N957" s="85"/>
      <c r="O957" s="624"/>
      <c r="P957" s="85"/>
      <c r="Q957" s="626">
        <f t="shared" si="28"/>
        <v>0</v>
      </c>
      <c r="R957" s="85"/>
      <c r="S957" s="624"/>
      <c r="T957" s="260"/>
      <c r="U957" s="624"/>
      <c r="V957" s="85"/>
      <c r="W957" s="624"/>
      <c r="X957" s="81"/>
      <c r="Y957" s="80"/>
      <c r="Z957" s="737">
        <f ca="1">MAX(0%,IF(Q957&lt;&gt;0,MIN((S957-Q957)/Q957/'Underwriting Risk'!$E$27,'Premium and Reserve Risk'!$Z$866),'Premium and Reserve Risk'!$Z$866))</f>
        <v>0.13</v>
      </c>
      <c r="AA957" s="80"/>
      <c r="AB957" s="80"/>
      <c r="AC957" s="737">
        <f ca="1">MAX(0%,IF(U957&lt;&gt;0,MIN((W957-U957)/U957/'Underwriting Risk'!$E$27,'Premium and Reserve Risk'!$AC$866),'Premium and Reserve Risk'!$AC$866))</f>
        <v>0.2</v>
      </c>
      <c r="AD957" s="81"/>
      <c r="AE957" s="97"/>
      <c r="AF957" s="97"/>
      <c r="AG957" s="97"/>
      <c r="AH957" s="97"/>
    </row>
    <row r="958" spans="1:34" ht="13.5" customHeight="1" x14ac:dyDescent="0.25">
      <c r="A958" s="97"/>
      <c r="B958" s="257">
        <v>91</v>
      </c>
      <c r="C958" s="652"/>
      <c r="D958" s="80"/>
      <c r="E958" s="80"/>
      <c r="F958" s="258">
        <f t="shared" ca="1" si="30"/>
        <v>0</v>
      </c>
      <c r="G958" s="624"/>
      <c r="H958" s="85"/>
      <c r="I958" s="624"/>
      <c r="J958" s="85"/>
      <c r="K958" s="624"/>
      <c r="L958" s="85"/>
      <c r="M958" s="624"/>
      <c r="N958" s="85"/>
      <c r="O958" s="624"/>
      <c r="P958" s="85"/>
      <c r="Q958" s="626">
        <f t="shared" si="28"/>
        <v>0</v>
      </c>
      <c r="R958" s="85"/>
      <c r="S958" s="624"/>
      <c r="T958" s="260"/>
      <c r="U958" s="624"/>
      <c r="V958" s="85"/>
      <c r="W958" s="624"/>
      <c r="X958" s="81"/>
      <c r="Y958" s="80"/>
      <c r="Z958" s="737">
        <f ca="1">MAX(0%,IF(Q958&lt;&gt;0,MIN((S958-Q958)/Q958/'Underwriting Risk'!$E$27,'Premium and Reserve Risk'!$Z$866),'Premium and Reserve Risk'!$Z$866))</f>
        <v>0.13</v>
      </c>
      <c r="AA958" s="80"/>
      <c r="AB958" s="80"/>
      <c r="AC958" s="737">
        <f ca="1">MAX(0%,IF(U958&lt;&gt;0,MIN((W958-U958)/U958/'Underwriting Risk'!$E$27,'Premium and Reserve Risk'!$AC$866),'Premium and Reserve Risk'!$AC$866))</f>
        <v>0.2</v>
      </c>
      <c r="AD958" s="81"/>
      <c r="AE958" s="97"/>
      <c r="AF958" s="97"/>
      <c r="AG958" s="97"/>
      <c r="AH958" s="97"/>
    </row>
    <row r="959" spans="1:34" ht="13.5" customHeight="1" x14ac:dyDescent="0.25">
      <c r="A959" s="97"/>
      <c r="B959" s="257">
        <v>92</v>
      </c>
      <c r="C959" s="652"/>
      <c r="D959" s="80"/>
      <c r="E959" s="80"/>
      <c r="F959" s="258">
        <f t="shared" ca="1" si="30"/>
        <v>0</v>
      </c>
      <c r="G959" s="624"/>
      <c r="H959" s="85"/>
      <c r="I959" s="624"/>
      <c r="J959" s="85"/>
      <c r="K959" s="624"/>
      <c r="L959" s="85"/>
      <c r="M959" s="624"/>
      <c r="N959" s="85"/>
      <c r="O959" s="624"/>
      <c r="P959" s="85"/>
      <c r="Q959" s="626">
        <f t="shared" si="28"/>
        <v>0</v>
      </c>
      <c r="R959" s="85"/>
      <c r="S959" s="624"/>
      <c r="T959" s="260"/>
      <c r="U959" s="624"/>
      <c r="V959" s="85"/>
      <c r="W959" s="624"/>
      <c r="X959" s="81"/>
      <c r="Y959" s="80"/>
      <c r="Z959" s="737">
        <f ca="1">MAX(0%,IF(Q959&lt;&gt;0,MIN((S959-Q959)/Q959/'Underwriting Risk'!$E$27,'Premium and Reserve Risk'!$Z$866),'Premium and Reserve Risk'!$Z$866))</f>
        <v>0.13</v>
      </c>
      <c r="AA959" s="80"/>
      <c r="AB959" s="80"/>
      <c r="AC959" s="737">
        <f ca="1">MAX(0%,IF(U959&lt;&gt;0,MIN((W959-U959)/U959/'Underwriting Risk'!$E$27,'Premium and Reserve Risk'!$AC$866),'Premium and Reserve Risk'!$AC$866))</f>
        <v>0.2</v>
      </c>
      <c r="AD959" s="81"/>
      <c r="AE959" s="97"/>
      <c r="AF959" s="97"/>
      <c r="AG959" s="97"/>
      <c r="AH959" s="97"/>
    </row>
    <row r="960" spans="1:34" ht="13.5" customHeight="1" x14ac:dyDescent="0.25">
      <c r="A960" s="97"/>
      <c r="B960" s="257">
        <v>93</v>
      </c>
      <c r="C960" s="652"/>
      <c r="D960" s="80"/>
      <c r="E960" s="80"/>
      <c r="F960" s="258">
        <f t="shared" ca="1" si="30"/>
        <v>0</v>
      </c>
      <c r="G960" s="624"/>
      <c r="H960" s="85"/>
      <c r="I960" s="624"/>
      <c r="J960" s="85"/>
      <c r="K960" s="624"/>
      <c r="L960" s="85"/>
      <c r="M960" s="624"/>
      <c r="N960" s="85"/>
      <c r="O960" s="624"/>
      <c r="P960" s="85"/>
      <c r="Q960" s="626">
        <f t="shared" si="28"/>
        <v>0</v>
      </c>
      <c r="R960" s="85"/>
      <c r="S960" s="624"/>
      <c r="T960" s="260"/>
      <c r="U960" s="624"/>
      <c r="V960" s="85"/>
      <c r="W960" s="624"/>
      <c r="X960" s="81"/>
      <c r="Y960" s="80"/>
      <c r="Z960" s="737">
        <f ca="1">MAX(0%,IF(Q960&lt;&gt;0,MIN((S960-Q960)/Q960/'Underwriting Risk'!$E$27,'Premium and Reserve Risk'!$Z$866),'Premium and Reserve Risk'!$Z$866))</f>
        <v>0.13</v>
      </c>
      <c r="AA960" s="80"/>
      <c r="AB960" s="80"/>
      <c r="AC960" s="737">
        <f ca="1">MAX(0%,IF(U960&lt;&gt;0,MIN((W960-U960)/U960/'Underwriting Risk'!$E$27,'Premium and Reserve Risk'!$AC$866),'Premium and Reserve Risk'!$AC$866))</f>
        <v>0.2</v>
      </c>
      <c r="AD960" s="81"/>
      <c r="AE960" s="97"/>
      <c r="AF960" s="97"/>
      <c r="AG960" s="97"/>
      <c r="AH960" s="97"/>
    </row>
    <row r="961" spans="1:34" ht="13.5" customHeight="1" x14ac:dyDescent="0.25">
      <c r="A961" s="97"/>
      <c r="B961" s="257">
        <v>94</v>
      </c>
      <c r="C961" s="652"/>
      <c r="D961" s="80"/>
      <c r="E961" s="80"/>
      <c r="F961" s="258">
        <f t="shared" ca="1" si="30"/>
        <v>0</v>
      </c>
      <c r="G961" s="624"/>
      <c r="H961" s="85"/>
      <c r="I961" s="624"/>
      <c r="J961" s="85"/>
      <c r="K961" s="624"/>
      <c r="L961" s="85"/>
      <c r="M961" s="624"/>
      <c r="N961" s="85"/>
      <c r="O961" s="624"/>
      <c r="P961" s="85"/>
      <c r="Q961" s="626">
        <f t="shared" si="28"/>
        <v>0</v>
      </c>
      <c r="R961" s="85"/>
      <c r="S961" s="624"/>
      <c r="T961" s="260"/>
      <c r="U961" s="624"/>
      <c r="V961" s="85"/>
      <c r="W961" s="624"/>
      <c r="X961" s="81"/>
      <c r="Y961" s="80"/>
      <c r="Z961" s="737">
        <f ca="1">MAX(0%,IF(Q961&lt;&gt;0,MIN((S961-Q961)/Q961/'Underwriting Risk'!$E$27,'Premium and Reserve Risk'!$Z$866),'Premium and Reserve Risk'!$Z$866))</f>
        <v>0.13</v>
      </c>
      <c r="AA961" s="80"/>
      <c r="AB961" s="80"/>
      <c r="AC961" s="737">
        <f ca="1">MAX(0%,IF(U961&lt;&gt;0,MIN((W961-U961)/U961/'Underwriting Risk'!$E$27,'Premium and Reserve Risk'!$AC$866),'Premium and Reserve Risk'!$AC$866))</f>
        <v>0.2</v>
      </c>
      <c r="AD961" s="81"/>
      <c r="AE961" s="97"/>
      <c r="AF961" s="97"/>
      <c r="AG961" s="97"/>
      <c r="AH961" s="97"/>
    </row>
    <row r="962" spans="1:34" ht="13.5" customHeight="1" x14ac:dyDescent="0.25">
      <c r="A962" s="97"/>
      <c r="B962" s="257">
        <v>95</v>
      </c>
      <c r="C962" s="652"/>
      <c r="D962" s="80"/>
      <c r="E962" s="80"/>
      <c r="F962" s="258">
        <f t="shared" ca="1" si="30"/>
        <v>0</v>
      </c>
      <c r="G962" s="624"/>
      <c r="H962" s="85"/>
      <c r="I962" s="624"/>
      <c r="J962" s="85"/>
      <c r="K962" s="624"/>
      <c r="L962" s="85"/>
      <c r="M962" s="624"/>
      <c r="N962" s="85"/>
      <c r="O962" s="624"/>
      <c r="P962" s="85"/>
      <c r="Q962" s="626">
        <f t="shared" si="28"/>
        <v>0</v>
      </c>
      <c r="R962" s="85"/>
      <c r="S962" s="624"/>
      <c r="T962" s="260"/>
      <c r="U962" s="624"/>
      <c r="V962" s="85"/>
      <c r="W962" s="624"/>
      <c r="X962" s="81"/>
      <c r="Y962" s="80"/>
      <c r="Z962" s="737">
        <f ca="1">MAX(0%,IF(Q962&lt;&gt;0,MIN((S962-Q962)/Q962/'Underwriting Risk'!$E$27,'Premium and Reserve Risk'!$Z$866),'Premium and Reserve Risk'!$Z$866))</f>
        <v>0.13</v>
      </c>
      <c r="AA962" s="80"/>
      <c r="AB962" s="80"/>
      <c r="AC962" s="737">
        <f ca="1">MAX(0%,IF(U962&lt;&gt;0,MIN((W962-U962)/U962/'Underwriting Risk'!$E$27,'Premium and Reserve Risk'!$AC$866),'Premium and Reserve Risk'!$AC$866))</f>
        <v>0.2</v>
      </c>
      <c r="AD962" s="81"/>
      <c r="AE962" s="97"/>
      <c r="AF962" s="97"/>
      <c r="AG962" s="97"/>
      <c r="AH962" s="97"/>
    </row>
    <row r="963" spans="1:34" ht="13.5" customHeight="1" x14ac:dyDescent="0.25">
      <c r="A963" s="97"/>
      <c r="B963" s="257">
        <v>96</v>
      </c>
      <c r="C963" s="652"/>
      <c r="D963" s="80"/>
      <c r="E963" s="80"/>
      <c r="F963" s="258">
        <f t="shared" ca="1" si="30"/>
        <v>0</v>
      </c>
      <c r="G963" s="624"/>
      <c r="H963" s="85"/>
      <c r="I963" s="624"/>
      <c r="J963" s="85"/>
      <c r="K963" s="624"/>
      <c r="L963" s="85"/>
      <c r="M963" s="624"/>
      <c r="N963" s="85"/>
      <c r="O963" s="624"/>
      <c r="P963" s="85"/>
      <c r="Q963" s="626">
        <f t="shared" si="28"/>
        <v>0</v>
      </c>
      <c r="R963" s="85"/>
      <c r="S963" s="624"/>
      <c r="T963" s="260"/>
      <c r="U963" s="624"/>
      <c r="V963" s="85"/>
      <c r="W963" s="624"/>
      <c r="X963" s="81"/>
      <c r="Y963" s="80"/>
      <c r="Z963" s="737">
        <f ca="1">MAX(0%,IF(Q963&lt;&gt;0,MIN((S963-Q963)/Q963/'Underwriting Risk'!$E$27,'Premium and Reserve Risk'!$Z$866),'Premium and Reserve Risk'!$Z$866))</f>
        <v>0.13</v>
      </c>
      <c r="AA963" s="80"/>
      <c r="AB963" s="80"/>
      <c r="AC963" s="737">
        <f ca="1">MAX(0%,IF(U963&lt;&gt;0,MIN((W963-U963)/U963/'Underwriting Risk'!$E$27,'Premium and Reserve Risk'!$AC$866),'Premium and Reserve Risk'!$AC$866))</f>
        <v>0.2</v>
      </c>
      <c r="AD963" s="81"/>
      <c r="AE963" s="97"/>
      <c r="AF963" s="97"/>
      <c r="AG963" s="97"/>
      <c r="AH963" s="97"/>
    </row>
    <row r="964" spans="1:34" ht="13.5" customHeight="1" x14ac:dyDescent="0.25">
      <c r="A964" s="97"/>
      <c r="B964" s="257">
        <v>97</v>
      </c>
      <c r="C964" s="652"/>
      <c r="D964" s="80"/>
      <c r="E964" s="80"/>
      <c r="F964" s="258">
        <f t="shared" ca="1" si="30"/>
        <v>0</v>
      </c>
      <c r="G964" s="624"/>
      <c r="H964" s="85"/>
      <c r="I964" s="624"/>
      <c r="J964" s="85"/>
      <c r="K964" s="624"/>
      <c r="L964" s="85"/>
      <c r="M964" s="624"/>
      <c r="N964" s="85"/>
      <c r="O964" s="624"/>
      <c r="P964" s="85"/>
      <c r="Q964" s="626">
        <f t="shared" si="28"/>
        <v>0</v>
      </c>
      <c r="R964" s="85"/>
      <c r="S964" s="624"/>
      <c r="T964" s="260"/>
      <c r="U964" s="624"/>
      <c r="V964" s="85"/>
      <c r="W964" s="624"/>
      <c r="X964" s="81"/>
      <c r="Y964" s="80"/>
      <c r="Z964" s="737">
        <f ca="1">MAX(0%,IF(Q964&lt;&gt;0,MIN((S964-Q964)/Q964/'Underwriting Risk'!$E$27,'Premium and Reserve Risk'!$Z$866),'Premium and Reserve Risk'!$Z$866))</f>
        <v>0.13</v>
      </c>
      <c r="AA964" s="80"/>
      <c r="AB964" s="80"/>
      <c r="AC964" s="737">
        <f ca="1">MAX(0%,IF(U964&lt;&gt;0,MIN((W964-U964)/U964/'Underwriting Risk'!$E$27,'Premium and Reserve Risk'!$AC$866),'Premium and Reserve Risk'!$AC$866))</f>
        <v>0.2</v>
      </c>
      <c r="AD964" s="81"/>
      <c r="AE964" s="97"/>
      <c r="AF964" s="97"/>
      <c r="AG964" s="97"/>
      <c r="AH964" s="97"/>
    </row>
    <row r="965" spans="1:34" ht="13.5" customHeight="1" x14ac:dyDescent="0.25">
      <c r="A965" s="97"/>
      <c r="B965" s="257">
        <v>98</v>
      </c>
      <c r="C965" s="652"/>
      <c r="D965" s="80"/>
      <c r="E965" s="80"/>
      <c r="F965" s="258">
        <f t="shared" ca="1" si="30"/>
        <v>0</v>
      </c>
      <c r="G965" s="624"/>
      <c r="H965" s="85"/>
      <c r="I965" s="624"/>
      <c r="J965" s="85"/>
      <c r="K965" s="624"/>
      <c r="L965" s="85"/>
      <c r="M965" s="624"/>
      <c r="N965" s="85"/>
      <c r="O965" s="624"/>
      <c r="P965" s="85"/>
      <c r="Q965" s="626">
        <f t="shared" si="28"/>
        <v>0</v>
      </c>
      <c r="R965" s="85"/>
      <c r="S965" s="624"/>
      <c r="T965" s="260"/>
      <c r="U965" s="624"/>
      <c r="V965" s="85"/>
      <c r="W965" s="624"/>
      <c r="X965" s="81"/>
      <c r="Y965" s="80"/>
      <c r="Z965" s="737">
        <f ca="1">MAX(0%,IF(Q965&lt;&gt;0,MIN((S965-Q965)/Q965/'Underwriting Risk'!$E$27,'Premium and Reserve Risk'!$Z$866),'Premium and Reserve Risk'!$Z$866))</f>
        <v>0.13</v>
      </c>
      <c r="AA965" s="80"/>
      <c r="AB965" s="80"/>
      <c r="AC965" s="737">
        <f ca="1">MAX(0%,IF(U965&lt;&gt;0,MIN((W965-U965)/U965/'Underwriting Risk'!$E$27,'Premium and Reserve Risk'!$AC$866),'Premium and Reserve Risk'!$AC$866))</f>
        <v>0.2</v>
      </c>
      <c r="AD965" s="81"/>
      <c r="AE965" s="97"/>
      <c r="AF965" s="97"/>
      <c r="AG965" s="97"/>
      <c r="AH965" s="97"/>
    </row>
    <row r="966" spans="1:34" ht="13.5" customHeight="1" x14ac:dyDescent="0.25">
      <c r="A966" s="97"/>
      <c r="B966" s="257">
        <v>99</v>
      </c>
      <c r="C966" s="652"/>
      <c r="D966" s="80"/>
      <c r="E966" s="80"/>
      <c r="F966" s="258">
        <f t="shared" ca="1" si="30"/>
        <v>0</v>
      </c>
      <c r="G966" s="624"/>
      <c r="H966" s="85"/>
      <c r="I966" s="624"/>
      <c r="J966" s="85"/>
      <c r="K966" s="624"/>
      <c r="L966" s="85"/>
      <c r="M966" s="624"/>
      <c r="N966" s="85"/>
      <c r="O966" s="624"/>
      <c r="P966" s="85"/>
      <c r="Q966" s="626">
        <f t="shared" si="28"/>
        <v>0</v>
      </c>
      <c r="R966" s="85"/>
      <c r="S966" s="624"/>
      <c r="T966" s="260"/>
      <c r="U966" s="624"/>
      <c r="V966" s="85"/>
      <c r="W966" s="624"/>
      <c r="X966" s="81"/>
      <c r="Y966" s="80"/>
      <c r="Z966" s="737">
        <f ca="1">MAX(0%,IF(Q966&lt;&gt;0,MIN((S966-Q966)/Q966/'Underwriting Risk'!$E$27,'Premium and Reserve Risk'!$Z$866),'Premium and Reserve Risk'!$Z$866))</f>
        <v>0.13</v>
      </c>
      <c r="AA966" s="80"/>
      <c r="AB966" s="80"/>
      <c r="AC966" s="737">
        <f ca="1">MAX(0%,IF(U966&lt;&gt;0,MIN((W966-U966)/U966/'Underwriting Risk'!$E$27,'Premium and Reserve Risk'!$AC$866),'Premium and Reserve Risk'!$AC$866))</f>
        <v>0.2</v>
      </c>
      <c r="AD966" s="81"/>
      <c r="AE966" s="97"/>
      <c r="AF966" s="97"/>
      <c r="AG966" s="97"/>
      <c r="AH966" s="97"/>
    </row>
    <row r="967" spans="1:34" ht="13.5" customHeight="1" x14ac:dyDescent="0.25">
      <c r="A967" s="97"/>
      <c r="B967" s="257">
        <v>100</v>
      </c>
      <c r="C967" s="652"/>
      <c r="D967" s="80"/>
      <c r="E967" s="80"/>
      <c r="F967" s="258">
        <f t="shared" ca="1" si="30"/>
        <v>0</v>
      </c>
      <c r="G967" s="624"/>
      <c r="H967" s="85"/>
      <c r="I967" s="624"/>
      <c r="J967" s="85"/>
      <c r="K967" s="624"/>
      <c r="L967" s="85"/>
      <c r="M967" s="624"/>
      <c r="N967" s="85"/>
      <c r="O967" s="624"/>
      <c r="P967" s="85"/>
      <c r="Q967" s="626">
        <f t="shared" si="28"/>
        <v>0</v>
      </c>
      <c r="R967" s="85"/>
      <c r="S967" s="624"/>
      <c r="T967" s="260"/>
      <c r="U967" s="624"/>
      <c r="V967" s="85"/>
      <c r="W967" s="624"/>
      <c r="X967" s="81"/>
      <c r="Y967" s="80"/>
      <c r="Z967" s="737">
        <f ca="1">MAX(0%,IF(Q967&lt;&gt;0,MIN((S967-Q967)/Q967/'Underwriting Risk'!$E$27,'Premium and Reserve Risk'!$Z$866),'Premium and Reserve Risk'!$Z$866))</f>
        <v>0.13</v>
      </c>
      <c r="AA967" s="80"/>
      <c r="AB967" s="80"/>
      <c r="AC967" s="737">
        <f ca="1">MAX(0%,IF(U967&lt;&gt;0,MIN((W967-U967)/U967/'Underwriting Risk'!$E$27,'Premium and Reserve Risk'!$AC$866),'Premium and Reserve Risk'!$AC$866))</f>
        <v>0.2</v>
      </c>
      <c r="AD967" s="81"/>
      <c r="AE967" s="97"/>
      <c r="AF967" s="97"/>
      <c r="AG967" s="97"/>
      <c r="AH967" s="97"/>
    </row>
    <row r="968" spans="1:34" ht="6" customHeight="1" thickBot="1" x14ac:dyDescent="0.3">
      <c r="A968" s="97"/>
      <c r="B968" s="110"/>
      <c r="C968" s="93"/>
      <c r="D968" s="93"/>
      <c r="E968" s="93"/>
      <c r="F968" s="261">
        <f ca="1">IF(OFFSET($Z$8,B865-1,0)=0,1,0)</f>
        <v>0</v>
      </c>
      <c r="G968" s="134"/>
      <c r="H968" s="134"/>
      <c r="I968" s="134"/>
      <c r="J968" s="134"/>
      <c r="K968" s="134"/>
      <c r="L968" s="134"/>
      <c r="M968" s="134"/>
      <c r="N968" s="134"/>
      <c r="O968" s="134"/>
      <c r="P968" s="134"/>
      <c r="Q968" s="134"/>
      <c r="R968" s="134"/>
      <c r="S968" s="134"/>
      <c r="T968" s="134"/>
      <c r="U968" s="134"/>
      <c r="V968" s="134"/>
      <c r="W968" s="134"/>
      <c r="X968" s="94"/>
      <c r="Y968" s="93"/>
      <c r="Z968" s="93"/>
      <c r="AA968" s="93"/>
      <c r="AB968" s="93"/>
      <c r="AC968" s="93"/>
      <c r="AD968" s="94"/>
      <c r="AE968" s="97"/>
      <c r="AF968" s="97"/>
      <c r="AG968" s="97"/>
      <c r="AH968" s="97"/>
    </row>
    <row r="969" spans="1:34" ht="16.5" thickBot="1" x14ac:dyDescent="0.3">
      <c r="A969" s="97"/>
      <c r="B969" s="53"/>
      <c r="C969" s="53"/>
      <c r="D969" s="53"/>
      <c r="E969" s="53"/>
      <c r="F969" s="53"/>
      <c r="G969" s="109"/>
      <c r="H969" s="109"/>
      <c r="I969" s="109"/>
      <c r="J969" s="109"/>
      <c r="K969" s="109"/>
      <c r="L969" s="109"/>
      <c r="M969" s="109"/>
      <c r="N969" s="109"/>
      <c r="O969" s="109"/>
      <c r="P969" s="109"/>
      <c r="Q969" s="109"/>
      <c r="R969" s="109"/>
      <c r="S969" s="109"/>
      <c r="T969" s="109"/>
      <c r="U969" s="109"/>
      <c r="V969" s="109"/>
      <c r="W969" s="109"/>
      <c r="X969" s="53"/>
      <c r="Y969" s="53"/>
      <c r="Z969" s="53"/>
      <c r="AA969" s="53"/>
      <c r="AB969" s="53"/>
      <c r="AC969" s="53"/>
      <c r="AD969" s="53"/>
      <c r="AE969" s="97"/>
      <c r="AF969" s="97"/>
      <c r="AG969" s="97"/>
      <c r="AH969" s="97"/>
    </row>
    <row r="970" spans="1:34" ht="31.5" x14ac:dyDescent="0.25">
      <c r="A970" s="97"/>
      <c r="B970" s="187">
        <v>25</v>
      </c>
      <c r="C970" s="187" t="str">
        <f ca="1">RIGHT(OFFSET($B$8,B970-16,0),LEN(OFFSET($B$8,B970-16,0))-5)</f>
        <v>Non-prop. reinsurance - Casualty</v>
      </c>
      <c r="D970" s="68"/>
      <c r="E970" s="68"/>
      <c r="F970" s="68"/>
      <c r="G970" s="68"/>
      <c r="H970" s="68"/>
      <c r="I970" s="68"/>
      <c r="J970" s="68"/>
      <c r="K970" s="68"/>
      <c r="L970" s="68"/>
      <c r="M970" s="68"/>
      <c r="N970" s="68"/>
      <c r="O970" s="68"/>
      <c r="P970" s="68"/>
      <c r="Q970" s="68"/>
      <c r="R970" s="68"/>
      <c r="S970" s="68"/>
      <c r="T970" s="68"/>
      <c r="U970" s="68"/>
      <c r="V970" s="68"/>
      <c r="W970" s="68"/>
      <c r="X970" s="251"/>
      <c r="Y970" s="68"/>
      <c r="Z970" s="250" t="s">
        <v>458</v>
      </c>
      <c r="AA970" s="736"/>
      <c r="AB970" s="736"/>
      <c r="AC970" s="250" t="s">
        <v>459</v>
      </c>
      <c r="AD970" s="251"/>
      <c r="AE970" s="97"/>
      <c r="AF970" s="97"/>
      <c r="AG970" s="97"/>
      <c r="AH970" s="97"/>
    </row>
    <row r="971" spans="1:34" ht="129.75" thickBot="1" x14ac:dyDescent="0.3">
      <c r="A971" s="97"/>
      <c r="B971" s="252"/>
      <c r="C971" s="253" t="s">
        <v>460</v>
      </c>
      <c r="D971" s="237"/>
      <c r="E971" s="237"/>
      <c r="F971" s="254">
        <f ca="1">IF(OFFSET($Z$8,9,0)=0,1,0)</f>
        <v>0</v>
      </c>
      <c r="G971" s="792" t="s">
        <v>1130</v>
      </c>
      <c r="H971" s="793"/>
      <c r="I971" s="791" t="s">
        <v>438</v>
      </c>
      <c r="J971" s="791"/>
      <c r="K971" s="791" t="s">
        <v>439</v>
      </c>
      <c r="L971" s="791"/>
      <c r="M971" s="791" t="s">
        <v>1131</v>
      </c>
      <c r="N971" s="791"/>
      <c r="O971" s="791" t="s">
        <v>1132</v>
      </c>
      <c r="P971" s="363"/>
      <c r="Q971" s="237" t="s">
        <v>440</v>
      </c>
      <c r="R971" s="237"/>
      <c r="S971" s="237" t="s">
        <v>461</v>
      </c>
      <c r="T971" s="237"/>
      <c r="U971" s="237" t="s">
        <v>463</v>
      </c>
      <c r="V971" s="237"/>
      <c r="W971" s="237" t="s">
        <v>464</v>
      </c>
      <c r="X971" s="238"/>
      <c r="Y971" s="237"/>
      <c r="Z971" s="255">
        <f ca="1">OFFSET('Underwriting Risk'!$K$55,'Premium and Reserve Risk'!B970-16,0)</f>
        <v>0.17</v>
      </c>
      <c r="AA971" s="237"/>
      <c r="AB971" s="237"/>
      <c r="AC971" s="255">
        <f ca="1">OFFSET('Underwriting Risk'!$M$55,'Premium and Reserve Risk'!B970-16,0)</f>
        <v>0.2</v>
      </c>
      <c r="AD971" s="238"/>
      <c r="AE971" s="97"/>
      <c r="AF971" s="97"/>
      <c r="AG971" s="97"/>
      <c r="AH971" s="97"/>
    </row>
    <row r="972" spans="1:34" ht="6" customHeight="1" x14ac:dyDescent="0.25">
      <c r="A972" s="97"/>
      <c r="B972" s="106"/>
      <c r="C972" s="80"/>
      <c r="D972" s="80"/>
      <c r="E972" s="80"/>
      <c r="F972" s="256">
        <f ca="1">IF(OFFSET($Z$8,B970-1,0)=0,1,0)</f>
        <v>0</v>
      </c>
      <c r="G972" s="85"/>
      <c r="H972" s="85"/>
      <c r="I972" s="85"/>
      <c r="J972" s="85"/>
      <c r="K972" s="85"/>
      <c r="L972" s="85"/>
      <c r="M972" s="85"/>
      <c r="N972" s="85"/>
      <c r="O972" s="85"/>
      <c r="P972" s="85"/>
      <c r="Q972" s="85"/>
      <c r="R972" s="85"/>
      <c r="S972" s="85"/>
      <c r="T972" s="85"/>
      <c r="U972" s="85"/>
      <c r="V972" s="85"/>
      <c r="W972" s="85"/>
      <c r="X972" s="81"/>
      <c r="Y972" s="80"/>
      <c r="Z972" s="80"/>
      <c r="AA972" s="80"/>
      <c r="AB972" s="80"/>
      <c r="AC972" s="80"/>
      <c r="AD972" s="81"/>
      <c r="AE972" s="97"/>
      <c r="AF972" s="97"/>
      <c r="AG972" s="97"/>
      <c r="AH972" s="97"/>
    </row>
    <row r="973" spans="1:34" ht="13.5" customHeight="1" x14ac:dyDescent="0.25">
      <c r="A973" s="97"/>
      <c r="B973" s="257">
        <v>1</v>
      </c>
      <c r="C973" s="652"/>
      <c r="D973" s="80"/>
      <c r="E973" s="80"/>
      <c r="F973" s="258">
        <f ca="1">IF(B973&lt;=OFFSET($Z$8,9,0),0,1)</f>
        <v>0</v>
      </c>
      <c r="G973" s="624"/>
      <c r="H973" s="85"/>
      <c r="I973" s="624"/>
      <c r="J973" s="85"/>
      <c r="K973" s="624"/>
      <c r="L973" s="85"/>
      <c r="M973" s="624"/>
      <c r="N973" s="85"/>
      <c r="O973" s="624"/>
      <c r="P973" s="85"/>
      <c r="Q973" s="626">
        <f t="shared" ref="Q973:Q1072" si="31">MAX(G973,I973)+K973+M973+0.3*O973</f>
        <v>0</v>
      </c>
      <c r="R973" s="85"/>
      <c r="S973" s="624"/>
      <c r="T973" s="260"/>
      <c r="U973" s="624"/>
      <c r="V973" s="85"/>
      <c r="W973" s="624"/>
      <c r="X973" s="81"/>
      <c r="Y973" s="80"/>
      <c r="Z973" s="737">
        <f ca="1">MAX(0%,IF(Q973&lt;&gt;0,MIN((S973-Q973)/Q973/'Underwriting Risk'!$E$27,'Premium and Reserve Risk'!$Z$971),'Premium and Reserve Risk'!$Z$971))</f>
        <v>0.17</v>
      </c>
      <c r="AA973" s="80"/>
      <c r="AB973" s="80"/>
      <c r="AC973" s="737">
        <f ca="1">MAX(0%,IF(U973&lt;&gt;0,MIN((W973-U973)/U973/'Underwriting Risk'!$E$27,'Premium and Reserve Risk'!$AC$971),'Premium and Reserve Risk'!$AC$971))</f>
        <v>0.2</v>
      </c>
      <c r="AD973" s="81"/>
      <c r="AE973" s="97"/>
      <c r="AF973" s="97"/>
      <c r="AG973" s="97"/>
      <c r="AH973" s="97"/>
    </row>
    <row r="974" spans="1:34" ht="13.5" customHeight="1" x14ac:dyDescent="0.25">
      <c r="A974" s="97"/>
      <c r="B974" s="257">
        <v>2</v>
      </c>
      <c r="C974" s="652"/>
      <c r="D974" s="80"/>
      <c r="E974" s="80"/>
      <c r="F974" s="258">
        <f t="shared" ref="F974:F1037" ca="1" si="32">IF(B974&lt;=OFFSET($Z$8,9,0),0,1)</f>
        <v>0</v>
      </c>
      <c r="G974" s="624"/>
      <c r="H974" s="85"/>
      <c r="I974" s="624"/>
      <c r="J974" s="85"/>
      <c r="K974" s="624"/>
      <c r="L974" s="85"/>
      <c r="M974" s="624"/>
      <c r="N974" s="85"/>
      <c r="O974" s="624"/>
      <c r="P974" s="85"/>
      <c r="Q974" s="626">
        <f t="shared" si="31"/>
        <v>0</v>
      </c>
      <c r="R974" s="85"/>
      <c r="S974" s="624"/>
      <c r="T974" s="260"/>
      <c r="U974" s="624"/>
      <c r="V974" s="85"/>
      <c r="W974" s="624"/>
      <c r="X974" s="81"/>
      <c r="Y974" s="80"/>
      <c r="Z974" s="737">
        <f ca="1">MAX(0%,IF(Q974&lt;&gt;0,MIN((S974-Q974)/Q974/'Underwriting Risk'!$E$27,'Premium and Reserve Risk'!$Z$971),'Premium and Reserve Risk'!$Z$971))</f>
        <v>0.17</v>
      </c>
      <c r="AA974" s="80"/>
      <c r="AB974" s="80"/>
      <c r="AC974" s="737">
        <f ca="1">MAX(0%,IF(U974&lt;&gt;0,MIN((W974-U974)/U974/'Underwriting Risk'!$E$27,'Premium and Reserve Risk'!$AC$971),'Premium and Reserve Risk'!$AC$971))</f>
        <v>0.2</v>
      </c>
      <c r="AD974" s="81"/>
      <c r="AE974" s="97"/>
      <c r="AF974" s="97"/>
      <c r="AG974" s="97"/>
      <c r="AH974" s="97"/>
    </row>
    <row r="975" spans="1:34" ht="13.5" customHeight="1" x14ac:dyDescent="0.25">
      <c r="A975" s="97"/>
      <c r="B975" s="257">
        <v>3</v>
      </c>
      <c r="C975" s="652"/>
      <c r="D975" s="80"/>
      <c r="E975" s="80"/>
      <c r="F975" s="258">
        <f t="shared" ca="1" si="32"/>
        <v>0</v>
      </c>
      <c r="G975" s="624"/>
      <c r="H975" s="85"/>
      <c r="I975" s="624"/>
      <c r="J975" s="85"/>
      <c r="K975" s="624"/>
      <c r="L975" s="85"/>
      <c r="M975" s="624"/>
      <c r="N975" s="85"/>
      <c r="O975" s="624"/>
      <c r="P975" s="85"/>
      <c r="Q975" s="626">
        <f t="shared" si="31"/>
        <v>0</v>
      </c>
      <c r="R975" s="85"/>
      <c r="S975" s="624"/>
      <c r="T975" s="260"/>
      <c r="U975" s="624"/>
      <c r="V975" s="85"/>
      <c r="W975" s="624"/>
      <c r="X975" s="81"/>
      <c r="Y975" s="80"/>
      <c r="Z975" s="737">
        <f ca="1">MAX(0%,IF(Q975&lt;&gt;0,MIN((S975-Q975)/Q975/'Underwriting Risk'!$E$27,'Premium and Reserve Risk'!$Z$971),'Premium and Reserve Risk'!$Z$971))</f>
        <v>0.17</v>
      </c>
      <c r="AA975" s="80"/>
      <c r="AB975" s="80"/>
      <c r="AC975" s="737">
        <f ca="1">MAX(0%,IF(U975&lt;&gt;0,MIN((W975-U975)/U975/'Underwriting Risk'!$E$27,'Premium and Reserve Risk'!$AC$971),'Premium and Reserve Risk'!$AC$971))</f>
        <v>0.2</v>
      </c>
      <c r="AD975" s="81"/>
      <c r="AE975" s="97"/>
      <c r="AF975" s="97"/>
      <c r="AG975" s="97"/>
      <c r="AH975" s="97"/>
    </row>
    <row r="976" spans="1:34" ht="13.5" customHeight="1" x14ac:dyDescent="0.25">
      <c r="A976" s="97"/>
      <c r="B976" s="257">
        <v>4</v>
      </c>
      <c r="C976" s="652"/>
      <c r="D976" s="80"/>
      <c r="E976" s="80"/>
      <c r="F976" s="258">
        <f t="shared" ca="1" si="32"/>
        <v>0</v>
      </c>
      <c r="G976" s="624"/>
      <c r="H976" s="85"/>
      <c r="I976" s="624"/>
      <c r="J976" s="85"/>
      <c r="K976" s="624"/>
      <c r="L976" s="85"/>
      <c r="M976" s="624"/>
      <c r="N976" s="85"/>
      <c r="O976" s="624"/>
      <c r="P976" s="85"/>
      <c r="Q976" s="626">
        <f t="shared" si="31"/>
        <v>0</v>
      </c>
      <c r="R976" s="85"/>
      <c r="S976" s="624"/>
      <c r="T976" s="260"/>
      <c r="U976" s="624"/>
      <c r="V976" s="85"/>
      <c r="W976" s="624"/>
      <c r="X976" s="81"/>
      <c r="Y976" s="80"/>
      <c r="Z976" s="737">
        <f ca="1">MAX(0%,IF(Q976&lt;&gt;0,MIN((S976-Q976)/Q976/'Underwriting Risk'!$E$27,'Premium and Reserve Risk'!$Z$971),'Premium and Reserve Risk'!$Z$971))</f>
        <v>0.17</v>
      </c>
      <c r="AA976" s="80"/>
      <c r="AB976" s="80"/>
      <c r="AC976" s="737">
        <f ca="1">MAX(0%,IF(U976&lt;&gt;0,MIN((W976-U976)/U976/'Underwriting Risk'!$E$27,'Premium and Reserve Risk'!$AC$971),'Premium and Reserve Risk'!$AC$971))</f>
        <v>0.2</v>
      </c>
      <c r="AD976" s="81"/>
      <c r="AE976" s="97"/>
      <c r="AF976" s="97"/>
      <c r="AG976" s="97"/>
      <c r="AH976" s="97"/>
    </row>
    <row r="977" spans="1:34" ht="13.5" customHeight="1" x14ac:dyDescent="0.25">
      <c r="A977" s="97"/>
      <c r="B977" s="257">
        <v>5</v>
      </c>
      <c r="C977" s="652"/>
      <c r="D977" s="80"/>
      <c r="E977" s="80"/>
      <c r="F977" s="258">
        <f t="shared" ca="1" si="32"/>
        <v>0</v>
      </c>
      <c r="G977" s="624"/>
      <c r="H977" s="85"/>
      <c r="I977" s="624"/>
      <c r="J977" s="85"/>
      <c r="K977" s="624"/>
      <c r="L977" s="85"/>
      <c r="M977" s="624"/>
      <c r="N977" s="85"/>
      <c r="O977" s="624"/>
      <c r="P977" s="85"/>
      <c r="Q977" s="626">
        <f t="shared" si="31"/>
        <v>0</v>
      </c>
      <c r="R977" s="85"/>
      <c r="S977" s="624"/>
      <c r="T977" s="260"/>
      <c r="U977" s="624"/>
      <c r="V977" s="85"/>
      <c r="W977" s="624"/>
      <c r="X977" s="81"/>
      <c r="Y977" s="80"/>
      <c r="Z977" s="737">
        <f ca="1">MAX(0%,IF(Q977&lt;&gt;0,MIN((S977-Q977)/Q977/'Underwriting Risk'!$E$27,'Premium and Reserve Risk'!$Z$971),'Premium and Reserve Risk'!$Z$971))</f>
        <v>0.17</v>
      </c>
      <c r="AA977" s="80"/>
      <c r="AB977" s="80"/>
      <c r="AC977" s="737">
        <f ca="1">MAX(0%,IF(U977&lt;&gt;0,MIN((W977-U977)/U977/'Underwriting Risk'!$E$27,'Premium and Reserve Risk'!$AC$971),'Premium and Reserve Risk'!$AC$971))</f>
        <v>0.2</v>
      </c>
      <c r="AD977" s="81"/>
      <c r="AE977" s="97"/>
      <c r="AF977" s="97"/>
      <c r="AG977" s="97"/>
      <c r="AH977" s="97"/>
    </row>
    <row r="978" spans="1:34" ht="13.5" customHeight="1" x14ac:dyDescent="0.25">
      <c r="A978" s="97"/>
      <c r="B978" s="257">
        <v>6</v>
      </c>
      <c r="C978" s="652"/>
      <c r="D978" s="80"/>
      <c r="E978" s="80"/>
      <c r="F978" s="258">
        <f t="shared" ca="1" si="32"/>
        <v>0</v>
      </c>
      <c r="G978" s="624"/>
      <c r="H978" s="85"/>
      <c r="I978" s="624"/>
      <c r="J978" s="85"/>
      <c r="K978" s="624"/>
      <c r="L978" s="85"/>
      <c r="M978" s="624"/>
      <c r="N978" s="85"/>
      <c r="O978" s="624"/>
      <c r="P978" s="85"/>
      <c r="Q978" s="626">
        <f t="shared" si="31"/>
        <v>0</v>
      </c>
      <c r="R978" s="85"/>
      <c r="S978" s="624"/>
      <c r="T978" s="260"/>
      <c r="U978" s="624"/>
      <c r="V978" s="85"/>
      <c r="W978" s="624"/>
      <c r="X978" s="81"/>
      <c r="Y978" s="80"/>
      <c r="Z978" s="737">
        <f ca="1">MAX(0%,IF(Q978&lt;&gt;0,MIN((S978-Q978)/Q978/'Underwriting Risk'!$E$27,'Premium and Reserve Risk'!$Z$971),'Premium and Reserve Risk'!$Z$971))</f>
        <v>0.17</v>
      </c>
      <c r="AA978" s="80"/>
      <c r="AB978" s="80"/>
      <c r="AC978" s="737">
        <f ca="1">MAX(0%,IF(U978&lt;&gt;0,MIN((W978-U978)/U978/'Underwriting Risk'!$E$27,'Premium and Reserve Risk'!$AC$971),'Premium and Reserve Risk'!$AC$971))</f>
        <v>0.2</v>
      </c>
      <c r="AD978" s="81"/>
      <c r="AE978" s="97"/>
      <c r="AF978" s="97"/>
      <c r="AG978" s="97"/>
      <c r="AH978" s="97"/>
    </row>
    <row r="979" spans="1:34" ht="13.5" customHeight="1" x14ac:dyDescent="0.25">
      <c r="A979" s="97"/>
      <c r="B979" s="257">
        <v>7</v>
      </c>
      <c r="C979" s="652"/>
      <c r="D979" s="80"/>
      <c r="E979" s="80"/>
      <c r="F979" s="258">
        <f t="shared" ca="1" si="32"/>
        <v>0</v>
      </c>
      <c r="G979" s="624"/>
      <c r="H979" s="85"/>
      <c r="I979" s="624"/>
      <c r="J979" s="85"/>
      <c r="K979" s="624"/>
      <c r="L979" s="85"/>
      <c r="M979" s="624"/>
      <c r="N979" s="85"/>
      <c r="O979" s="624"/>
      <c r="P979" s="85"/>
      <c r="Q979" s="626">
        <f t="shared" si="31"/>
        <v>0</v>
      </c>
      <c r="R979" s="85"/>
      <c r="S979" s="624"/>
      <c r="T979" s="260"/>
      <c r="U979" s="624"/>
      <c r="V979" s="85"/>
      <c r="W979" s="624"/>
      <c r="X979" s="81"/>
      <c r="Y979" s="80"/>
      <c r="Z979" s="737">
        <f ca="1">MAX(0%,IF(Q979&lt;&gt;0,MIN((S979-Q979)/Q979/'Underwriting Risk'!$E$27,'Premium and Reserve Risk'!$Z$971),'Premium and Reserve Risk'!$Z$971))</f>
        <v>0.17</v>
      </c>
      <c r="AA979" s="80"/>
      <c r="AB979" s="80"/>
      <c r="AC979" s="737">
        <f ca="1">MAX(0%,IF(U979&lt;&gt;0,MIN((W979-U979)/U979/'Underwriting Risk'!$E$27,'Premium and Reserve Risk'!$AC$971),'Premium and Reserve Risk'!$AC$971))</f>
        <v>0.2</v>
      </c>
      <c r="AD979" s="81"/>
      <c r="AE979" s="97"/>
      <c r="AF979" s="97"/>
      <c r="AG979" s="97"/>
      <c r="AH979" s="97"/>
    </row>
    <row r="980" spans="1:34" ht="13.5" customHeight="1" x14ac:dyDescent="0.25">
      <c r="A980" s="97"/>
      <c r="B980" s="257">
        <v>8</v>
      </c>
      <c r="C980" s="652"/>
      <c r="D980" s="80"/>
      <c r="E980" s="80"/>
      <c r="F980" s="258">
        <f t="shared" ca="1" si="32"/>
        <v>0</v>
      </c>
      <c r="G980" s="624"/>
      <c r="H980" s="85"/>
      <c r="I980" s="624"/>
      <c r="J980" s="85"/>
      <c r="K980" s="624"/>
      <c r="L980" s="85"/>
      <c r="M980" s="624"/>
      <c r="N980" s="85"/>
      <c r="O980" s="624"/>
      <c r="P980" s="85"/>
      <c r="Q980" s="626">
        <f t="shared" si="31"/>
        <v>0</v>
      </c>
      <c r="R980" s="85"/>
      <c r="S980" s="624"/>
      <c r="T980" s="260"/>
      <c r="U980" s="624"/>
      <c r="V980" s="85"/>
      <c r="W980" s="624"/>
      <c r="X980" s="81"/>
      <c r="Y980" s="80"/>
      <c r="Z980" s="737">
        <f ca="1">MAX(0%,IF(Q980&lt;&gt;0,MIN((S980-Q980)/Q980/'Underwriting Risk'!$E$27,'Premium and Reserve Risk'!$Z$971),'Premium and Reserve Risk'!$Z$971))</f>
        <v>0.17</v>
      </c>
      <c r="AA980" s="80"/>
      <c r="AB980" s="80"/>
      <c r="AC980" s="737">
        <f ca="1">MAX(0%,IF(U980&lt;&gt;0,MIN((W980-U980)/U980/'Underwriting Risk'!$E$27,'Premium and Reserve Risk'!$AC$971),'Premium and Reserve Risk'!$AC$971))</f>
        <v>0.2</v>
      </c>
      <c r="AD980" s="81"/>
      <c r="AE980" s="97"/>
      <c r="AF980" s="97"/>
      <c r="AG980" s="97"/>
      <c r="AH980" s="97"/>
    </row>
    <row r="981" spans="1:34" ht="13.5" customHeight="1" x14ac:dyDescent="0.25">
      <c r="A981" s="97"/>
      <c r="B981" s="257">
        <v>9</v>
      </c>
      <c r="C981" s="652"/>
      <c r="D981" s="80"/>
      <c r="E981" s="80"/>
      <c r="F981" s="258">
        <f t="shared" ca="1" si="32"/>
        <v>0</v>
      </c>
      <c r="G981" s="624"/>
      <c r="H981" s="85"/>
      <c r="I981" s="624"/>
      <c r="J981" s="85"/>
      <c r="K981" s="624"/>
      <c r="L981" s="85"/>
      <c r="M981" s="624"/>
      <c r="N981" s="85"/>
      <c r="O981" s="624"/>
      <c r="P981" s="85"/>
      <c r="Q981" s="626">
        <f t="shared" si="31"/>
        <v>0</v>
      </c>
      <c r="R981" s="85"/>
      <c r="S981" s="624"/>
      <c r="T981" s="260"/>
      <c r="U981" s="624"/>
      <c r="V981" s="85"/>
      <c r="W981" s="624"/>
      <c r="X981" s="81"/>
      <c r="Y981" s="80"/>
      <c r="Z981" s="737">
        <f ca="1">MAX(0%,IF(Q981&lt;&gt;0,MIN((S981-Q981)/Q981/'Underwriting Risk'!$E$27,'Premium and Reserve Risk'!$Z$971),'Premium and Reserve Risk'!$Z$971))</f>
        <v>0.17</v>
      </c>
      <c r="AA981" s="80"/>
      <c r="AB981" s="80"/>
      <c r="AC981" s="737">
        <f ca="1">MAX(0%,IF(U981&lt;&gt;0,MIN((W981-U981)/U981/'Underwriting Risk'!$E$27,'Premium and Reserve Risk'!$AC$971),'Premium and Reserve Risk'!$AC$971))</f>
        <v>0.2</v>
      </c>
      <c r="AD981" s="81"/>
      <c r="AE981" s="97"/>
      <c r="AF981" s="97"/>
      <c r="AG981" s="97"/>
      <c r="AH981" s="97"/>
    </row>
    <row r="982" spans="1:34" ht="13.5" customHeight="1" x14ac:dyDescent="0.25">
      <c r="A982" s="97"/>
      <c r="B982" s="257">
        <v>10</v>
      </c>
      <c r="C982" s="652"/>
      <c r="D982" s="80"/>
      <c r="E982" s="80"/>
      <c r="F982" s="258">
        <f t="shared" ca="1" si="32"/>
        <v>0</v>
      </c>
      <c r="G982" s="624"/>
      <c r="H982" s="85"/>
      <c r="I982" s="624"/>
      <c r="J982" s="85"/>
      <c r="K982" s="624"/>
      <c r="L982" s="85"/>
      <c r="M982" s="624"/>
      <c r="N982" s="85"/>
      <c r="O982" s="624"/>
      <c r="P982" s="85"/>
      <c r="Q982" s="626">
        <f t="shared" si="31"/>
        <v>0</v>
      </c>
      <c r="R982" s="85"/>
      <c r="S982" s="624"/>
      <c r="T982" s="260"/>
      <c r="U982" s="624"/>
      <c r="V982" s="85"/>
      <c r="W982" s="624"/>
      <c r="X982" s="81"/>
      <c r="Y982" s="80"/>
      <c r="Z982" s="737">
        <f ca="1">MAX(0%,IF(Q982&lt;&gt;0,MIN((S982-Q982)/Q982/'Underwriting Risk'!$E$27,'Premium and Reserve Risk'!$Z$971),'Premium and Reserve Risk'!$Z$971))</f>
        <v>0.17</v>
      </c>
      <c r="AA982" s="80"/>
      <c r="AB982" s="80"/>
      <c r="AC982" s="737">
        <f ca="1">MAX(0%,IF(U982&lt;&gt;0,MIN((W982-U982)/U982/'Underwriting Risk'!$E$27,'Premium and Reserve Risk'!$AC$971),'Premium and Reserve Risk'!$AC$971))</f>
        <v>0.2</v>
      </c>
      <c r="AD982" s="81"/>
      <c r="AE982" s="97"/>
      <c r="AF982" s="97"/>
      <c r="AG982" s="97"/>
      <c r="AH982" s="97"/>
    </row>
    <row r="983" spans="1:34" ht="13.5" customHeight="1" x14ac:dyDescent="0.25">
      <c r="A983" s="97"/>
      <c r="B983" s="257">
        <v>11</v>
      </c>
      <c r="C983" s="652"/>
      <c r="D983" s="80"/>
      <c r="E983" s="80"/>
      <c r="F983" s="258">
        <f t="shared" ca="1" si="32"/>
        <v>0</v>
      </c>
      <c r="G983" s="624"/>
      <c r="H983" s="85"/>
      <c r="I983" s="624"/>
      <c r="J983" s="85"/>
      <c r="K983" s="624"/>
      <c r="L983" s="85"/>
      <c r="M983" s="624"/>
      <c r="N983" s="85"/>
      <c r="O983" s="624"/>
      <c r="P983" s="85"/>
      <c r="Q983" s="626">
        <f t="shared" si="31"/>
        <v>0</v>
      </c>
      <c r="R983" s="85"/>
      <c r="S983" s="624"/>
      <c r="T983" s="260"/>
      <c r="U983" s="624"/>
      <c r="V983" s="85"/>
      <c r="W983" s="624"/>
      <c r="X983" s="81"/>
      <c r="Y983" s="80"/>
      <c r="Z983" s="737">
        <f ca="1">MAX(0%,IF(Q983&lt;&gt;0,MIN((S983-Q983)/Q983/'Underwriting Risk'!$E$27,'Premium and Reserve Risk'!$Z$971),'Premium and Reserve Risk'!$Z$971))</f>
        <v>0.17</v>
      </c>
      <c r="AA983" s="80"/>
      <c r="AB983" s="80"/>
      <c r="AC983" s="737">
        <f ca="1">MAX(0%,IF(U983&lt;&gt;0,MIN((W983-U983)/U983/'Underwriting Risk'!$E$27,'Premium and Reserve Risk'!$AC$971),'Premium and Reserve Risk'!$AC$971))</f>
        <v>0.2</v>
      </c>
      <c r="AD983" s="81"/>
      <c r="AE983" s="97"/>
      <c r="AF983" s="97"/>
      <c r="AG983" s="97"/>
      <c r="AH983" s="97"/>
    </row>
    <row r="984" spans="1:34" ht="13.5" customHeight="1" x14ac:dyDescent="0.25">
      <c r="A984" s="97"/>
      <c r="B984" s="257">
        <v>12</v>
      </c>
      <c r="C984" s="652"/>
      <c r="D984" s="80"/>
      <c r="E984" s="80"/>
      <c r="F984" s="258">
        <f t="shared" ca="1" si="32"/>
        <v>0</v>
      </c>
      <c r="G984" s="624"/>
      <c r="H984" s="85"/>
      <c r="I984" s="624"/>
      <c r="J984" s="85"/>
      <c r="K984" s="624"/>
      <c r="L984" s="85"/>
      <c r="M984" s="624"/>
      <c r="N984" s="85"/>
      <c r="O984" s="624"/>
      <c r="P984" s="85"/>
      <c r="Q984" s="626">
        <f t="shared" si="31"/>
        <v>0</v>
      </c>
      <c r="R984" s="85"/>
      <c r="S984" s="624"/>
      <c r="T984" s="260"/>
      <c r="U984" s="624"/>
      <c r="V984" s="85"/>
      <c r="W984" s="624"/>
      <c r="X984" s="81"/>
      <c r="Y984" s="80"/>
      <c r="Z984" s="737">
        <f ca="1">MAX(0%,IF(Q984&lt;&gt;0,MIN((S984-Q984)/Q984/'Underwriting Risk'!$E$27,'Premium and Reserve Risk'!$Z$971),'Premium and Reserve Risk'!$Z$971))</f>
        <v>0.17</v>
      </c>
      <c r="AA984" s="80"/>
      <c r="AB984" s="80"/>
      <c r="AC984" s="737">
        <f ca="1">MAX(0%,IF(U984&lt;&gt;0,MIN((W984-U984)/U984/'Underwriting Risk'!$E$27,'Premium and Reserve Risk'!$AC$971),'Premium and Reserve Risk'!$AC$971))</f>
        <v>0.2</v>
      </c>
      <c r="AD984" s="81"/>
      <c r="AE984" s="97"/>
      <c r="AF984" s="97"/>
      <c r="AG984" s="97"/>
      <c r="AH984" s="97"/>
    </row>
    <row r="985" spans="1:34" ht="13.5" customHeight="1" x14ac:dyDescent="0.25">
      <c r="A985" s="97"/>
      <c r="B985" s="257">
        <v>13</v>
      </c>
      <c r="C985" s="652"/>
      <c r="D985" s="80"/>
      <c r="E985" s="80"/>
      <c r="F985" s="258">
        <f t="shared" ca="1" si="32"/>
        <v>0</v>
      </c>
      <c r="G985" s="624"/>
      <c r="H985" s="85"/>
      <c r="I985" s="624"/>
      <c r="J985" s="85"/>
      <c r="K985" s="624"/>
      <c r="L985" s="85"/>
      <c r="M985" s="624"/>
      <c r="N985" s="85"/>
      <c r="O985" s="624"/>
      <c r="P985" s="85"/>
      <c r="Q985" s="626">
        <f t="shared" si="31"/>
        <v>0</v>
      </c>
      <c r="R985" s="85"/>
      <c r="S985" s="624"/>
      <c r="T985" s="260"/>
      <c r="U985" s="624"/>
      <c r="V985" s="85"/>
      <c r="W985" s="624"/>
      <c r="X985" s="81"/>
      <c r="Y985" s="80"/>
      <c r="Z985" s="737">
        <f ca="1">MAX(0%,IF(Q985&lt;&gt;0,MIN((S985-Q985)/Q985/'Underwriting Risk'!$E$27,'Premium and Reserve Risk'!$Z$971),'Premium and Reserve Risk'!$Z$971))</f>
        <v>0.17</v>
      </c>
      <c r="AA985" s="80"/>
      <c r="AB985" s="80"/>
      <c r="AC985" s="737">
        <f ca="1">MAX(0%,IF(U985&lt;&gt;0,MIN((W985-U985)/U985/'Underwriting Risk'!$E$27,'Premium and Reserve Risk'!$AC$971),'Premium and Reserve Risk'!$AC$971))</f>
        <v>0.2</v>
      </c>
      <c r="AD985" s="81"/>
      <c r="AE985" s="97"/>
      <c r="AF985" s="97"/>
      <c r="AG985" s="97"/>
      <c r="AH985" s="97"/>
    </row>
    <row r="986" spans="1:34" ht="13.5" customHeight="1" x14ac:dyDescent="0.25">
      <c r="A986" s="97"/>
      <c r="B986" s="257">
        <v>14</v>
      </c>
      <c r="C986" s="652"/>
      <c r="D986" s="80"/>
      <c r="E986" s="80"/>
      <c r="F986" s="258">
        <f t="shared" ca="1" si="32"/>
        <v>0</v>
      </c>
      <c r="G986" s="624"/>
      <c r="H986" s="85"/>
      <c r="I986" s="624"/>
      <c r="J986" s="85"/>
      <c r="K986" s="624"/>
      <c r="L986" s="85"/>
      <c r="M986" s="624"/>
      <c r="N986" s="85"/>
      <c r="O986" s="624"/>
      <c r="P986" s="85"/>
      <c r="Q986" s="626">
        <f t="shared" si="31"/>
        <v>0</v>
      </c>
      <c r="R986" s="85"/>
      <c r="S986" s="624"/>
      <c r="T986" s="260"/>
      <c r="U986" s="624"/>
      <c r="V986" s="85"/>
      <c r="W986" s="624"/>
      <c r="X986" s="81"/>
      <c r="Y986" s="80"/>
      <c r="Z986" s="737">
        <f ca="1">MAX(0%,IF(Q986&lt;&gt;0,MIN((S986-Q986)/Q986/'Underwriting Risk'!$E$27,'Premium and Reserve Risk'!$Z$971),'Premium and Reserve Risk'!$Z$971))</f>
        <v>0.17</v>
      </c>
      <c r="AA986" s="80"/>
      <c r="AB986" s="80"/>
      <c r="AC986" s="737">
        <f ca="1">MAX(0%,IF(U986&lt;&gt;0,MIN((W986-U986)/U986/'Underwriting Risk'!$E$27,'Premium and Reserve Risk'!$AC$971),'Premium and Reserve Risk'!$AC$971))</f>
        <v>0.2</v>
      </c>
      <c r="AD986" s="81"/>
      <c r="AE986" s="97"/>
      <c r="AF986" s="97"/>
      <c r="AG986" s="97"/>
      <c r="AH986" s="97"/>
    </row>
    <row r="987" spans="1:34" ht="13.5" customHeight="1" x14ac:dyDescent="0.25">
      <c r="A987" s="97"/>
      <c r="B987" s="257">
        <v>15</v>
      </c>
      <c r="C987" s="652"/>
      <c r="D987" s="80"/>
      <c r="E987" s="80"/>
      <c r="F987" s="258">
        <f t="shared" ca="1" si="32"/>
        <v>0</v>
      </c>
      <c r="G987" s="624"/>
      <c r="H987" s="85"/>
      <c r="I987" s="624"/>
      <c r="J987" s="85"/>
      <c r="K987" s="624"/>
      <c r="L987" s="85"/>
      <c r="M987" s="624"/>
      <c r="N987" s="85"/>
      <c r="O987" s="624"/>
      <c r="P987" s="85"/>
      <c r="Q987" s="626">
        <f t="shared" si="31"/>
        <v>0</v>
      </c>
      <c r="R987" s="85"/>
      <c r="S987" s="624"/>
      <c r="T987" s="260"/>
      <c r="U987" s="624"/>
      <c r="V987" s="85"/>
      <c r="W987" s="624"/>
      <c r="X987" s="81"/>
      <c r="Y987" s="80"/>
      <c r="Z987" s="737">
        <f ca="1">MAX(0%,IF(Q987&lt;&gt;0,MIN((S987-Q987)/Q987/'Underwriting Risk'!$E$27,'Premium and Reserve Risk'!$Z$971),'Premium and Reserve Risk'!$Z$971))</f>
        <v>0.17</v>
      </c>
      <c r="AA987" s="80"/>
      <c r="AB987" s="80"/>
      <c r="AC987" s="737">
        <f ca="1">MAX(0%,IF(U987&lt;&gt;0,MIN((W987-U987)/U987/'Underwriting Risk'!$E$27,'Premium and Reserve Risk'!$AC$971),'Premium and Reserve Risk'!$AC$971))</f>
        <v>0.2</v>
      </c>
      <c r="AD987" s="81"/>
      <c r="AE987" s="97"/>
      <c r="AF987" s="97"/>
      <c r="AG987" s="97"/>
      <c r="AH987" s="97"/>
    </row>
    <row r="988" spans="1:34" ht="13.5" customHeight="1" x14ac:dyDescent="0.25">
      <c r="A988" s="97"/>
      <c r="B988" s="257">
        <v>16</v>
      </c>
      <c r="C988" s="652"/>
      <c r="D988" s="80"/>
      <c r="E988" s="80"/>
      <c r="F988" s="258">
        <f t="shared" ca="1" si="32"/>
        <v>0</v>
      </c>
      <c r="G988" s="624"/>
      <c r="H988" s="85"/>
      <c r="I988" s="624"/>
      <c r="J988" s="85"/>
      <c r="K988" s="624"/>
      <c r="L988" s="85"/>
      <c r="M988" s="624"/>
      <c r="N988" s="85"/>
      <c r="O988" s="624"/>
      <c r="P988" s="85"/>
      <c r="Q988" s="626">
        <f t="shared" si="31"/>
        <v>0</v>
      </c>
      <c r="R988" s="85"/>
      <c r="S988" s="624"/>
      <c r="T988" s="260"/>
      <c r="U988" s="624"/>
      <c r="V988" s="85"/>
      <c r="W988" s="624"/>
      <c r="X988" s="81"/>
      <c r="Y988" s="80"/>
      <c r="Z988" s="737">
        <f ca="1">MAX(0%,IF(Q988&lt;&gt;0,MIN((S988-Q988)/Q988/'Underwriting Risk'!$E$27,'Premium and Reserve Risk'!$Z$971),'Premium and Reserve Risk'!$Z$971))</f>
        <v>0.17</v>
      </c>
      <c r="AA988" s="80"/>
      <c r="AB988" s="80"/>
      <c r="AC988" s="737">
        <f ca="1">MAX(0%,IF(U988&lt;&gt;0,MIN((W988-U988)/U988/'Underwriting Risk'!$E$27,'Premium and Reserve Risk'!$AC$971),'Premium and Reserve Risk'!$AC$971))</f>
        <v>0.2</v>
      </c>
      <c r="AD988" s="81"/>
      <c r="AE988" s="97"/>
      <c r="AF988" s="97"/>
      <c r="AG988" s="97"/>
      <c r="AH988" s="97"/>
    </row>
    <row r="989" spans="1:34" ht="13.5" customHeight="1" x14ac:dyDescent="0.25">
      <c r="A989" s="97"/>
      <c r="B989" s="257">
        <v>17</v>
      </c>
      <c r="C989" s="652"/>
      <c r="D989" s="80"/>
      <c r="E989" s="80"/>
      <c r="F989" s="258">
        <f t="shared" ca="1" si="32"/>
        <v>0</v>
      </c>
      <c r="G989" s="624"/>
      <c r="H989" s="85"/>
      <c r="I989" s="624"/>
      <c r="J989" s="85"/>
      <c r="K989" s="624"/>
      <c r="L989" s="85"/>
      <c r="M989" s="624"/>
      <c r="N989" s="85"/>
      <c r="O989" s="624"/>
      <c r="P989" s="85"/>
      <c r="Q989" s="626">
        <f t="shared" si="31"/>
        <v>0</v>
      </c>
      <c r="R989" s="85"/>
      <c r="S989" s="624"/>
      <c r="T989" s="260"/>
      <c r="U989" s="624"/>
      <c r="V989" s="85"/>
      <c r="W989" s="624"/>
      <c r="X989" s="81"/>
      <c r="Y989" s="80"/>
      <c r="Z989" s="737">
        <f ca="1">MAX(0%,IF(Q989&lt;&gt;0,MIN((S989-Q989)/Q989/'Underwriting Risk'!$E$27,'Premium and Reserve Risk'!$Z$971),'Premium and Reserve Risk'!$Z$971))</f>
        <v>0.17</v>
      </c>
      <c r="AA989" s="80"/>
      <c r="AB989" s="80"/>
      <c r="AC989" s="737">
        <f ca="1">MAX(0%,IF(U989&lt;&gt;0,MIN((W989-U989)/U989/'Underwriting Risk'!$E$27,'Premium and Reserve Risk'!$AC$971),'Premium and Reserve Risk'!$AC$971))</f>
        <v>0.2</v>
      </c>
      <c r="AD989" s="81"/>
      <c r="AE989" s="97"/>
      <c r="AF989" s="97"/>
      <c r="AG989" s="97"/>
      <c r="AH989" s="97"/>
    </row>
    <row r="990" spans="1:34" ht="13.5" customHeight="1" x14ac:dyDescent="0.25">
      <c r="A990" s="97"/>
      <c r="B990" s="257">
        <v>18</v>
      </c>
      <c r="C990" s="652"/>
      <c r="D990" s="80"/>
      <c r="E990" s="80"/>
      <c r="F990" s="258">
        <f t="shared" ca="1" si="32"/>
        <v>0</v>
      </c>
      <c r="G990" s="624"/>
      <c r="H990" s="85"/>
      <c r="I990" s="624"/>
      <c r="J990" s="85"/>
      <c r="K990" s="624"/>
      <c r="L990" s="85"/>
      <c r="M990" s="624"/>
      <c r="N990" s="85"/>
      <c r="O990" s="624"/>
      <c r="P990" s="85"/>
      <c r="Q990" s="626">
        <f t="shared" si="31"/>
        <v>0</v>
      </c>
      <c r="R990" s="85"/>
      <c r="S990" s="624"/>
      <c r="T990" s="260"/>
      <c r="U990" s="624"/>
      <c r="V990" s="85"/>
      <c r="W990" s="624"/>
      <c r="X990" s="81"/>
      <c r="Y990" s="80"/>
      <c r="Z990" s="737">
        <f ca="1">MAX(0%,IF(Q990&lt;&gt;0,MIN((S990-Q990)/Q990/'Underwriting Risk'!$E$27,'Premium and Reserve Risk'!$Z$971),'Premium and Reserve Risk'!$Z$971))</f>
        <v>0.17</v>
      </c>
      <c r="AA990" s="80"/>
      <c r="AB990" s="80"/>
      <c r="AC990" s="737">
        <f ca="1">MAX(0%,IF(U990&lt;&gt;0,MIN((W990-U990)/U990/'Underwriting Risk'!$E$27,'Premium and Reserve Risk'!$AC$971),'Premium and Reserve Risk'!$AC$971))</f>
        <v>0.2</v>
      </c>
      <c r="AD990" s="81"/>
      <c r="AE990" s="97"/>
      <c r="AF990" s="97"/>
      <c r="AG990" s="97"/>
      <c r="AH990" s="97"/>
    </row>
    <row r="991" spans="1:34" ht="13.5" customHeight="1" x14ac:dyDescent="0.25">
      <c r="A991" s="97"/>
      <c r="B991" s="257">
        <v>19</v>
      </c>
      <c r="C991" s="652"/>
      <c r="D991" s="80"/>
      <c r="E991" s="80"/>
      <c r="F991" s="258">
        <f t="shared" ca="1" si="32"/>
        <v>0</v>
      </c>
      <c r="G991" s="624"/>
      <c r="H991" s="85"/>
      <c r="I991" s="624"/>
      <c r="J991" s="85"/>
      <c r="K991" s="624"/>
      <c r="L991" s="85"/>
      <c r="M991" s="624"/>
      <c r="N991" s="85"/>
      <c r="O991" s="624"/>
      <c r="P991" s="85"/>
      <c r="Q991" s="626">
        <f t="shared" si="31"/>
        <v>0</v>
      </c>
      <c r="R991" s="85"/>
      <c r="S991" s="624"/>
      <c r="T991" s="260"/>
      <c r="U991" s="624"/>
      <c r="V991" s="85"/>
      <c r="W991" s="624"/>
      <c r="X991" s="81"/>
      <c r="Y991" s="80"/>
      <c r="Z991" s="737">
        <f ca="1">MAX(0%,IF(Q991&lt;&gt;0,MIN((S991-Q991)/Q991/'Underwriting Risk'!$E$27,'Premium and Reserve Risk'!$Z$971),'Premium and Reserve Risk'!$Z$971))</f>
        <v>0.17</v>
      </c>
      <c r="AA991" s="80"/>
      <c r="AB991" s="80"/>
      <c r="AC991" s="737">
        <f ca="1">MAX(0%,IF(U991&lt;&gt;0,MIN((W991-U991)/U991/'Underwriting Risk'!$E$27,'Premium and Reserve Risk'!$AC$971),'Premium and Reserve Risk'!$AC$971))</f>
        <v>0.2</v>
      </c>
      <c r="AD991" s="81"/>
      <c r="AE991" s="97"/>
      <c r="AF991" s="97"/>
      <c r="AG991" s="97"/>
      <c r="AH991" s="97"/>
    </row>
    <row r="992" spans="1:34" ht="13.5" customHeight="1" x14ac:dyDescent="0.25">
      <c r="A992" s="97"/>
      <c r="B992" s="257">
        <v>20</v>
      </c>
      <c r="C992" s="652"/>
      <c r="D992" s="80"/>
      <c r="E992" s="80"/>
      <c r="F992" s="258">
        <f t="shared" ca="1" si="32"/>
        <v>0</v>
      </c>
      <c r="G992" s="624"/>
      <c r="H992" s="85"/>
      <c r="I992" s="624"/>
      <c r="J992" s="85"/>
      <c r="K992" s="624"/>
      <c r="L992" s="85"/>
      <c r="M992" s="624"/>
      <c r="N992" s="85"/>
      <c r="O992" s="624"/>
      <c r="P992" s="85"/>
      <c r="Q992" s="626">
        <f t="shared" si="31"/>
        <v>0</v>
      </c>
      <c r="R992" s="85"/>
      <c r="S992" s="624"/>
      <c r="T992" s="260"/>
      <c r="U992" s="624"/>
      <c r="V992" s="85"/>
      <c r="W992" s="624"/>
      <c r="X992" s="81"/>
      <c r="Y992" s="80"/>
      <c r="Z992" s="737">
        <f ca="1">MAX(0%,IF(Q992&lt;&gt;0,MIN((S992-Q992)/Q992/'Underwriting Risk'!$E$27,'Premium and Reserve Risk'!$Z$971),'Premium and Reserve Risk'!$Z$971))</f>
        <v>0.17</v>
      </c>
      <c r="AA992" s="80"/>
      <c r="AB992" s="80"/>
      <c r="AC992" s="737">
        <f ca="1">MAX(0%,IF(U992&lt;&gt;0,MIN((W992-U992)/U992/'Underwriting Risk'!$E$27,'Premium and Reserve Risk'!$AC$971),'Premium and Reserve Risk'!$AC$971))</f>
        <v>0.2</v>
      </c>
      <c r="AD992" s="81"/>
      <c r="AE992" s="97"/>
      <c r="AF992" s="97"/>
      <c r="AG992" s="97"/>
      <c r="AH992" s="97"/>
    </row>
    <row r="993" spans="1:34" ht="13.5" customHeight="1" x14ac:dyDescent="0.25">
      <c r="A993" s="97"/>
      <c r="B993" s="257">
        <v>21</v>
      </c>
      <c r="C993" s="652"/>
      <c r="D993" s="80"/>
      <c r="E993" s="80"/>
      <c r="F993" s="258">
        <f t="shared" ca="1" si="32"/>
        <v>0</v>
      </c>
      <c r="G993" s="624"/>
      <c r="H993" s="85"/>
      <c r="I993" s="624"/>
      <c r="J993" s="85"/>
      <c r="K993" s="624"/>
      <c r="L993" s="85"/>
      <c r="M993" s="624"/>
      <c r="N993" s="85"/>
      <c r="O993" s="624"/>
      <c r="P993" s="85"/>
      <c r="Q993" s="626">
        <f t="shared" si="31"/>
        <v>0</v>
      </c>
      <c r="R993" s="85"/>
      <c r="S993" s="624"/>
      <c r="T993" s="260"/>
      <c r="U993" s="624"/>
      <c r="V993" s="85"/>
      <c r="W993" s="624"/>
      <c r="X993" s="81"/>
      <c r="Y993" s="80"/>
      <c r="Z993" s="737">
        <f ca="1">MAX(0%,IF(Q993&lt;&gt;0,MIN((S993-Q993)/Q993/'Underwriting Risk'!$E$27,'Premium and Reserve Risk'!$Z$971),'Premium and Reserve Risk'!$Z$971))</f>
        <v>0.17</v>
      </c>
      <c r="AA993" s="80"/>
      <c r="AB993" s="80"/>
      <c r="AC993" s="737">
        <f ca="1">MAX(0%,IF(U993&lt;&gt;0,MIN((W993-U993)/U993/'Underwriting Risk'!$E$27,'Premium and Reserve Risk'!$AC$971),'Premium and Reserve Risk'!$AC$971))</f>
        <v>0.2</v>
      </c>
      <c r="AD993" s="81"/>
      <c r="AE993" s="97"/>
      <c r="AF993" s="97"/>
      <c r="AG993" s="97"/>
      <c r="AH993" s="97"/>
    </row>
    <row r="994" spans="1:34" ht="13.5" customHeight="1" x14ac:dyDescent="0.25">
      <c r="A994" s="97"/>
      <c r="B994" s="257">
        <v>22</v>
      </c>
      <c r="C994" s="652"/>
      <c r="D994" s="80"/>
      <c r="E994" s="80"/>
      <c r="F994" s="258">
        <f t="shared" ca="1" si="32"/>
        <v>0</v>
      </c>
      <c r="G994" s="624"/>
      <c r="H994" s="85"/>
      <c r="I994" s="624"/>
      <c r="J994" s="85"/>
      <c r="K994" s="624"/>
      <c r="L994" s="85"/>
      <c r="M994" s="624"/>
      <c r="N994" s="85"/>
      <c r="O994" s="624"/>
      <c r="P994" s="85"/>
      <c r="Q994" s="626">
        <f t="shared" si="31"/>
        <v>0</v>
      </c>
      <c r="R994" s="85"/>
      <c r="S994" s="624"/>
      <c r="T994" s="260"/>
      <c r="U994" s="624"/>
      <c r="V994" s="85"/>
      <c r="W994" s="624"/>
      <c r="X994" s="81"/>
      <c r="Y994" s="80"/>
      <c r="Z994" s="737">
        <f ca="1">MAX(0%,IF(Q994&lt;&gt;0,MIN((S994-Q994)/Q994/'Underwriting Risk'!$E$27,'Premium and Reserve Risk'!$Z$971),'Premium and Reserve Risk'!$Z$971))</f>
        <v>0.17</v>
      </c>
      <c r="AA994" s="80"/>
      <c r="AB994" s="80"/>
      <c r="AC994" s="737">
        <f ca="1">MAX(0%,IF(U994&lt;&gt;0,MIN((W994-U994)/U994/'Underwriting Risk'!$E$27,'Premium and Reserve Risk'!$AC$971),'Premium and Reserve Risk'!$AC$971))</f>
        <v>0.2</v>
      </c>
      <c r="AD994" s="81"/>
      <c r="AE994" s="97"/>
      <c r="AF994" s="97"/>
      <c r="AG994" s="97"/>
      <c r="AH994" s="97"/>
    </row>
    <row r="995" spans="1:34" ht="13.5" customHeight="1" x14ac:dyDescent="0.25">
      <c r="A995" s="97"/>
      <c r="B995" s="257">
        <v>23</v>
      </c>
      <c r="C995" s="652"/>
      <c r="D995" s="80"/>
      <c r="E995" s="80"/>
      <c r="F995" s="258">
        <f t="shared" ca="1" si="32"/>
        <v>0</v>
      </c>
      <c r="G995" s="624"/>
      <c r="H995" s="85"/>
      <c r="I995" s="624"/>
      <c r="J995" s="85"/>
      <c r="K995" s="624"/>
      <c r="L995" s="85"/>
      <c r="M995" s="624"/>
      <c r="N995" s="85"/>
      <c r="O995" s="624"/>
      <c r="P995" s="85"/>
      <c r="Q995" s="626">
        <f t="shared" si="31"/>
        <v>0</v>
      </c>
      <c r="R995" s="85"/>
      <c r="S995" s="624"/>
      <c r="T995" s="260"/>
      <c r="U995" s="624"/>
      <c r="V995" s="85"/>
      <c r="W995" s="624"/>
      <c r="X995" s="81"/>
      <c r="Y995" s="80"/>
      <c r="Z995" s="737">
        <f ca="1">MAX(0%,IF(Q995&lt;&gt;0,MIN((S995-Q995)/Q995/'Underwriting Risk'!$E$27,'Premium and Reserve Risk'!$Z$971),'Premium and Reserve Risk'!$Z$971))</f>
        <v>0.17</v>
      </c>
      <c r="AA995" s="80"/>
      <c r="AB995" s="80"/>
      <c r="AC995" s="737">
        <f ca="1">MAX(0%,IF(U995&lt;&gt;0,MIN((W995-U995)/U995/'Underwriting Risk'!$E$27,'Premium and Reserve Risk'!$AC$971),'Premium and Reserve Risk'!$AC$971))</f>
        <v>0.2</v>
      </c>
      <c r="AD995" s="81"/>
      <c r="AE995" s="97"/>
      <c r="AF995" s="97"/>
      <c r="AG995" s="97"/>
      <c r="AH995" s="97"/>
    </row>
    <row r="996" spans="1:34" ht="13.5" customHeight="1" x14ac:dyDescent="0.25">
      <c r="A996" s="97"/>
      <c r="B996" s="257">
        <v>24</v>
      </c>
      <c r="C996" s="652"/>
      <c r="D996" s="80"/>
      <c r="E996" s="80"/>
      <c r="F996" s="258">
        <f t="shared" ca="1" si="32"/>
        <v>0</v>
      </c>
      <c r="G996" s="624"/>
      <c r="H996" s="85"/>
      <c r="I996" s="624"/>
      <c r="J996" s="85"/>
      <c r="K996" s="624"/>
      <c r="L996" s="85"/>
      <c r="M996" s="624"/>
      <c r="N996" s="85"/>
      <c r="O996" s="624"/>
      <c r="P996" s="85"/>
      <c r="Q996" s="626">
        <f t="shared" si="31"/>
        <v>0</v>
      </c>
      <c r="R996" s="85"/>
      <c r="S996" s="624"/>
      <c r="T996" s="260"/>
      <c r="U996" s="624"/>
      <c r="V996" s="85"/>
      <c r="W996" s="624"/>
      <c r="X996" s="81"/>
      <c r="Y996" s="80"/>
      <c r="Z996" s="737">
        <f ca="1">MAX(0%,IF(Q996&lt;&gt;0,MIN((S996-Q996)/Q996/'Underwriting Risk'!$E$27,'Premium and Reserve Risk'!$Z$971),'Premium and Reserve Risk'!$Z$971))</f>
        <v>0.17</v>
      </c>
      <c r="AA996" s="80"/>
      <c r="AB996" s="80"/>
      <c r="AC996" s="737">
        <f ca="1">MAX(0%,IF(U996&lt;&gt;0,MIN((W996-U996)/U996/'Underwriting Risk'!$E$27,'Premium and Reserve Risk'!$AC$971),'Premium and Reserve Risk'!$AC$971))</f>
        <v>0.2</v>
      </c>
      <c r="AD996" s="81"/>
      <c r="AE996" s="97"/>
      <c r="AF996" s="97"/>
      <c r="AG996" s="97"/>
      <c r="AH996" s="97"/>
    </row>
    <row r="997" spans="1:34" ht="13.5" customHeight="1" x14ac:dyDescent="0.25">
      <c r="A997" s="97"/>
      <c r="B997" s="257">
        <v>25</v>
      </c>
      <c r="C997" s="652"/>
      <c r="D997" s="80"/>
      <c r="E997" s="80"/>
      <c r="F997" s="258">
        <f t="shared" ca="1" si="32"/>
        <v>0</v>
      </c>
      <c r="G997" s="624"/>
      <c r="H997" s="85"/>
      <c r="I997" s="624"/>
      <c r="J997" s="85"/>
      <c r="K997" s="624"/>
      <c r="L997" s="85"/>
      <c r="M997" s="624"/>
      <c r="N997" s="85"/>
      <c r="O997" s="624"/>
      <c r="P997" s="85"/>
      <c r="Q997" s="626">
        <f t="shared" si="31"/>
        <v>0</v>
      </c>
      <c r="R997" s="85"/>
      <c r="S997" s="624"/>
      <c r="T997" s="260"/>
      <c r="U997" s="624"/>
      <c r="V997" s="85"/>
      <c r="W997" s="624"/>
      <c r="X997" s="81"/>
      <c r="Y997" s="80"/>
      <c r="Z997" s="737">
        <f ca="1">MAX(0%,IF(Q997&lt;&gt;0,MIN((S997-Q997)/Q997/'Underwriting Risk'!$E$27,'Premium and Reserve Risk'!$Z$971),'Premium and Reserve Risk'!$Z$971))</f>
        <v>0.17</v>
      </c>
      <c r="AA997" s="80"/>
      <c r="AB997" s="80"/>
      <c r="AC997" s="737">
        <f ca="1">MAX(0%,IF(U997&lt;&gt;0,MIN((W997-U997)/U997/'Underwriting Risk'!$E$27,'Premium and Reserve Risk'!$AC$971),'Premium and Reserve Risk'!$AC$971))</f>
        <v>0.2</v>
      </c>
      <c r="AD997" s="81"/>
      <c r="AE997" s="97"/>
      <c r="AF997" s="97"/>
      <c r="AG997" s="97"/>
      <c r="AH997" s="97"/>
    </row>
    <row r="998" spans="1:34" ht="13.5" customHeight="1" x14ac:dyDescent="0.25">
      <c r="A998" s="97"/>
      <c r="B998" s="257">
        <v>26</v>
      </c>
      <c r="C998" s="652"/>
      <c r="D998" s="80"/>
      <c r="E998" s="80"/>
      <c r="F998" s="258">
        <f t="shared" ca="1" si="32"/>
        <v>0</v>
      </c>
      <c r="G998" s="624"/>
      <c r="H998" s="85"/>
      <c r="I998" s="624"/>
      <c r="J998" s="85"/>
      <c r="K998" s="624"/>
      <c r="L998" s="85"/>
      <c r="M998" s="624"/>
      <c r="N998" s="85"/>
      <c r="O998" s="624"/>
      <c r="P998" s="85"/>
      <c r="Q998" s="626">
        <f t="shared" si="31"/>
        <v>0</v>
      </c>
      <c r="R998" s="85"/>
      <c r="S998" s="624"/>
      <c r="T998" s="260"/>
      <c r="U998" s="624"/>
      <c r="V998" s="85"/>
      <c r="W998" s="624"/>
      <c r="X998" s="81"/>
      <c r="Y998" s="80"/>
      <c r="Z998" s="737">
        <f ca="1">MAX(0%,IF(Q998&lt;&gt;0,MIN((S998-Q998)/Q998/'Underwriting Risk'!$E$27,'Premium and Reserve Risk'!$Z$971),'Premium and Reserve Risk'!$Z$971))</f>
        <v>0.17</v>
      </c>
      <c r="AA998" s="80"/>
      <c r="AB998" s="80"/>
      <c r="AC998" s="737">
        <f ca="1">MAX(0%,IF(U998&lt;&gt;0,MIN((W998-U998)/U998/'Underwriting Risk'!$E$27,'Premium and Reserve Risk'!$AC$971),'Premium and Reserve Risk'!$AC$971))</f>
        <v>0.2</v>
      </c>
      <c r="AD998" s="81"/>
      <c r="AE998" s="97"/>
      <c r="AF998" s="97"/>
      <c r="AG998" s="97"/>
      <c r="AH998" s="97"/>
    </row>
    <row r="999" spans="1:34" ht="13.5" customHeight="1" x14ac:dyDescent="0.25">
      <c r="A999" s="97"/>
      <c r="B999" s="257">
        <v>27</v>
      </c>
      <c r="C999" s="652"/>
      <c r="D999" s="80"/>
      <c r="E999" s="80"/>
      <c r="F999" s="258">
        <f t="shared" ca="1" si="32"/>
        <v>0</v>
      </c>
      <c r="G999" s="624"/>
      <c r="H999" s="85"/>
      <c r="I999" s="624"/>
      <c r="J999" s="85"/>
      <c r="K999" s="624"/>
      <c r="L999" s="85"/>
      <c r="M999" s="624"/>
      <c r="N999" s="85"/>
      <c r="O999" s="624"/>
      <c r="P999" s="85"/>
      <c r="Q999" s="626">
        <f t="shared" si="31"/>
        <v>0</v>
      </c>
      <c r="R999" s="85"/>
      <c r="S999" s="624"/>
      <c r="T999" s="260"/>
      <c r="U999" s="624"/>
      <c r="V999" s="85"/>
      <c r="W999" s="624"/>
      <c r="X999" s="81"/>
      <c r="Y999" s="80"/>
      <c r="Z999" s="737">
        <f ca="1">MAX(0%,IF(Q999&lt;&gt;0,MIN((S999-Q999)/Q999/'Underwriting Risk'!$E$27,'Premium and Reserve Risk'!$Z$971),'Premium and Reserve Risk'!$Z$971))</f>
        <v>0.17</v>
      </c>
      <c r="AA999" s="80"/>
      <c r="AB999" s="80"/>
      <c r="AC999" s="737">
        <f ca="1">MAX(0%,IF(U999&lt;&gt;0,MIN((W999-U999)/U999/'Underwriting Risk'!$E$27,'Premium and Reserve Risk'!$AC$971),'Premium and Reserve Risk'!$AC$971))</f>
        <v>0.2</v>
      </c>
      <c r="AD999" s="81"/>
      <c r="AE999" s="97"/>
      <c r="AF999" s="97"/>
      <c r="AG999" s="97"/>
      <c r="AH999" s="97"/>
    </row>
    <row r="1000" spans="1:34" ht="13.5" customHeight="1" x14ac:dyDescent="0.25">
      <c r="A1000" s="97"/>
      <c r="B1000" s="257">
        <v>28</v>
      </c>
      <c r="C1000" s="652"/>
      <c r="D1000" s="80"/>
      <c r="E1000" s="80"/>
      <c r="F1000" s="258">
        <f t="shared" ca="1" si="32"/>
        <v>0</v>
      </c>
      <c r="G1000" s="624"/>
      <c r="H1000" s="85"/>
      <c r="I1000" s="624"/>
      <c r="J1000" s="85"/>
      <c r="K1000" s="624"/>
      <c r="L1000" s="85"/>
      <c r="M1000" s="624"/>
      <c r="N1000" s="85"/>
      <c r="O1000" s="624"/>
      <c r="P1000" s="85"/>
      <c r="Q1000" s="626">
        <f t="shared" si="31"/>
        <v>0</v>
      </c>
      <c r="R1000" s="85"/>
      <c r="S1000" s="624"/>
      <c r="T1000" s="260"/>
      <c r="U1000" s="624"/>
      <c r="V1000" s="85"/>
      <c r="W1000" s="624"/>
      <c r="X1000" s="81"/>
      <c r="Y1000" s="80"/>
      <c r="Z1000" s="737">
        <f ca="1">MAX(0%,IF(Q1000&lt;&gt;0,MIN((S1000-Q1000)/Q1000/'Underwriting Risk'!$E$27,'Premium and Reserve Risk'!$Z$971),'Premium and Reserve Risk'!$Z$971))</f>
        <v>0.17</v>
      </c>
      <c r="AA1000" s="80"/>
      <c r="AB1000" s="80"/>
      <c r="AC1000" s="737">
        <f ca="1">MAX(0%,IF(U1000&lt;&gt;0,MIN((W1000-U1000)/U1000/'Underwriting Risk'!$E$27,'Premium and Reserve Risk'!$AC$971),'Premium and Reserve Risk'!$AC$971))</f>
        <v>0.2</v>
      </c>
      <c r="AD1000" s="81"/>
      <c r="AE1000" s="97"/>
      <c r="AF1000" s="97"/>
      <c r="AG1000" s="97"/>
      <c r="AH1000" s="97"/>
    </row>
    <row r="1001" spans="1:34" ht="13.5" customHeight="1" x14ac:dyDescent="0.25">
      <c r="A1001" s="97"/>
      <c r="B1001" s="257">
        <v>29</v>
      </c>
      <c r="C1001" s="652"/>
      <c r="D1001" s="80"/>
      <c r="E1001" s="80"/>
      <c r="F1001" s="258">
        <f t="shared" ca="1" si="32"/>
        <v>0</v>
      </c>
      <c r="G1001" s="624"/>
      <c r="H1001" s="85"/>
      <c r="I1001" s="624"/>
      <c r="J1001" s="85"/>
      <c r="K1001" s="624"/>
      <c r="L1001" s="85"/>
      <c r="M1001" s="624"/>
      <c r="N1001" s="85"/>
      <c r="O1001" s="624"/>
      <c r="P1001" s="85"/>
      <c r="Q1001" s="626">
        <f t="shared" si="31"/>
        <v>0</v>
      </c>
      <c r="R1001" s="85"/>
      <c r="S1001" s="624"/>
      <c r="T1001" s="260"/>
      <c r="U1001" s="624"/>
      <c r="V1001" s="85"/>
      <c r="W1001" s="624"/>
      <c r="X1001" s="81"/>
      <c r="Y1001" s="80"/>
      <c r="Z1001" s="737">
        <f ca="1">MAX(0%,IF(Q1001&lt;&gt;0,MIN((S1001-Q1001)/Q1001/'Underwriting Risk'!$E$27,'Premium and Reserve Risk'!$Z$971),'Premium and Reserve Risk'!$Z$971))</f>
        <v>0.17</v>
      </c>
      <c r="AA1001" s="80"/>
      <c r="AB1001" s="80"/>
      <c r="AC1001" s="737">
        <f ca="1">MAX(0%,IF(U1001&lt;&gt;0,MIN((W1001-U1001)/U1001/'Underwriting Risk'!$E$27,'Premium and Reserve Risk'!$AC$971),'Premium and Reserve Risk'!$AC$971))</f>
        <v>0.2</v>
      </c>
      <c r="AD1001" s="81"/>
      <c r="AE1001" s="97"/>
      <c r="AF1001" s="97"/>
      <c r="AG1001" s="97"/>
      <c r="AH1001" s="97"/>
    </row>
    <row r="1002" spans="1:34" ht="13.5" customHeight="1" x14ac:dyDescent="0.25">
      <c r="A1002" s="97"/>
      <c r="B1002" s="257">
        <v>30</v>
      </c>
      <c r="C1002" s="652"/>
      <c r="D1002" s="80"/>
      <c r="E1002" s="80"/>
      <c r="F1002" s="258">
        <f t="shared" ca="1" si="32"/>
        <v>0</v>
      </c>
      <c r="G1002" s="624"/>
      <c r="H1002" s="85"/>
      <c r="I1002" s="624"/>
      <c r="J1002" s="85"/>
      <c r="K1002" s="624"/>
      <c r="L1002" s="85"/>
      <c r="M1002" s="624"/>
      <c r="N1002" s="85"/>
      <c r="O1002" s="624"/>
      <c r="P1002" s="85"/>
      <c r="Q1002" s="626">
        <f t="shared" si="31"/>
        <v>0</v>
      </c>
      <c r="R1002" s="85"/>
      <c r="S1002" s="624"/>
      <c r="T1002" s="260"/>
      <c r="U1002" s="624"/>
      <c r="V1002" s="85"/>
      <c r="W1002" s="624"/>
      <c r="X1002" s="81"/>
      <c r="Y1002" s="80"/>
      <c r="Z1002" s="737">
        <f ca="1">MAX(0%,IF(Q1002&lt;&gt;0,MIN((S1002-Q1002)/Q1002/'Underwriting Risk'!$E$27,'Premium and Reserve Risk'!$Z$971),'Premium and Reserve Risk'!$Z$971))</f>
        <v>0.17</v>
      </c>
      <c r="AA1002" s="80"/>
      <c r="AB1002" s="80"/>
      <c r="AC1002" s="737">
        <f ca="1">MAX(0%,IF(U1002&lt;&gt;0,MIN((W1002-U1002)/U1002/'Underwriting Risk'!$E$27,'Premium and Reserve Risk'!$AC$971),'Premium and Reserve Risk'!$AC$971))</f>
        <v>0.2</v>
      </c>
      <c r="AD1002" s="81"/>
      <c r="AE1002" s="97"/>
      <c r="AF1002" s="97"/>
      <c r="AG1002" s="97"/>
      <c r="AH1002" s="97"/>
    </row>
    <row r="1003" spans="1:34" ht="13.5" customHeight="1" x14ac:dyDescent="0.25">
      <c r="A1003" s="97"/>
      <c r="B1003" s="257">
        <v>31</v>
      </c>
      <c r="C1003" s="652"/>
      <c r="D1003" s="80"/>
      <c r="E1003" s="80"/>
      <c r="F1003" s="258">
        <f t="shared" ca="1" si="32"/>
        <v>0</v>
      </c>
      <c r="G1003" s="624"/>
      <c r="H1003" s="85"/>
      <c r="I1003" s="624"/>
      <c r="J1003" s="85"/>
      <c r="K1003" s="624"/>
      <c r="L1003" s="85"/>
      <c r="M1003" s="624"/>
      <c r="N1003" s="85"/>
      <c r="O1003" s="624"/>
      <c r="P1003" s="85"/>
      <c r="Q1003" s="626">
        <f t="shared" si="31"/>
        <v>0</v>
      </c>
      <c r="R1003" s="85"/>
      <c r="S1003" s="624"/>
      <c r="T1003" s="260"/>
      <c r="U1003" s="624"/>
      <c r="V1003" s="85"/>
      <c r="W1003" s="624"/>
      <c r="X1003" s="81"/>
      <c r="Y1003" s="80"/>
      <c r="Z1003" s="737">
        <f ca="1">MAX(0%,IF(Q1003&lt;&gt;0,MIN((S1003-Q1003)/Q1003/'Underwriting Risk'!$E$27,'Premium and Reserve Risk'!$Z$971),'Premium and Reserve Risk'!$Z$971))</f>
        <v>0.17</v>
      </c>
      <c r="AA1003" s="80"/>
      <c r="AB1003" s="80"/>
      <c r="AC1003" s="737">
        <f ca="1">MAX(0%,IF(U1003&lt;&gt;0,MIN((W1003-U1003)/U1003/'Underwriting Risk'!$E$27,'Premium and Reserve Risk'!$AC$971),'Premium and Reserve Risk'!$AC$971))</f>
        <v>0.2</v>
      </c>
      <c r="AD1003" s="81"/>
      <c r="AE1003" s="97"/>
      <c r="AF1003" s="97"/>
      <c r="AG1003" s="97"/>
      <c r="AH1003" s="97"/>
    </row>
    <row r="1004" spans="1:34" ht="13.5" customHeight="1" x14ac:dyDescent="0.25">
      <c r="A1004" s="97"/>
      <c r="B1004" s="257">
        <v>32</v>
      </c>
      <c r="C1004" s="652"/>
      <c r="D1004" s="80"/>
      <c r="E1004" s="80"/>
      <c r="F1004" s="258">
        <f t="shared" ca="1" si="32"/>
        <v>0</v>
      </c>
      <c r="G1004" s="624"/>
      <c r="H1004" s="85"/>
      <c r="I1004" s="624"/>
      <c r="J1004" s="85"/>
      <c r="K1004" s="624"/>
      <c r="L1004" s="85"/>
      <c r="M1004" s="624"/>
      <c r="N1004" s="85"/>
      <c r="O1004" s="624"/>
      <c r="P1004" s="85"/>
      <c r="Q1004" s="626">
        <f t="shared" si="31"/>
        <v>0</v>
      </c>
      <c r="R1004" s="85"/>
      <c r="S1004" s="624"/>
      <c r="T1004" s="260"/>
      <c r="U1004" s="624"/>
      <c r="V1004" s="85"/>
      <c r="W1004" s="624"/>
      <c r="X1004" s="81"/>
      <c r="Y1004" s="80"/>
      <c r="Z1004" s="737">
        <f ca="1">MAX(0%,IF(Q1004&lt;&gt;0,MIN((S1004-Q1004)/Q1004/'Underwriting Risk'!$E$27,'Premium and Reserve Risk'!$Z$971),'Premium and Reserve Risk'!$Z$971))</f>
        <v>0.17</v>
      </c>
      <c r="AA1004" s="80"/>
      <c r="AB1004" s="80"/>
      <c r="AC1004" s="737">
        <f ca="1">MAX(0%,IF(U1004&lt;&gt;0,MIN((W1004-U1004)/U1004/'Underwriting Risk'!$E$27,'Premium and Reserve Risk'!$AC$971),'Premium and Reserve Risk'!$AC$971))</f>
        <v>0.2</v>
      </c>
      <c r="AD1004" s="81"/>
      <c r="AE1004" s="97"/>
      <c r="AF1004" s="97"/>
      <c r="AG1004" s="97"/>
      <c r="AH1004" s="97"/>
    </row>
    <row r="1005" spans="1:34" ht="13.5" customHeight="1" x14ac:dyDescent="0.25">
      <c r="A1005" s="97"/>
      <c r="B1005" s="257">
        <v>33</v>
      </c>
      <c r="C1005" s="652"/>
      <c r="D1005" s="80"/>
      <c r="E1005" s="80"/>
      <c r="F1005" s="258">
        <f t="shared" ca="1" si="32"/>
        <v>0</v>
      </c>
      <c r="G1005" s="624"/>
      <c r="H1005" s="85"/>
      <c r="I1005" s="624"/>
      <c r="J1005" s="85"/>
      <c r="K1005" s="624"/>
      <c r="L1005" s="85"/>
      <c r="M1005" s="624"/>
      <c r="N1005" s="85"/>
      <c r="O1005" s="624"/>
      <c r="P1005" s="85"/>
      <c r="Q1005" s="626">
        <f t="shared" si="31"/>
        <v>0</v>
      </c>
      <c r="R1005" s="85"/>
      <c r="S1005" s="624"/>
      <c r="T1005" s="260"/>
      <c r="U1005" s="624"/>
      <c r="V1005" s="85"/>
      <c r="W1005" s="624"/>
      <c r="X1005" s="81"/>
      <c r="Y1005" s="80"/>
      <c r="Z1005" s="737">
        <f ca="1">MAX(0%,IF(Q1005&lt;&gt;0,MIN((S1005-Q1005)/Q1005/'Underwriting Risk'!$E$27,'Premium and Reserve Risk'!$Z$971),'Premium and Reserve Risk'!$Z$971))</f>
        <v>0.17</v>
      </c>
      <c r="AA1005" s="80"/>
      <c r="AB1005" s="80"/>
      <c r="AC1005" s="737">
        <f ca="1">MAX(0%,IF(U1005&lt;&gt;0,MIN((W1005-U1005)/U1005/'Underwriting Risk'!$E$27,'Premium and Reserve Risk'!$AC$971),'Premium and Reserve Risk'!$AC$971))</f>
        <v>0.2</v>
      </c>
      <c r="AD1005" s="81"/>
      <c r="AE1005" s="97"/>
      <c r="AF1005" s="97"/>
      <c r="AG1005" s="97"/>
      <c r="AH1005" s="97"/>
    </row>
    <row r="1006" spans="1:34" ht="13.5" customHeight="1" x14ac:dyDescent="0.25">
      <c r="A1006" s="97"/>
      <c r="B1006" s="257">
        <v>34</v>
      </c>
      <c r="C1006" s="652"/>
      <c r="D1006" s="80"/>
      <c r="E1006" s="80"/>
      <c r="F1006" s="258">
        <f t="shared" ca="1" si="32"/>
        <v>0</v>
      </c>
      <c r="G1006" s="624"/>
      <c r="H1006" s="85"/>
      <c r="I1006" s="624"/>
      <c r="J1006" s="85"/>
      <c r="K1006" s="624"/>
      <c r="L1006" s="85"/>
      <c r="M1006" s="624"/>
      <c r="N1006" s="85"/>
      <c r="O1006" s="624"/>
      <c r="P1006" s="85"/>
      <c r="Q1006" s="626">
        <f t="shared" si="31"/>
        <v>0</v>
      </c>
      <c r="R1006" s="85"/>
      <c r="S1006" s="624"/>
      <c r="T1006" s="260"/>
      <c r="U1006" s="624"/>
      <c r="V1006" s="85"/>
      <c r="W1006" s="624"/>
      <c r="X1006" s="81"/>
      <c r="Y1006" s="80"/>
      <c r="Z1006" s="737">
        <f ca="1">MAX(0%,IF(Q1006&lt;&gt;0,MIN((S1006-Q1006)/Q1006/'Underwriting Risk'!$E$27,'Premium and Reserve Risk'!$Z$971),'Premium and Reserve Risk'!$Z$971))</f>
        <v>0.17</v>
      </c>
      <c r="AA1006" s="80"/>
      <c r="AB1006" s="80"/>
      <c r="AC1006" s="737">
        <f ca="1">MAX(0%,IF(U1006&lt;&gt;0,MIN((W1006-U1006)/U1006/'Underwriting Risk'!$E$27,'Premium and Reserve Risk'!$AC$971),'Premium and Reserve Risk'!$AC$971))</f>
        <v>0.2</v>
      </c>
      <c r="AD1006" s="81"/>
      <c r="AE1006" s="97"/>
      <c r="AF1006" s="97"/>
      <c r="AG1006" s="97"/>
      <c r="AH1006" s="97"/>
    </row>
    <row r="1007" spans="1:34" ht="13.5" customHeight="1" x14ac:dyDescent="0.25">
      <c r="A1007" s="97"/>
      <c r="B1007" s="257">
        <v>35</v>
      </c>
      <c r="C1007" s="652"/>
      <c r="D1007" s="80"/>
      <c r="E1007" s="80"/>
      <c r="F1007" s="258">
        <f t="shared" ca="1" si="32"/>
        <v>0</v>
      </c>
      <c r="G1007" s="624"/>
      <c r="H1007" s="85"/>
      <c r="I1007" s="624"/>
      <c r="J1007" s="85"/>
      <c r="K1007" s="624"/>
      <c r="L1007" s="85"/>
      <c r="M1007" s="624"/>
      <c r="N1007" s="85"/>
      <c r="O1007" s="624"/>
      <c r="P1007" s="85"/>
      <c r="Q1007" s="626">
        <f t="shared" si="31"/>
        <v>0</v>
      </c>
      <c r="R1007" s="85"/>
      <c r="S1007" s="624"/>
      <c r="T1007" s="260"/>
      <c r="U1007" s="624"/>
      <c r="V1007" s="85"/>
      <c r="W1007" s="624"/>
      <c r="X1007" s="81"/>
      <c r="Y1007" s="80"/>
      <c r="Z1007" s="737">
        <f ca="1">MAX(0%,IF(Q1007&lt;&gt;0,MIN((S1007-Q1007)/Q1007/'Underwriting Risk'!$E$27,'Premium and Reserve Risk'!$Z$971),'Premium and Reserve Risk'!$Z$971))</f>
        <v>0.17</v>
      </c>
      <c r="AA1007" s="80"/>
      <c r="AB1007" s="80"/>
      <c r="AC1007" s="737">
        <f ca="1">MAX(0%,IF(U1007&lt;&gt;0,MIN((W1007-U1007)/U1007/'Underwriting Risk'!$E$27,'Premium and Reserve Risk'!$AC$971),'Premium and Reserve Risk'!$AC$971))</f>
        <v>0.2</v>
      </c>
      <c r="AD1007" s="81"/>
      <c r="AE1007" s="97"/>
      <c r="AF1007" s="97"/>
      <c r="AG1007" s="97"/>
      <c r="AH1007" s="97"/>
    </row>
    <row r="1008" spans="1:34" ht="13.5" customHeight="1" x14ac:dyDescent="0.25">
      <c r="A1008" s="97"/>
      <c r="B1008" s="257">
        <v>36</v>
      </c>
      <c r="C1008" s="652"/>
      <c r="D1008" s="80"/>
      <c r="E1008" s="80"/>
      <c r="F1008" s="258">
        <f t="shared" ca="1" si="32"/>
        <v>0</v>
      </c>
      <c r="G1008" s="624"/>
      <c r="H1008" s="85"/>
      <c r="I1008" s="624"/>
      <c r="J1008" s="85"/>
      <c r="K1008" s="624"/>
      <c r="L1008" s="85"/>
      <c r="M1008" s="624"/>
      <c r="N1008" s="85"/>
      <c r="O1008" s="624"/>
      <c r="P1008" s="85"/>
      <c r="Q1008" s="626">
        <f t="shared" si="31"/>
        <v>0</v>
      </c>
      <c r="R1008" s="85"/>
      <c r="S1008" s="624"/>
      <c r="T1008" s="260"/>
      <c r="U1008" s="624"/>
      <c r="V1008" s="85"/>
      <c r="W1008" s="624"/>
      <c r="X1008" s="81"/>
      <c r="Y1008" s="80"/>
      <c r="Z1008" s="737">
        <f ca="1">MAX(0%,IF(Q1008&lt;&gt;0,MIN((S1008-Q1008)/Q1008/'Underwriting Risk'!$E$27,'Premium and Reserve Risk'!$Z$971),'Premium and Reserve Risk'!$Z$971))</f>
        <v>0.17</v>
      </c>
      <c r="AA1008" s="80"/>
      <c r="AB1008" s="80"/>
      <c r="AC1008" s="737">
        <f ca="1">MAX(0%,IF(U1008&lt;&gt;0,MIN((W1008-U1008)/U1008/'Underwriting Risk'!$E$27,'Premium and Reserve Risk'!$AC$971),'Premium and Reserve Risk'!$AC$971))</f>
        <v>0.2</v>
      </c>
      <c r="AD1008" s="81"/>
      <c r="AE1008" s="97"/>
      <c r="AF1008" s="97"/>
      <c r="AG1008" s="97"/>
      <c r="AH1008" s="97"/>
    </row>
    <row r="1009" spans="1:34" ht="13.5" customHeight="1" x14ac:dyDescent="0.25">
      <c r="A1009" s="97"/>
      <c r="B1009" s="257">
        <v>37</v>
      </c>
      <c r="C1009" s="652"/>
      <c r="D1009" s="80"/>
      <c r="E1009" s="80"/>
      <c r="F1009" s="258">
        <f t="shared" ca="1" si="32"/>
        <v>0</v>
      </c>
      <c r="G1009" s="624"/>
      <c r="H1009" s="85"/>
      <c r="I1009" s="624"/>
      <c r="J1009" s="85"/>
      <c r="K1009" s="624"/>
      <c r="L1009" s="85"/>
      <c r="M1009" s="624"/>
      <c r="N1009" s="85"/>
      <c r="O1009" s="624"/>
      <c r="P1009" s="85"/>
      <c r="Q1009" s="626">
        <f t="shared" si="31"/>
        <v>0</v>
      </c>
      <c r="R1009" s="85"/>
      <c r="S1009" s="624"/>
      <c r="T1009" s="260"/>
      <c r="U1009" s="624"/>
      <c r="V1009" s="85"/>
      <c r="W1009" s="624"/>
      <c r="X1009" s="81"/>
      <c r="Y1009" s="80"/>
      <c r="Z1009" s="737">
        <f ca="1">MAX(0%,IF(Q1009&lt;&gt;0,MIN((S1009-Q1009)/Q1009/'Underwriting Risk'!$E$27,'Premium and Reserve Risk'!$Z$971),'Premium and Reserve Risk'!$Z$971))</f>
        <v>0.17</v>
      </c>
      <c r="AA1009" s="80"/>
      <c r="AB1009" s="80"/>
      <c r="AC1009" s="737">
        <f ca="1">MAX(0%,IF(U1009&lt;&gt;0,MIN((W1009-U1009)/U1009/'Underwriting Risk'!$E$27,'Premium and Reserve Risk'!$AC$971),'Premium and Reserve Risk'!$AC$971))</f>
        <v>0.2</v>
      </c>
      <c r="AD1009" s="81"/>
      <c r="AE1009" s="97"/>
      <c r="AF1009" s="97"/>
      <c r="AG1009" s="97"/>
      <c r="AH1009" s="97"/>
    </row>
    <row r="1010" spans="1:34" ht="13.5" customHeight="1" x14ac:dyDescent="0.25">
      <c r="A1010" s="97"/>
      <c r="B1010" s="257">
        <v>38</v>
      </c>
      <c r="C1010" s="652"/>
      <c r="D1010" s="80"/>
      <c r="E1010" s="80"/>
      <c r="F1010" s="258">
        <f t="shared" ca="1" si="32"/>
        <v>0</v>
      </c>
      <c r="G1010" s="624"/>
      <c r="H1010" s="85"/>
      <c r="I1010" s="624"/>
      <c r="J1010" s="85"/>
      <c r="K1010" s="624"/>
      <c r="L1010" s="85"/>
      <c r="M1010" s="624"/>
      <c r="N1010" s="85"/>
      <c r="O1010" s="624"/>
      <c r="P1010" s="85"/>
      <c r="Q1010" s="626">
        <f t="shared" si="31"/>
        <v>0</v>
      </c>
      <c r="R1010" s="85"/>
      <c r="S1010" s="624"/>
      <c r="T1010" s="260"/>
      <c r="U1010" s="624"/>
      <c r="V1010" s="85"/>
      <c r="W1010" s="624"/>
      <c r="X1010" s="81"/>
      <c r="Y1010" s="80"/>
      <c r="Z1010" s="737">
        <f ca="1">MAX(0%,IF(Q1010&lt;&gt;0,MIN((S1010-Q1010)/Q1010/'Underwriting Risk'!$E$27,'Premium and Reserve Risk'!$Z$971),'Premium and Reserve Risk'!$Z$971))</f>
        <v>0.17</v>
      </c>
      <c r="AA1010" s="80"/>
      <c r="AB1010" s="80"/>
      <c r="AC1010" s="737">
        <f ca="1">MAX(0%,IF(U1010&lt;&gt;0,MIN((W1010-U1010)/U1010/'Underwriting Risk'!$E$27,'Premium and Reserve Risk'!$AC$971),'Premium and Reserve Risk'!$AC$971))</f>
        <v>0.2</v>
      </c>
      <c r="AD1010" s="81"/>
      <c r="AE1010" s="97"/>
      <c r="AF1010" s="97"/>
      <c r="AG1010" s="97"/>
      <c r="AH1010" s="97"/>
    </row>
    <row r="1011" spans="1:34" ht="13.5" customHeight="1" x14ac:dyDescent="0.25">
      <c r="A1011" s="97"/>
      <c r="B1011" s="257">
        <v>39</v>
      </c>
      <c r="C1011" s="652"/>
      <c r="D1011" s="80"/>
      <c r="E1011" s="80"/>
      <c r="F1011" s="258">
        <f t="shared" ca="1" si="32"/>
        <v>0</v>
      </c>
      <c r="G1011" s="624"/>
      <c r="H1011" s="85"/>
      <c r="I1011" s="624"/>
      <c r="J1011" s="85"/>
      <c r="K1011" s="624"/>
      <c r="L1011" s="85"/>
      <c r="M1011" s="624"/>
      <c r="N1011" s="85"/>
      <c r="O1011" s="624"/>
      <c r="P1011" s="85"/>
      <c r="Q1011" s="626">
        <f t="shared" si="31"/>
        <v>0</v>
      </c>
      <c r="R1011" s="85"/>
      <c r="S1011" s="624"/>
      <c r="T1011" s="260"/>
      <c r="U1011" s="624"/>
      <c r="V1011" s="85"/>
      <c r="W1011" s="624"/>
      <c r="X1011" s="81"/>
      <c r="Y1011" s="80"/>
      <c r="Z1011" s="737">
        <f ca="1">MAX(0%,IF(Q1011&lt;&gt;0,MIN((S1011-Q1011)/Q1011/'Underwriting Risk'!$E$27,'Premium and Reserve Risk'!$Z$971),'Premium and Reserve Risk'!$Z$971))</f>
        <v>0.17</v>
      </c>
      <c r="AA1011" s="80"/>
      <c r="AB1011" s="80"/>
      <c r="AC1011" s="737">
        <f ca="1">MAX(0%,IF(U1011&lt;&gt;0,MIN((W1011-U1011)/U1011/'Underwriting Risk'!$E$27,'Premium and Reserve Risk'!$AC$971),'Premium and Reserve Risk'!$AC$971))</f>
        <v>0.2</v>
      </c>
      <c r="AD1011" s="81"/>
      <c r="AE1011" s="97"/>
      <c r="AF1011" s="97"/>
      <c r="AG1011" s="97"/>
      <c r="AH1011" s="97"/>
    </row>
    <row r="1012" spans="1:34" ht="13.5" customHeight="1" x14ac:dyDescent="0.25">
      <c r="A1012" s="97"/>
      <c r="B1012" s="257">
        <v>40</v>
      </c>
      <c r="C1012" s="652"/>
      <c r="D1012" s="80"/>
      <c r="E1012" s="80"/>
      <c r="F1012" s="258">
        <f t="shared" ca="1" si="32"/>
        <v>0</v>
      </c>
      <c r="G1012" s="624"/>
      <c r="H1012" s="85"/>
      <c r="I1012" s="624"/>
      <c r="J1012" s="85"/>
      <c r="K1012" s="624"/>
      <c r="L1012" s="85"/>
      <c r="M1012" s="624"/>
      <c r="N1012" s="85"/>
      <c r="O1012" s="624"/>
      <c r="P1012" s="85"/>
      <c r="Q1012" s="626">
        <f t="shared" si="31"/>
        <v>0</v>
      </c>
      <c r="R1012" s="85"/>
      <c r="S1012" s="624"/>
      <c r="T1012" s="260"/>
      <c r="U1012" s="624"/>
      <c r="V1012" s="85"/>
      <c r="W1012" s="624"/>
      <c r="X1012" s="81"/>
      <c r="Y1012" s="80"/>
      <c r="Z1012" s="737">
        <f ca="1">MAX(0%,IF(Q1012&lt;&gt;0,MIN((S1012-Q1012)/Q1012/'Underwriting Risk'!$E$27,'Premium and Reserve Risk'!$Z$971),'Premium and Reserve Risk'!$Z$971))</f>
        <v>0.17</v>
      </c>
      <c r="AA1012" s="80"/>
      <c r="AB1012" s="80"/>
      <c r="AC1012" s="737">
        <f ca="1">MAX(0%,IF(U1012&lt;&gt;0,MIN((W1012-U1012)/U1012/'Underwriting Risk'!$E$27,'Premium and Reserve Risk'!$AC$971),'Premium and Reserve Risk'!$AC$971))</f>
        <v>0.2</v>
      </c>
      <c r="AD1012" s="81"/>
      <c r="AE1012" s="97"/>
      <c r="AF1012" s="97"/>
      <c r="AG1012" s="97"/>
      <c r="AH1012" s="97"/>
    </row>
    <row r="1013" spans="1:34" ht="13.5" customHeight="1" x14ac:dyDescent="0.25">
      <c r="A1013" s="97"/>
      <c r="B1013" s="257">
        <v>41</v>
      </c>
      <c r="C1013" s="652"/>
      <c r="D1013" s="80"/>
      <c r="E1013" s="80"/>
      <c r="F1013" s="258">
        <f t="shared" ca="1" si="32"/>
        <v>0</v>
      </c>
      <c r="G1013" s="624"/>
      <c r="H1013" s="85"/>
      <c r="I1013" s="624"/>
      <c r="J1013" s="85"/>
      <c r="K1013" s="624"/>
      <c r="L1013" s="85"/>
      <c r="M1013" s="624"/>
      <c r="N1013" s="85"/>
      <c r="O1013" s="624"/>
      <c r="P1013" s="85"/>
      <c r="Q1013" s="626">
        <f t="shared" si="31"/>
        <v>0</v>
      </c>
      <c r="R1013" s="85"/>
      <c r="S1013" s="624"/>
      <c r="T1013" s="260"/>
      <c r="U1013" s="624"/>
      <c r="V1013" s="85"/>
      <c r="W1013" s="624"/>
      <c r="X1013" s="81"/>
      <c r="Y1013" s="80"/>
      <c r="Z1013" s="737">
        <f ca="1">MAX(0%,IF(Q1013&lt;&gt;0,MIN((S1013-Q1013)/Q1013/'Underwriting Risk'!$E$27,'Premium and Reserve Risk'!$Z$971),'Premium and Reserve Risk'!$Z$971))</f>
        <v>0.17</v>
      </c>
      <c r="AA1013" s="80"/>
      <c r="AB1013" s="80"/>
      <c r="AC1013" s="737">
        <f ca="1">MAX(0%,IF(U1013&lt;&gt;0,MIN((W1013-U1013)/U1013/'Underwriting Risk'!$E$27,'Premium and Reserve Risk'!$AC$971),'Premium and Reserve Risk'!$AC$971))</f>
        <v>0.2</v>
      </c>
      <c r="AD1013" s="81"/>
      <c r="AE1013" s="97"/>
      <c r="AF1013" s="97"/>
      <c r="AG1013" s="97"/>
      <c r="AH1013" s="97"/>
    </row>
    <row r="1014" spans="1:34" ht="13.5" customHeight="1" x14ac:dyDescent="0.25">
      <c r="A1014" s="97"/>
      <c r="B1014" s="257">
        <v>42</v>
      </c>
      <c r="C1014" s="652"/>
      <c r="D1014" s="80"/>
      <c r="E1014" s="80"/>
      <c r="F1014" s="258">
        <f t="shared" ca="1" si="32"/>
        <v>0</v>
      </c>
      <c r="G1014" s="624"/>
      <c r="H1014" s="85"/>
      <c r="I1014" s="624"/>
      <c r="J1014" s="85"/>
      <c r="K1014" s="624"/>
      <c r="L1014" s="85"/>
      <c r="M1014" s="624"/>
      <c r="N1014" s="85"/>
      <c r="O1014" s="624"/>
      <c r="P1014" s="85"/>
      <c r="Q1014" s="626">
        <f t="shared" si="31"/>
        <v>0</v>
      </c>
      <c r="R1014" s="85"/>
      <c r="S1014" s="624"/>
      <c r="T1014" s="260"/>
      <c r="U1014" s="624"/>
      <c r="V1014" s="85"/>
      <c r="W1014" s="624"/>
      <c r="X1014" s="81"/>
      <c r="Y1014" s="80"/>
      <c r="Z1014" s="737">
        <f ca="1">MAX(0%,IF(Q1014&lt;&gt;0,MIN((S1014-Q1014)/Q1014/'Underwriting Risk'!$E$27,'Premium and Reserve Risk'!$Z$971),'Premium and Reserve Risk'!$Z$971))</f>
        <v>0.17</v>
      </c>
      <c r="AA1014" s="80"/>
      <c r="AB1014" s="80"/>
      <c r="AC1014" s="737">
        <f ca="1">MAX(0%,IF(U1014&lt;&gt;0,MIN((W1014-U1014)/U1014/'Underwriting Risk'!$E$27,'Premium and Reserve Risk'!$AC$971),'Premium and Reserve Risk'!$AC$971))</f>
        <v>0.2</v>
      </c>
      <c r="AD1014" s="81"/>
      <c r="AE1014" s="97"/>
      <c r="AF1014" s="97"/>
      <c r="AG1014" s="97"/>
      <c r="AH1014" s="97"/>
    </row>
    <row r="1015" spans="1:34" ht="13.5" customHeight="1" x14ac:dyDescent="0.25">
      <c r="A1015" s="97"/>
      <c r="B1015" s="257">
        <v>43</v>
      </c>
      <c r="C1015" s="652"/>
      <c r="D1015" s="80"/>
      <c r="E1015" s="80"/>
      <c r="F1015" s="258">
        <f t="shared" ca="1" si="32"/>
        <v>0</v>
      </c>
      <c r="G1015" s="624"/>
      <c r="H1015" s="85"/>
      <c r="I1015" s="624"/>
      <c r="J1015" s="85"/>
      <c r="K1015" s="624"/>
      <c r="L1015" s="85"/>
      <c r="M1015" s="624"/>
      <c r="N1015" s="85"/>
      <c r="O1015" s="624"/>
      <c r="P1015" s="85"/>
      <c r="Q1015" s="626">
        <f t="shared" si="31"/>
        <v>0</v>
      </c>
      <c r="R1015" s="85"/>
      <c r="S1015" s="624"/>
      <c r="T1015" s="260"/>
      <c r="U1015" s="624"/>
      <c r="V1015" s="85"/>
      <c r="W1015" s="624"/>
      <c r="X1015" s="81"/>
      <c r="Y1015" s="80"/>
      <c r="Z1015" s="737">
        <f ca="1">MAX(0%,IF(Q1015&lt;&gt;0,MIN((S1015-Q1015)/Q1015/'Underwriting Risk'!$E$27,'Premium and Reserve Risk'!$Z$971),'Premium and Reserve Risk'!$Z$971))</f>
        <v>0.17</v>
      </c>
      <c r="AA1015" s="80"/>
      <c r="AB1015" s="80"/>
      <c r="AC1015" s="737">
        <f ca="1">MAX(0%,IF(U1015&lt;&gt;0,MIN((W1015-U1015)/U1015/'Underwriting Risk'!$E$27,'Premium and Reserve Risk'!$AC$971),'Premium and Reserve Risk'!$AC$971))</f>
        <v>0.2</v>
      </c>
      <c r="AD1015" s="81"/>
      <c r="AE1015" s="97"/>
      <c r="AF1015" s="97"/>
      <c r="AG1015" s="97"/>
      <c r="AH1015" s="97"/>
    </row>
    <row r="1016" spans="1:34" ht="13.5" customHeight="1" x14ac:dyDescent="0.25">
      <c r="A1016" s="97"/>
      <c r="B1016" s="257">
        <v>44</v>
      </c>
      <c r="C1016" s="652"/>
      <c r="D1016" s="80"/>
      <c r="E1016" s="80"/>
      <c r="F1016" s="258">
        <f t="shared" ca="1" si="32"/>
        <v>0</v>
      </c>
      <c r="G1016" s="624"/>
      <c r="H1016" s="85"/>
      <c r="I1016" s="624"/>
      <c r="J1016" s="85"/>
      <c r="K1016" s="624"/>
      <c r="L1016" s="85"/>
      <c r="M1016" s="624"/>
      <c r="N1016" s="85"/>
      <c r="O1016" s="624"/>
      <c r="P1016" s="85"/>
      <c r="Q1016" s="626">
        <f t="shared" si="31"/>
        <v>0</v>
      </c>
      <c r="R1016" s="85"/>
      <c r="S1016" s="624"/>
      <c r="T1016" s="260"/>
      <c r="U1016" s="624"/>
      <c r="V1016" s="85"/>
      <c r="W1016" s="624"/>
      <c r="X1016" s="81"/>
      <c r="Y1016" s="80"/>
      <c r="Z1016" s="737">
        <f ca="1">MAX(0%,IF(Q1016&lt;&gt;0,MIN((S1016-Q1016)/Q1016/'Underwriting Risk'!$E$27,'Premium and Reserve Risk'!$Z$971),'Premium and Reserve Risk'!$Z$971))</f>
        <v>0.17</v>
      </c>
      <c r="AA1016" s="80"/>
      <c r="AB1016" s="80"/>
      <c r="AC1016" s="737">
        <f ca="1">MAX(0%,IF(U1016&lt;&gt;0,MIN((W1016-U1016)/U1016/'Underwriting Risk'!$E$27,'Premium and Reserve Risk'!$AC$971),'Premium and Reserve Risk'!$AC$971))</f>
        <v>0.2</v>
      </c>
      <c r="AD1016" s="81"/>
      <c r="AE1016" s="97"/>
      <c r="AF1016" s="97"/>
      <c r="AG1016" s="97"/>
      <c r="AH1016" s="97"/>
    </row>
    <row r="1017" spans="1:34" ht="13.5" customHeight="1" x14ac:dyDescent="0.25">
      <c r="A1017" s="97"/>
      <c r="B1017" s="257">
        <v>45</v>
      </c>
      <c r="C1017" s="652"/>
      <c r="D1017" s="80"/>
      <c r="E1017" s="80"/>
      <c r="F1017" s="258">
        <f t="shared" ca="1" si="32"/>
        <v>0</v>
      </c>
      <c r="G1017" s="624"/>
      <c r="H1017" s="85"/>
      <c r="I1017" s="624"/>
      <c r="J1017" s="85"/>
      <c r="K1017" s="624"/>
      <c r="L1017" s="85"/>
      <c r="M1017" s="624"/>
      <c r="N1017" s="85"/>
      <c r="O1017" s="624"/>
      <c r="P1017" s="85"/>
      <c r="Q1017" s="626">
        <f t="shared" si="31"/>
        <v>0</v>
      </c>
      <c r="R1017" s="85"/>
      <c r="S1017" s="624"/>
      <c r="T1017" s="260"/>
      <c r="U1017" s="624"/>
      <c r="V1017" s="85"/>
      <c r="W1017" s="624"/>
      <c r="X1017" s="81"/>
      <c r="Y1017" s="80"/>
      <c r="Z1017" s="737">
        <f ca="1">MAX(0%,IF(Q1017&lt;&gt;0,MIN((S1017-Q1017)/Q1017/'Underwriting Risk'!$E$27,'Premium and Reserve Risk'!$Z$971),'Premium and Reserve Risk'!$Z$971))</f>
        <v>0.17</v>
      </c>
      <c r="AA1017" s="80"/>
      <c r="AB1017" s="80"/>
      <c r="AC1017" s="737">
        <f ca="1">MAX(0%,IF(U1017&lt;&gt;0,MIN((W1017-U1017)/U1017/'Underwriting Risk'!$E$27,'Premium and Reserve Risk'!$AC$971),'Premium and Reserve Risk'!$AC$971))</f>
        <v>0.2</v>
      </c>
      <c r="AD1017" s="81"/>
      <c r="AE1017" s="97"/>
      <c r="AF1017" s="97"/>
      <c r="AG1017" s="97"/>
      <c r="AH1017" s="97"/>
    </row>
    <row r="1018" spans="1:34" ht="13.5" customHeight="1" x14ac:dyDescent="0.25">
      <c r="A1018" s="97"/>
      <c r="B1018" s="257">
        <v>46</v>
      </c>
      <c r="C1018" s="652"/>
      <c r="D1018" s="80"/>
      <c r="E1018" s="80"/>
      <c r="F1018" s="258">
        <f t="shared" ca="1" si="32"/>
        <v>0</v>
      </c>
      <c r="G1018" s="624"/>
      <c r="H1018" s="85"/>
      <c r="I1018" s="624"/>
      <c r="J1018" s="85"/>
      <c r="K1018" s="624"/>
      <c r="L1018" s="85"/>
      <c r="M1018" s="624"/>
      <c r="N1018" s="85"/>
      <c r="O1018" s="624"/>
      <c r="P1018" s="85"/>
      <c r="Q1018" s="626">
        <f t="shared" si="31"/>
        <v>0</v>
      </c>
      <c r="R1018" s="85"/>
      <c r="S1018" s="624"/>
      <c r="T1018" s="260"/>
      <c r="U1018" s="624"/>
      <c r="V1018" s="85"/>
      <c r="W1018" s="624"/>
      <c r="X1018" s="81"/>
      <c r="Y1018" s="80"/>
      <c r="Z1018" s="737">
        <f ca="1">MAX(0%,IF(Q1018&lt;&gt;0,MIN((S1018-Q1018)/Q1018/'Underwriting Risk'!$E$27,'Premium and Reserve Risk'!$Z$971),'Premium and Reserve Risk'!$Z$971))</f>
        <v>0.17</v>
      </c>
      <c r="AA1018" s="80"/>
      <c r="AB1018" s="80"/>
      <c r="AC1018" s="737">
        <f ca="1">MAX(0%,IF(U1018&lt;&gt;0,MIN((W1018-U1018)/U1018/'Underwriting Risk'!$E$27,'Premium and Reserve Risk'!$AC$971),'Premium and Reserve Risk'!$AC$971))</f>
        <v>0.2</v>
      </c>
      <c r="AD1018" s="81"/>
      <c r="AE1018" s="97"/>
      <c r="AF1018" s="97"/>
      <c r="AG1018" s="97"/>
      <c r="AH1018" s="97"/>
    </row>
    <row r="1019" spans="1:34" ht="13.5" customHeight="1" x14ac:dyDescent="0.25">
      <c r="A1019" s="97"/>
      <c r="B1019" s="257">
        <v>47</v>
      </c>
      <c r="C1019" s="652"/>
      <c r="D1019" s="80"/>
      <c r="E1019" s="80"/>
      <c r="F1019" s="258">
        <f t="shared" ca="1" si="32"/>
        <v>0</v>
      </c>
      <c r="G1019" s="624"/>
      <c r="H1019" s="85"/>
      <c r="I1019" s="624"/>
      <c r="J1019" s="85"/>
      <c r="K1019" s="624"/>
      <c r="L1019" s="85"/>
      <c r="M1019" s="624"/>
      <c r="N1019" s="85"/>
      <c r="O1019" s="624"/>
      <c r="P1019" s="85"/>
      <c r="Q1019" s="626">
        <f t="shared" si="31"/>
        <v>0</v>
      </c>
      <c r="R1019" s="85"/>
      <c r="S1019" s="624"/>
      <c r="T1019" s="260"/>
      <c r="U1019" s="624"/>
      <c r="V1019" s="85"/>
      <c r="W1019" s="624"/>
      <c r="X1019" s="81"/>
      <c r="Y1019" s="80"/>
      <c r="Z1019" s="737">
        <f ca="1">MAX(0%,IF(Q1019&lt;&gt;0,MIN((S1019-Q1019)/Q1019/'Underwriting Risk'!$E$27,'Premium and Reserve Risk'!$Z$971),'Premium and Reserve Risk'!$Z$971))</f>
        <v>0.17</v>
      </c>
      <c r="AA1019" s="80"/>
      <c r="AB1019" s="80"/>
      <c r="AC1019" s="737">
        <f ca="1">MAX(0%,IF(U1019&lt;&gt;0,MIN((W1019-U1019)/U1019/'Underwriting Risk'!$E$27,'Premium and Reserve Risk'!$AC$971),'Premium and Reserve Risk'!$AC$971))</f>
        <v>0.2</v>
      </c>
      <c r="AD1019" s="81"/>
      <c r="AE1019" s="97"/>
      <c r="AF1019" s="97"/>
      <c r="AG1019" s="97"/>
      <c r="AH1019" s="97"/>
    </row>
    <row r="1020" spans="1:34" ht="13.5" customHeight="1" x14ac:dyDescent="0.25">
      <c r="A1020" s="97"/>
      <c r="B1020" s="257">
        <v>48</v>
      </c>
      <c r="C1020" s="652"/>
      <c r="D1020" s="80"/>
      <c r="E1020" s="80"/>
      <c r="F1020" s="258">
        <f t="shared" ca="1" si="32"/>
        <v>0</v>
      </c>
      <c r="G1020" s="624"/>
      <c r="H1020" s="85"/>
      <c r="I1020" s="624"/>
      <c r="J1020" s="85"/>
      <c r="K1020" s="624"/>
      <c r="L1020" s="85"/>
      <c r="M1020" s="624"/>
      <c r="N1020" s="85"/>
      <c r="O1020" s="624"/>
      <c r="P1020" s="85"/>
      <c r="Q1020" s="626">
        <f t="shared" si="31"/>
        <v>0</v>
      </c>
      <c r="R1020" s="85"/>
      <c r="S1020" s="624"/>
      <c r="T1020" s="260"/>
      <c r="U1020" s="624"/>
      <c r="V1020" s="85"/>
      <c r="W1020" s="624"/>
      <c r="X1020" s="81"/>
      <c r="Y1020" s="80"/>
      <c r="Z1020" s="737">
        <f ca="1">MAX(0%,IF(Q1020&lt;&gt;0,MIN((S1020-Q1020)/Q1020/'Underwriting Risk'!$E$27,'Premium and Reserve Risk'!$Z$971),'Premium and Reserve Risk'!$Z$971))</f>
        <v>0.17</v>
      </c>
      <c r="AA1020" s="80"/>
      <c r="AB1020" s="80"/>
      <c r="AC1020" s="737">
        <f ca="1">MAX(0%,IF(U1020&lt;&gt;0,MIN((W1020-U1020)/U1020/'Underwriting Risk'!$E$27,'Premium and Reserve Risk'!$AC$971),'Premium and Reserve Risk'!$AC$971))</f>
        <v>0.2</v>
      </c>
      <c r="AD1020" s="81"/>
      <c r="AE1020" s="97"/>
      <c r="AF1020" s="97"/>
      <c r="AG1020" s="97"/>
      <c r="AH1020" s="97"/>
    </row>
    <row r="1021" spans="1:34" ht="13.5" customHeight="1" x14ac:dyDescent="0.25">
      <c r="A1021" s="97"/>
      <c r="B1021" s="257">
        <v>49</v>
      </c>
      <c r="C1021" s="652"/>
      <c r="D1021" s="80"/>
      <c r="E1021" s="80"/>
      <c r="F1021" s="258">
        <f t="shared" ca="1" si="32"/>
        <v>0</v>
      </c>
      <c r="G1021" s="624"/>
      <c r="H1021" s="85"/>
      <c r="I1021" s="624"/>
      <c r="J1021" s="85"/>
      <c r="K1021" s="624"/>
      <c r="L1021" s="85"/>
      <c r="M1021" s="624"/>
      <c r="N1021" s="85"/>
      <c r="O1021" s="624"/>
      <c r="P1021" s="85"/>
      <c r="Q1021" s="626">
        <f t="shared" si="31"/>
        <v>0</v>
      </c>
      <c r="R1021" s="85"/>
      <c r="S1021" s="624"/>
      <c r="T1021" s="260"/>
      <c r="U1021" s="624"/>
      <c r="V1021" s="85"/>
      <c r="W1021" s="624"/>
      <c r="X1021" s="81"/>
      <c r="Y1021" s="80"/>
      <c r="Z1021" s="737">
        <f ca="1">MAX(0%,IF(Q1021&lt;&gt;0,MIN((S1021-Q1021)/Q1021/'Underwriting Risk'!$E$27,'Premium and Reserve Risk'!$Z$971),'Premium and Reserve Risk'!$Z$971))</f>
        <v>0.17</v>
      </c>
      <c r="AA1021" s="80"/>
      <c r="AB1021" s="80"/>
      <c r="AC1021" s="737">
        <f ca="1">MAX(0%,IF(U1021&lt;&gt;0,MIN((W1021-U1021)/U1021/'Underwriting Risk'!$E$27,'Premium and Reserve Risk'!$AC$971),'Premium and Reserve Risk'!$AC$971))</f>
        <v>0.2</v>
      </c>
      <c r="AD1021" s="81"/>
      <c r="AE1021" s="97"/>
      <c r="AF1021" s="97"/>
      <c r="AG1021" s="97"/>
      <c r="AH1021" s="97"/>
    </row>
    <row r="1022" spans="1:34" ht="13.5" customHeight="1" x14ac:dyDescent="0.25">
      <c r="A1022" s="97"/>
      <c r="B1022" s="257">
        <v>50</v>
      </c>
      <c r="C1022" s="652"/>
      <c r="D1022" s="80"/>
      <c r="E1022" s="80"/>
      <c r="F1022" s="258">
        <f t="shared" ca="1" si="32"/>
        <v>0</v>
      </c>
      <c r="G1022" s="624"/>
      <c r="H1022" s="85"/>
      <c r="I1022" s="624"/>
      <c r="J1022" s="85"/>
      <c r="K1022" s="624"/>
      <c r="L1022" s="85"/>
      <c r="M1022" s="624"/>
      <c r="N1022" s="85"/>
      <c r="O1022" s="624"/>
      <c r="P1022" s="85"/>
      <c r="Q1022" s="626">
        <f t="shared" si="31"/>
        <v>0</v>
      </c>
      <c r="R1022" s="85"/>
      <c r="S1022" s="624"/>
      <c r="T1022" s="260"/>
      <c r="U1022" s="624"/>
      <c r="V1022" s="85"/>
      <c r="W1022" s="624"/>
      <c r="X1022" s="81"/>
      <c r="Y1022" s="80"/>
      <c r="Z1022" s="737">
        <f ca="1">MAX(0%,IF(Q1022&lt;&gt;0,MIN((S1022-Q1022)/Q1022/'Underwriting Risk'!$E$27,'Premium and Reserve Risk'!$Z$971),'Premium and Reserve Risk'!$Z$971))</f>
        <v>0.17</v>
      </c>
      <c r="AA1022" s="80"/>
      <c r="AB1022" s="80"/>
      <c r="AC1022" s="737">
        <f ca="1">MAX(0%,IF(U1022&lt;&gt;0,MIN((W1022-U1022)/U1022/'Underwriting Risk'!$E$27,'Premium and Reserve Risk'!$AC$971),'Premium and Reserve Risk'!$AC$971))</f>
        <v>0.2</v>
      </c>
      <c r="AD1022" s="81"/>
      <c r="AE1022" s="97"/>
      <c r="AF1022" s="97"/>
      <c r="AG1022" s="97"/>
      <c r="AH1022" s="97"/>
    </row>
    <row r="1023" spans="1:34" ht="13.5" customHeight="1" x14ac:dyDescent="0.25">
      <c r="A1023" s="97"/>
      <c r="B1023" s="257">
        <v>51</v>
      </c>
      <c r="C1023" s="652"/>
      <c r="D1023" s="80"/>
      <c r="E1023" s="80"/>
      <c r="F1023" s="258">
        <f t="shared" ca="1" si="32"/>
        <v>0</v>
      </c>
      <c r="G1023" s="624"/>
      <c r="H1023" s="85"/>
      <c r="I1023" s="624"/>
      <c r="J1023" s="85"/>
      <c r="K1023" s="624"/>
      <c r="L1023" s="85"/>
      <c r="M1023" s="624"/>
      <c r="N1023" s="85"/>
      <c r="O1023" s="624"/>
      <c r="P1023" s="85"/>
      <c r="Q1023" s="626">
        <f t="shared" si="31"/>
        <v>0</v>
      </c>
      <c r="R1023" s="85"/>
      <c r="S1023" s="624"/>
      <c r="T1023" s="260"/>
      <c r="U1023" s="624"/>
      <c r="V1023" s="85"/>
      <c r="W1023" s="624"/>
      <c r="X1023" s="81"/>
      <c r="Y1023" s="80"/>
      <c r="Z1023" s="737">
        <f ca="1">MAX(0%,IF(Q1023&lt;&gt;0,MIN((S1023-Q1023)/Q1023/'Underwriting Risk'!$E$27,'Premium and Reserve Risk'!$Z$971),'Premium and Reserve Risk'!$Z$971))</f>
        <v>0.17</v>
      </c>
      <c r="AA1023" s="80"/>
      <c r="AB1023" s="80"/>
      <c r="AC1023" s="737">
        <f ca="1">MAX(0%,IF(U1023&lt;&gt;0,MIN((W1023-U1023)/U1023/'Underwriting Risk'!$E$27,'Premium and Reserve Risk'!$AC$971),'Premium and Reserve Risk'!$AC$971))</f>
        <v>0.2</v>
      </c>
      <c r="AD1023" s="81"/>
      <c r="AE1023" s="97"/>
      <c r="AF1023" s="97"/>
      <c r="AG1023" s="97"/>
      <c r="AH1023" s="97"/>
    </row>
    <row r="1024" spans="1:34" ht="13.5" customHeight="1" x14ac:dyDescent="0.25">
      <c r="A1024" s="97"/>
      <c r="B1024" s="257">
        <v>52</v>
      </c>
      <c r="C1024" s="652"/>
      <c r="D1024" s="80"/>
      <c r="E1024" s="80"/>
      <c r="F1024" s="258">
        <f t="shared" ca="1" si="32"/>
        <v>0</v>
      </c>
      <c r="G1024" s="624"/>
      <c r="H1024" s="85"/>
      <c r="I1024" s="624"/>
      <c r="J1024" s="85"/>
      <c r="K1024" s="624"/>
      <c r="L1024" s="85"/>
      <c r="M1024" s="624"/>
      <c r="N1024" s="85"/>
      <c r="O1024" s="624"/>
      <c r="P1024" s="85"/>
      <c r="Q1024" s="626">
        <f t="shared" si="31"/>
        <v>0</v>
      </c>
      <c r="R1024" s="85"/>
      <c r="S1024" s="624"/>
      <c r="T1024" s="260"/>
      <c r="U1024" s="624"/>
      <c r="V1024" s="85"/>
      <c r="W1024" s="624"/>
      <c r="X1024" s="81"/>
      <c r="Y1024" s="80"/>
      <c r="Z1024" s="737">
        <f ca="1">MAX(0%,IF(Q1024&lt;&gt;0,MIN((S1024-Q1024)/Q1024/'Underwriting Risk'!$E$27,'Premium and Reserve Risk'!$Z$971),'Premium and Reserve Risk'!$Z$971))</f>
        <v>0.17</v>
      </c>
      <c r="AA1024" s="80"/>
      <c r="AB1024" s="80"/>
      <c r="AC1024" s="737">
        <f ca="1">MAX(0%,IF(U1024&lt;&gt;0,MIN((W1024-U1024)/U1024/'Underwriting Risk'!$E$27,'Premium and Reserve Risk'!$AC$971),'Premium and Reserve Risk'!$AC$971))</f>
        <v>0.2</v>
      </c>
      <c r="AD1024" s="81"/>
      <c r="AE1024" s="97"/>
      <c r="AF1024" s="97"/>
      <c r="AG1024" s="97"/>
      <c r="AH1024" s="97"/>
    </row>
    <row r="1025" spans="1:34" ht="13.5" customHeight="1" x14ac:dyDescent="0.25">
      <c r="A1025" s="97"/>
      <c r="B1025" s="257">
        <v>53</v>
      </c>
      <c r="C1025" s="652"/>
      <c r="D1025" s="80"/>
      <c r="E1025" s="80"/>
      <c r="F1025" s="258">
        <f t="shared" ca="1" si="32"/>
        <v>0</v>
      </c>
      <c r="G1025" s="624"/>
      <c r="H1025" s="85"/>
      <c r="I1025" s="624"/>
      <c r="J1025" s="85"/>
      <c r="K1025" s="624"/>
      <c r="L1025" s="85"/>
      <c r="M1025" s="624"/>
      <c r="N1025" s="85"/>
      <c r="O1025" s="624"/>
      <c r="P1025" s="85"/>
      <c r="Q1025" s="626">
        <f t="shared" si="31"/>
        <v>0</v>
      </c>
      <c r="R1025" s="85"/>
      <c r="S1025" s="624"/>
      <c r="T1025" s="260"/>
      <c r="U1025" s="624"/>
      <c r="V1025" s="85"/>
      <c r="W1025" s="624"/>
      <c r="X1025" s="81"/>
      <c r="Y1025" s="80"/>
      <c r="Z1025" s="737">
        <f ca="1">MAX(0%,IF(Q1025&lt;&gt;0,MIN((S1025-Q1025)/Q1025/'Underwriting Risk'!$E$27,'Premium and Reserve Risk'!$Z$971),'Premium and Reserve Risk'!$Z$971))</f>
        <v>0.17</v>
      </c>
      <c r="AA1025" s="80"/>
      <c r="AB1025" s="80"/>
      <c r="AC1025" s="737">
        <f ca="1">MAX(0%,IF(U1025&lt;&gt;0,MIN((W1025-U1025)/U1025/'Underwriting Risk'!$E$27,'Premium and Reserve Risk'!$AC$971),'Premium and Reserve Risk'!$AC$971))</f>
        <v>0.2</v>
      </c>
      <c r="AD1025" s="81"/>
      <c r="AE1025" s="97"/>
      <c r="AF1025" s="97"/>
      <c r="AG1025" s="97"/>
      <c r="AH1025" s="97"/>
    </row>
    <row r="1026" spans="1:34" ht="13.5" customHeight="1" x14ac:dyDescent="0.25">
      <c r="A1026" s="97"/>
      <c r="B1026" s="257">
        <v>54</v>
      </c>
      <c r="C1026" s="652"/>
      <c r="D1026" s="80"/>
      <c r="E1026" s="80"/>
      <c r="F1026" s="258">
        <f t="shared" ca="1" si="32"/>
        <v>0</v>
      </c>
      <c r="G1026" s="624"/>
      <c r="H1026" s="85"/>
      <c r="I1026" s="624"/>
      <c r="J1026" s="85"/>
      <c r="K1026" s="624"/>
      <c r="L1026" s="85"/>
      <c r="M1026" s="624"/>
      <c r="N1026" s="85"/>
      <c r="O1026" s="624"/>
      <c r="P1026" s="85"/>
      <c r="Q1026" s="626">
        <f t="shared" si="31"/>
        <v>0</v>
      </c>
      <c r="R1026" s="85"/>
      <c r="S1026" s="624"/>
      <c r="T1026" s="260"/>
      <c r="U1026" s="624"/>
      <c r="V1026" s="85"/>
      <c r="W1026" s="624"/>
      <c r="X1026" s="81"/>
      <c r="Y1026" s="80"/>
      <c r="Z1026" s="737">
        <f ca="1">MAX(0%,IF(Q1026&lt;&gt;0,MIN((S1026-Q1026)/Q1026/'Underwriting Risk'!$E$27,'Premium and Reserve Risk'!$Z$971),'Premium and Reserve Risk'!$Z$971))</f>
        <v>0.17</v>
      </c>
      <c r="AA1026" s="80"/>
      <c r="AB1026" s="80"/>
      <c r="AC1026" s="737">
        <f ca="1">MAX(0%,IF(U1026&lt;&gt;0,MIN((W1026-U1026)/U1026/'Underwriting Risk'!$E$27,'Premium and Reserve Risk'!$AC$971),'Premium and Reserve Risk'!$AC$971))</f>
        <v>0.2</v>
      </c>
      <c r="AD1026" s="81"/>
      <c r="AE1026" s="97"/>
      <c r="AF1026" s="97"/>
      <c r="AG1026" s="97"/>
      <c r="AH1026" s="97"/>
    </row>
    <row r="1027" spans="1:34" ht="13.5" customHeight="1" x14ac:dyDescent="0.25">
      <c r="A1027" s="97"/>
      <c r="B1027" s="257">
        <v>55</v>
      </c>
      <c r="C1027" s="652"/>
      <c r="D1027" s="80"/>
      <c r="E1027" s="80"/>
      <c r="F1027" s="258">
        <f t="shared" ca="1" si="32"/>
        <v>0</v>
      </c>
      <c r="G1027" s="624"/>
      <c r="H1027" s="85"/>
      <c r="I1027" s="624"/>
      <c r="J1027" s="85"/>
      <c r="K1027" s="624"/>
      <c r="L1027" s="85"/>
      <c r="M1027" s="624"/>
      <c r="N1027" s="85"/>
      <c r="O1027" s="624"/>
      <c r="P1027" s="85"/>
      <c r="Q1027" s="626">
        <f t="shared" si="31"/>
        <v>0</v>
      </c>
      <c r="R1027" s="85"/>
      <c r="S1027" s="624"/>
      <c r="T1027" s="260"/>
      <c r="U1027" s="624"/>
      <c r="V1027" s="85"/>
      <c r="W1027" s="624"/>
      <c r="X1027" s="81"/>
      <c r="Y1027" s="80"/>
      <c r="Z1027" s="737">
        <f ca="1">MAX(0%,IF(Q1027&lt;&gt;0,MIN((S1027-Q1027)/Q1027/'Underwriting Risk'!$E$27,'Premium and Reserve Risk'!$Z$971),'Premium and Reserve Risk'!$Z$971))</f>
        <v>0.17</v>
      </c>
      <c r="AA1027" s="80"/>
      <c r="AB1027" s="80"/>
      <c r="AC1027" s="737">
        <f ca="1">MAX(0%,IF(U1027&lt;&gt;0,MIN((W1027-U1027)/U1027/'Underwriting Risk'!$E$27,'Premium and Reserve Risk'!$AC$971),'Premium and Reserve Risk'!$AC$971))</f>
        <v>0.2</v>
      </c>
      <c r="AD1027" s="81"/>
      <c r="AE1027" s="97"/>
      <c r="AF1027" s="97"/>
      <c r="AG1027" s="97"/>
      <c r="AH1027" s="97"/>
    </row>
    <row r="1028" spans="1:34" ht="13.5" customHeight="1" x14ac:dyDescent="0.25">
      <c r="A1028" s="97"/>
      <c r="B1028" s="257">
        <v>56</v>
      </c>
      <c r="C1028" s="652"/>
      <c r="D1028" s="80"/>
      <c r="E1028" s="80"/>
      <c r="F1028" s="258">
        <f t="shared" ca="1" si="32"/>
        <v>0</v>
      </c>
      <c r="G1028" s="624"/>
      <c r="H1028" s="85"/>
      <c r="I1028" s="624"/>
      <c r="J1028" s="85"/>
      <c r="K1028" s="624"/>
      <c r="L1028" s="85"/>
      <c r="M1028" s="624"/>
      <c r="N1028" s="85"/>
      <c r="O1028" s="624"/>
      <c r="P1028" s="85"/>
      <c r="Q1028" s="626">
        <f t="shared" si="31"/>
        <v>0</v>
      </c>
      <c r="R1028" s="85"/>
      <c r="S1028" s="624"/>
      <c r="T1028" s="260"/>
      <c r="U1028" s="624"/>
      <c r="V1028" s="85"/>
      <c r="W1028" s="624"/>
      <c r="X1028" s="81"/>
      <c r="Y1028" s="80"/>
      <c r="Z1028" s="737">
        <f ca="1">MAX(0%,IF(Q1028&lt;&gt;0,MIN((S1028-Q1028)/Q1028/'Underwriting Risk'!$E$27,'Premium and Reserve Risk'!$Z$971),'Premium and Reserve Risk'!$Z$971))</f>
        <v>0.17</v>
      </c>
      <c r="AA1028" s="80"/>
      <c r="AB1028" s="80"/>
      <c r="AC1028" s="737">
        <f ca="1">MAX(0%,IF(U1028&lt;&gt;0,MIN((W1028-U1028)/U1028/'Underwriting Risk'!$E$27,'Premium and Reserve Risk'!$AC$971),'Premium and Reserve Risk'!$AC$971))</f>
        <v>0.2</v>
      </c>
      <c r="AD1028" s="81"/>
      <c r="AE1028" s="97"/>
      <c r="AF1028" s="97"/>
      <c r="AG1028" s="97"/>
      <c r="AH1028" s="97"/>
    </row>
    <row r="1029" spans="1:34" ht="13.5" customHeight="1" x14ac:dyDescent="0.25">
      <c r="A1029" s="97"/>
      <c r="B1029" s="257">
        <v>57</v>
      </c>
      <c r="C1029" s="652"/>
      <c r="D1029" s="80"/>
      <c r="E1029" s="80"/>
      <c r="F1029" s="258">
        <f t="shared" ca="1" si="32"/>
        <v>0</v>
      </c>
      <c r="G1029" s="624"/>
      <c r="H1029" s="85"/>
      <c r="I1029" s="624"/>
      <c r="J1029" s="85"/>
      <c r="K1029" s="624"/>
      <c r="L1029" s="85"/>
      <c r="M1029" s="624"/>
      <c r="N1029" s="85"/>
      <c r="O1029" s="624"/>
      <c r="P1029" s="85"/>
      <c r="Q1029" s="626">
        <f t="shared" si="31"/>
        <v>0</v>
      </c>
      <c r="R1029" s="85"/>
      <c r="S1029" s="624"/>
      <c r="T1029" s="260"/>
      <c r="U1029" s="624"/>
      <c r="V1029" s="85"/>
      <c r="W1029" s="624"/>
      <c r="X1029" s="81"/>
      <c r="Y1029" s="80"/>
      <c r="Z1029" s="737">
        <f ca="1">MAX(0%,IF(Q1029&lt;&gt;0,MIN((S1029-Q1029)/Q1029/'Underwriting Risk'!$E$27,'Premium and Reserve Risk'!$Z$971),'Premium and Reserve Risk'!$Z$971))</f>
        <v>0.17</v>
      </c>
      <c r="AA1029" s="80"/>
      <c r="AB1029" s="80"/>
      <c r="AC1029" s="737">
        <f ca="1">MAX(0%,IF(U1029&lt;&gt;0,MIN((W1029-U1029)/U1029/'Underwriting Risk'!$E$27,'Premium and Reserve Risk'!$AC$971),'Premium and Reserve Risk'!$AC$971))</f>
        <v>0.2</v>
      </c>
      <c r="AD1029" s="81"/>
      <c r="AE1029" s="97"/>
      <c r="AF1029" s="97"/>
      <c r="AG1029" s="97"/>
      <c r="AH1029" s="97"/>
    </row>
    <row r="1030" spans="1:34" ht="13.5" customHeight="1" x14ac:dyDescent="0.25">
      <c r="A1030" s="97"/>
      <c r="B1030" s="257">
        <v>58</v>
      </c>
      <c r="C1030" s="652"/>
      <c r="D1030" s="80"/>
      <c r="E1030" s="80"/>
      <c r="F1030" s="258">
        <f t="shared" ca="1" si="32"/>
        <v>0</v>
      </c>
      <c r="G1030" s="624"/>
      <c r="H1030" s="85"/>
      <c r="I1030" s="624"/>
      <c r="J1030" s="85"/>
      <c r="K1030" s="624"/>
      <c r="L1030" s="85"/>
      <c r="M1030" s="624"/>
      <c r="N1030" s="85"/>
      <c r="O1030" s="624"/>
      <c r="P1030" s="85"/>
      <c r="Q1030" s="626">
        <f t="shared" si="31"/>
        <v>0</v>
      </c>
      <c r="R1030" s="85"/>
      <c r="S1030" s="624"/>
      <c r="T1030" s="260"/>
      <c r="U1030" s="624"/>
      <c r="V1030" s="85"/>
      <c r="W1030" s="624"/>
      <c r="X1030" s="81"/>
      <c r="Y1030" s="80"/>
      <c r="Z1030" s="737">
        <f ca="1">MAX(0%,IF(Q1030&lt;&gt;0,MIN((S1030-Q1030)/Q1030/'Underwriting Risk'!$E$27,'Premium and Reserve Risk'!$Z$971),'Premium and Reserve Risk'!$Z$971))</f>
        <v>0.17</v>
      </c>
      <c r="AA1030" s="80"/>
      <c r="AB1030" s="80"/>
      <c r="AC1030" s="737">
        <f ca="1">MAX(0%,IF(U1030&lt;&gt;0,MIN((W1030-U1030)/U1030/'Underwriting Risk'!$E$27,'Premium and Reserve Risk'!$AC$971),'Premium and Reserve Risk'!$AC$971))</f>
        <v>0.2</v>
      </c>
      <c r="AD1030" s="81"/>
      <c r="AE1030" s="97"/>
      <c r="AF1030" s="97"/>
      <c r="AG1030" s="97"/>
      <c r="AH1030" s="97"/>
    </row>
    <row r="1031" spans="1:34" ht="13.5" customHeight="1" x14ac:dyDescent="0.25">
      <c r="A1031" s="97"/>
      <c r="B1031" s="257">
        <v>59</v>
      </c>
      <c r="C1031" s="652"/>
      <c r="D1031" s="80"/>
      <c r="E1031" s="80"/>
      <c r="F1031" s="258">
        <f t="shared" ca="1" si="32"/>
        <v>0</v>
      </c>
      <c r="G1031" s="624"/>
      <c r="H1031" s="85"/>
      <c r="I1031" s="624"/>
      <c r="J1031" s="85"/>
      <c r="K1031" s="624"/>
      <c r="L1031" s="85"/>
      <c r="M1031" s="624"/>
      <c r="N1031" s="85"/>
      <c r="O1031" s="624"/>
      <c r="P1031" s="85"/>
      <c r="Q1031" s="626">
        <f t="shared" si="31"/>
        <v>0</v>
      </c>
      <c r="R1031" s="85"/>
      <c r="S1031" s="624"/>
      <c r="T1031" s="260"/>
      <c r="U1031" s="624"/>
      <c r="V1031" s="85"/>
      <c r="W1031" s="624"/>
      <c r="X1031" s="81"/>
      <c r="Y1031" s="80"/>
      <c r="Z1031" s="737">
        <f ca="1">MAX(0%,IF(Q1031&lt;&gt;0,MIN((S1031-Q1031)/Q1031/'Underwriting Risk'!$E$27,'Premium and Reserve Risk'!$Z$971),'Premium and Reserve Risk'!$Z$971))</f>
        <v>0.17</v>
      </c>
      <c r="AA1031" s="80"/>
      <c r="AB1031" s="80"/>
      <c r="AC1031" s="737">
        <f ca="1">MAX(0%,IF(U1031&lt;&gt;0,MIN((W1031-U1031)/U1031/'Underwriting Risk'!$E$27,'Premium and Reserve Risk'!$AC$971),'Premium and Reserve Risk'!$AC$971))</f>
        <v>0.2</v>
      </c>
      <c r="AD1031" s="81"/>
      <c r="AE1031" s="97"/>
      <c r="AF1031" s="97"/>
      <c r="AG1031" s="97"/>
      <c r="AH1031" s="97"/>
    </row>
    <row r="1032" spans="1:34" ht="13.5" customHeight="1" x14ac:dyDescent="0.25">
      <c r="A1032" s="97"/>
      <c r="B1032" s="257">
        <v>60</v>
      </c>
      <c r="C1032" s="652"/>
      <c r="D1032" s="80"/>
      <c r="E1032" s="80"/>
      <c r="F1032" s="258">
        <f t="shared" ca="1" si="32"/>
        <v>0</v>
      </c>
      <c r="G1032" s="624"/>
      <c r="H1032" s="85"/>
      <c r="I1032" s="624"/>
      <c r="J1032" s="85"/>
      <c r="K1032" s="624"/>
      <c r="L1032" s="85"/>
      <c r="M1032" s="624"/>
      <c r="N1032" s="85"/>
      <c r="O1032" s="624"/>
      <c r="P1032" s="85"/>
      <c r="Q1032" s="626">
        <f t="shared" si="31"/>
        <v>0</v>
      </c>
      <c r="R1032" s="85"/>
      <c r="S1032" s="624"/>
      <c r="T1032" s="260"/>
      <c r="U1032" s="624"/>
      <c r="V1032" s="85"/>
      <c r="W1032" s="624"/>
      <c r="X1032" s="81"/>
      <c r="Y1032" s="80"/>
      <c r="Z1032" s="737">
        <f ca="1">MAX(0%,IF(Q1032&lt;&gt;0,MIN((S1032-Q1032)/Q1032/'Underwriting Risk'!$E$27,'Premium and Reserve Risk'!$Z$971),'Premium and Reserve Risk'!$Z$971))</f>
        <v>0.17</v>
      </c>
      <c r="AA1032" s="80"/>
      <c r="AB1032" s="80"/>
      <c r="AC1032" s="737">
        <f ca="1">MAX(0%,IF(U1032&lt;&gt;0,MIN((W1032-U1032)/U1032/'Underwriting Risk'!$E$27,'Premium and Reserve Risk'!$AC$971),'Premium and Reserve Risk'!$AC$971))</f>
        <v>0.2</v>
      </c>
      <c r="AD1032" s="81"/>
      <c r="AE1032" s="97"/>
      <c r="AF1032" s="97"/>
      <c r="AG1032" s="97"/>
      <c r="AH1032" s="97"/>
    </row>
    <row r="1033" spans="1:34" ht="13.5" customHeight="1" x14ac:dyDescent="0.25">
      <c r="A1033" s="97"/>
      <c r="B1033" s="257">
        <v>61</v>
      </c>
      <c r="C1033" s="652"/>
      <c r="D1033" s="80"/>
      <c r="E1033" s="80"/>
      <c r="F1033" s="258">
        <f t="shared" ca="1" si="32"/>
        <v>0</v>
      </c>
      <c r="G1033" s="624"/>
      <c r="H1033" s="85"/>
      <c r="I1033" s="624"/>
      <c r="J1033" s="85"/>
      <c r="K1033" s="624"/>
      <c r="L1033" s="85"/>
      <c r="M1033" s="624"/>
      <c r="N1033" s="85"/>
      <c r="O1033" s="624"/>
      <c r="P1033" s="85"/>
      <c r="Q1033" s="626">
        <f t="shared" si="31"/>
        <v>0</v>
      </c>
      <c r="R1033" s="85"/>
      <c r="S1033" s="624"/>
      <c r="T1033" s="260"/>
      <c r="U1033" s="624"/>
      <c r="V1033" s="85"/>
      <c r="W1033" s="624"/>
      <c r="X1033" s="81"/>
      <c r="Y1033" s="80"/>
      <c r="Z1033" s="737">
        <f ca="1">MAX(0%,IF(Q1033&lt;&gt;0,MIN((S1033-Q1033)/Q1033/'Underwriting Risk'!$E$27,'Premium and Reserve Risk'!$Z$971),'Premium and Reserve Risk'!$Z$971))</f>
        <v>0.17</v>
      </c>
      <c r="AA1033" s="80"/>
      <c r="AB1033" s="80"/>
      <c r="AC1033" s="737">
        <f ca="1">MAX(0%,IF(U1033&lt;&gt;0,MIN((W1033-U1033)/U1033/'Underwriting Risk'!$E$27,'Premium and Reserve Risk'!$AC$971),'Premium and Reserve Risk'!$AC$971))</f>
        <v>0.2</v>
      </c>
      <c r="AD1033" s="81"/>
      <c r="AE1033" s="97"/>
      <c r="AF1033" s="97"/>
      <c r="AG1033" s="97"/>
      <c r="AH1033" s="97"/>
    </row>
    <row r="1034" spans="1:34" ht="13.5" customHeight="1" x14ac:dyDescent="0.25">
      <c r="A1034" s="97"/>
      <c r="B1034" s="257">
        <v>62</v>
      </c>
      <c r="C1034" s="652"/>
      <c r="D1034" s="80"/>
      <c r="E1034" s="80"/>
      <c r="F1034" s="258">
        <f t="shared" ca="1" si="32"/>
        <v>0</v>
      </c>
      <c r="G1034" s="624"/>
      <c r="H1034" s="85"/>
      <c r="I1034" s="624"/>
      <c r="J1034" s="85"/>
      <c r="K1034" s="624"/>
      <c r="L1034" s="85"/>
      <c r="M1034" s="624"/>
      <c r="N1034" s="85"/>
      <c r="O1034" s="624"/>
      <c r="P1034" s="85"/>
      <c r="Q1034" s="626">
        <f t="shared" si="31"/>
        <v>0</v>
      </c>
      <c r="R1034" s="85"/>
      <c r="S1034" s="624"/>
      <c r="T1034" s="260"/>
      <c r="U1034" s="624"/>
      <c r="V1034" s="85"/>
      <c r="W1034" s="624"/>
      <c r="X1034" s="81"/>
      <c r="Y1034" s="80"/>
      <c r="Z1034" s="737">
        <f ca="1">MAX(0%,IF(Q1034&lt;&gt;0,MIN((S1034-Q1034)/Q1034/'Underwriting Risk'!$E$27,'Premium and Reserve Risk'!$Z$971),'Premium and Reserve Risk'!$Z$971))</f>
        <v>0.17</v>
      </c>
      <c r="AA1034" s="80"/>
      <c r="AB1034" s="80"/>
      <c r="AC1034" s="737">
        <f ca="1">MAX(0%,IF(U1034&lt;&gt;0,MIN((W1034-U1034)/U1034/'Underwriting Risk'!$E$27,'Premium and Reserve Risk'!$AC$971),'Premium and Reserve Risk'!$AC$971))</f>
        <v>0.2</v>
      </c>
      <c r="AD1034" s="81"/>
      <c r="AE1034" s="97"/>
      <c r="AF1034" s="97"/>
      <c r="AG1034" s="97"/>
      <c r="AH1034" s="97"/>
    </row>
    <row r="1035" spans="1:34" ht="13.5" customHeight="1" x14ac:dyDescent="0.25">
      <c r="A1035" s="97"/>
      <c r="B1035" s="257">
        <v>63</v>
      </c>
      <c r="C1035" s="652"/>
      <c r="D1035" s="80"/>
      <c r="E1035" s="80"/>
      <c r="F1035" s="258">
        <f t="shared" ca="1" si="32"/>
        <v>0</v>
      </c>
      <c r="G1035" s="624"/>
      <c r="H1035" s="85"/>
      <c r="I1035" s="624"/>
      <c r="J1035" s="85"/>
      <c r="K1035" s="624"/>
      <c r="L1035" s="85"/>
      <c r="M1035" s="624"/>
      <c r="N1035" s="85"/>
      <c r="O1035" s="624"/>
      <c r="P1035" s="85"/>
      <c r="Q1035" s="626">
        <f t="shared" si="31"/>
        <v>0</v>
      </c>
      <c r="R1035" s="85"/>
      <c r="S1035" s="624"/>
      <c r="T1035" s="260"/>
      <c r="U1035" s="624"/>
      <c r="V1035" s="85"/>
      <c r="W1035" s="624"/>
      <c r="X1035" s="81"/>
      <c r="Y1035" s="80"/>
      <c r="Z1035" s="737">
        <f ca="1">MAX(0%,IF(Q1035&lt;&gt;0,MIN((S1035-Q1035)/Q1035/'Underwriting Risk'!$E$27,'Premium and Reserve Risk'!$Z$971),'Premium and Reserve Risk'!$Z$971))</f>
        <v>0.17</v>
      </c>
      <c r="AA1035" s="80"/>
      <c r="AB1035" s="80"/>
      <c r="AC1035" s="737">
        <f ca="1">MAX(0%,IF(U1035&lt;&gt;0,MIN((W1035-U1035)/U1035/'Underwriting Risk'!$E$27,'Premium and Reserve Risk'!$AC$971),'Premium and Reserve Risk'!$AC$971))</f>
        <v>0.2</v>
      </c>
      <c r="AD1035" s="81"/>
      <c r="AE1035" s="97"/>
      <c r="AF1035" s="97"/>
      <c r="AG1035" s="97"/>
      <c r="AH1035" s="97"/>
    </row>
    <row r="1036" spans="1:34" ht="13.5" customHeight="1" x14ac:dyDescent="0.25">
      <c r="A1036" s="97"/>
      <c r="B1036" s="257">
        <v>64</v>
      </c>
      <c r="C1036" s="652"/>
      <c r="D1036" s="80"/>
      <c r="E1036" s="80"/>
      <c r="F1036" s="258">
        <f t="shared" ca="1" si="32"/>
        <v>0</v>
      </c>
      <c r="G1036" s="624"/>
      <c r="H1036" s="85"/>
      <c r="I1036" s="624"/>
      <c r="J1036" s="85"/>
      <c r="K1036" s="624"/>
      <c r="L1036" s="85"/>
      <c r="M1036" s="624"/>
      <c r="N1036" s="85"/>
      <c r="O1036" s="624"/>
      <c r="P1036" s="85"/>
      <c r="Q1036" s="626">
        <f t="shared" si="31"/>
        <v>0</v>
      </c>
      <c r="R1036" s="85"/>
      <c r="S1036" s="624"/>
      <c r="T1036" s="260"/>
      <c r="U1036" s="624"/>
      <c r="V1036" s="85"/>
      <c r="W1036" s="624"/>
      <c r="X1036" s="81"/>
      <c r="Y1036" s="80"/>
      <c r="Z1036" s="737">
        <f ca="1">MAX(0%,IF(Q1036&lt;&gt;0,MIN((S1036-Q1036)/Q1036/'Underwriting Risk'!$E$27,'Premium and Reserve Risk'!$Z$971),'Premium and Reserve Risk'!$Z$971))</f>
        <v>0.17</v>
      </c>
      <c r="AA1036" s="80"/>
      <c r="AB1036" s="80"/>
      <c r="AC1036" s="737">
        <f ca="1">MAX(0%,IF(U1036&lt;&gt;0,MIN((W1036-U1036)/U1036/'Underwriting Risk'!$E$27,'Premium and Reserve Risk'!$AC$971),'Premium and Reserve Risk'!$AC$971))</f>
        <v>0.2</v>
      </c>
      <c r="AD1036" s="81"/>
      <c r="AE1036" s="97"/>
      <c r="AF1036" s="97"/>
      <c r="AG1036" s="97"/>
      <c r="AH1036" s="97"/>
    </row>
    <row r="1037" spans="1:34" ht="13.5" customHeight="1" x14ac:dyDescent="0.25">
      <c r="A1037" s="97"/>
      <c r="B1037" s="257">
        <v>65</v>
      </c>
      <c r="C1037" s="652"/>
      <c r="D1037" s="80"/>
      <c r="E1037" s="80"/>
      <c r="F1037" s="258">
        <f t="shared" ca="1" si="32"/>
        <v>0</v>
      </c>
      <c r="G1037" s="624"/>
      <c r="H1037" s="85"/>
      <c r="I1037" s="624"/>
      <c r="J1037" s="85"/>
      <c r="K1037" s="624"/>
      <c r="L1037" s="85"/>
      <c r="M1037" s="624"/>
      <c r="N1037" s="85"/>
      <c r="O1037" s="624"/>
      <c r="P1037" s="85"/>
      <c r="Q1037" s="626">
        <f t="shared" si="31"/>
        <v>0</v>
      </c>
      <c r="R1037" s="85"/>
      <c r="S1037" s="624"/>
      <c r="T1037" s="260"/>
      <c r="U1037" s="624"/>
      <c r="V1037" s="85"/>
      <c r="W1037" s="624"/>
      <c r="X1037" s="81"/>
      <c r="Y1037" s="80"/>
      <c r="Z1037" s="737">
        <f ca="1">MAX(0%,IF(Q1037&lt;&gt;0,MIN((S1037-Q1037)/Q1037/'Underwriting Risk'!$E$27,'Premium and Reserve Risk'!$Z$971),'Premium and Reserve Risk'!$Z$971))</f>
        <v>0.17</v>
      </c>
      <c r="AA1037" s="80"/>
      <c r="AB1037" s="80"/>
      <c r="AC1037" s="737">
        <f ca="1">MAX(0%,IF(U1037&lt;&gt;0,MIN((W1037-U1037)/U1037/'Underwriting Risk'!$E$27,'Premium and Reserve Risk'!$AC$971),'Premium and Reserve Risk'!$AC$971))</f>
        <v>0.2</v>
      </c>
      <c r="AD1037" s="81"/>
      <c r="AE1037" s="97"/>
      <c r="AF1037" s="97"/>
      <c r="AG1037" s="97"/>
      <c r="AH1037" s="97"/>
    </row>
    <row r="1038" spans="1:34" ht="13.5" customHeight="1" x14ac:dyDescent="0.25">
      <c r="A1038" s="97"/>
      <c r="B1038" s="257">
        <v>66</v>
      </c>
      <c r="C1038" s="652"/>
      <c r="D1038" s="80"/>
      <c r="E1038" s="80"/>
      <c r="F1038" s="258">
        <f t="shared" ref="F1038:F1072" ca="1" si="33">IF(B1038&lt;=OFFSET($Z$8,9,0),0,1)</f>
        <v>0</v>
      </c>
      <c r="G1038" s="624"/>
      <c r="H1038" s="85"/>
      <c r="I1038" s="624"/>
      <c r="J1038" s="85"/>
      <c r="K1038" s="624"/>
      <c r="L1038" s="85"/>
      <c r="M1038" s="624"/>
      <c r="N1038" s="85"/>
      <c r="O1038" s="624"/>
      <c r="P1038" s="85"/>
      <c r="Q1038" s="626">
        <f t="shared" si="31"/>
        <v>0</v>
      </c>
      <c r="R1038" s="85"/>
      <c r="S1038" s="624"/>
      <c r="T1038" s="260"/>
      <c r="U1038" s="624"/>
      <c r="V1038" s="85"/>
      <c r="W1038" s="624"/>
      <c r="X1038" s="81"/>
      <c r="Y1038" s="80"/>
      <c r="Z1038" s="737">
        <f ca="1">MAX(0%,IF(Q1038&lt;&gt;0,MIN((S1038-Q1038)/Q1038/'Underwriting Risk'!$E$27,'Premium and Reserve Risk'!$Z$971),'Premium and Reserve Risk'!$Z$971))</f>
        <v>0.17</v>
      </c>
      <c r="AA1038" s="80"/>
      <c r="AB1038" s="80"/>
      <c r="AC1038" s="737">
        <f ca="1">MAX(0%,IF(U1038&lt;&gt;0,MIN((W1038-U1038)/U1038/'Underwriting Risk'!$E$27,'Premium and Reserve Risk'!$AC$971),'Premium and Reserve Risk'!$AC$971))</f>
        <v>0.2</v>
      </c>
      <c r="AD1038" s="81"/>
      <c r="AE1038" s="97"/>
      <c r="AF1038" s="97"/>
      <c r="AG1038" s="97"/>
      <c r="AH1038" s="97"/>
    </row>
    <row r="1039" spans="1:34" ht="13.5" customHeight="1" x14ac:dyDescent="0.25">
      <c r="A1039" s="97"/>
      <c r="B1039" s="257">
        <v>67</v>
      </c>
      <c r="C1039" s="652"/>
      <c r="D1039" s="80"/>
      <c r="E1039" s="80"/>
      <c r="F1039" s="258">
        <f t="shared" ca="1" si="33"/>
        <v>0</v>
      </c>
      <c r="G1039" s="624"/>
      <c r="H1039" s="85"/>
      <c r="I1039" s="624"/>
      <c r="J1039" s="85"/>
      <c r="K1039" s="624"/>
      <c r="L1039" s="85"/>
      <c r="M1039" s="624"/>
      <c r="N1039" s="85"/>
      <c r="O1039" s="624"/>
      <c r="P1039" s="85"/>
      <c r="Q1039" s="626">
        <f t="shared" si="31"/>
        <v>0</v>
      </c>
      <c r="R1039" s="85"/>
      <c r="S1039" s="624"/>
      <c r="T1039" s="260"/>
      <c r="U1039" s="624"/>
      <c r="V1039" s="85"/>
      <c r="W1039" s="624"/>
      <c r="X1039" s="81"/>
      <c r="Y1039" s="80"/>
      <c r="Z1039" s="737">
        <f ca="1">MAX(0%,IF(Q1039&lt;&gt;0,MIN((S1039-Q1039)/Q1039/'Underwriting Risk'!$E$27,'Premium and Reserve Risk'!$Z$971),'Premium and Reserve Risk'!$Z$971))</f>
        <v>0.17</v>
      </c>
      <c r="AA1039" s="80"/>
      <c r="AB1039" s="80"/>
      <c r="AC1039" s="737">
        <f ca="1">MAX(0%,IF(U1039&lt;&gt;0,MIN((W1039-U1039)/U1039/'Underwriting Risk'!$E$27,'Premium and Reserve Risk'!$AC$971),'Premium and Reserve Risk'!$AC$971))</f>
        <v>0.2</v>
      </c>
      <c r="AD1039" s="81"/>
      <c r="AE1039" s="97"/>
      <c r="AF1039" s="97"/>
      <c r="AG1039" s="97"/>
      <c r="AH1039" s="97"/>
    </row>
    <row r="1040" spans="1:34" ht="13.5" customHeight="1" x14ac:dyDescent="0.25">
      <c r="A1040" s="97"/>
      <c r="B1040" s="257">
        <v>68</v>
      </c>
      <c r="C1040" s="652"/>
      <c r="D1040" s="80"/>
      <c r="E1040" s="80"/>
      <c r="F1040" s="258">
        <f t="shared" ca="1" si="33"/>
        <v>0</v>
      </c>
      <c r="G1040" s="624"/>
      <c r="H1040" s="85"/>
      <c r="I1040" s="624"/>
      <c r="J1040" s="85"/>
      <c r="K1040" s="624"/>
      <c r="L1040" s="85"/>
      <c r="M1040" s="624"/>
      <c r="N1040" s="85"/>
      <c r="O1040" s="624"/>
      <c r="P1040" s="85"/>
      <c r="Q1040" s="626">
        <f t="shared" si="31"/>
        <v>0</v>
      </c>
      <c r="R1040" s="85"/>
      <c r="S1040" s="624"/>
      <c r="T1040" s="260"/>
      <c r="U1040" s="624"/>
      <c r="V1040" s="85"/>
      <c r="W1040" s="624"/>
      <c r="X1040" s="81"/>
      <c r="Y1040" s="80"/>
      <c r="Z1040" s="737">
        <f ca="1">MAX(0%,IF(Q1040&lt;&gt;0,MIN((S1040-Q1040)/Q1040/'Underwriting Risk'!$E$27,'Premium and Reserve Risk'!$Z$971),'Premium and Reserve Risk'!$Z$971))</f>
        <v>0.17</v>
      </c>
      <c r="AA1040" s="80"/>
      <c r="AB1040" s="80"/>
      <c r="AC1040" s="737">
        <f ca="1">MAX(0%,IF(U1040&lt;&gt;0,MIN((W1040-U1040)/U1040/'Underwriting Risk'!$E$27,'Premium and Reserve Risk'!$AC$971),'Premium and Reserve Risk'!$AC$971))</f>
        <v>0.2</v>
      </c>
      <c r="AD1040" s="81"/>
      <c r="AE1040" s="97"/>
      <c r="AF1040" s="97"/>
      <c r="AG1040" s="97"/>
      <c r="AH1040" s="97"/>
    </row>
    <row r="1041" spans="1:34" ht="13.5" customHeight="1" x14ac:dyDescent="0.25">
      <c r="A1041" s="97"/>
      <c r="B1041" s="257">
        <v>69</v>
      </c>
      <c r="C1041" s="652"/>
      <c r="D1041" s="80"/>
      <c r="E1041" s="80"/>
      <c r="F1041" s="258">
        <f t="shared" ca="1" si="33"/>
        <v>0</v>
      </c>
      <c r="G1041" s="624"/>
      <c r="H1041" s="85"/>
      <c r="I1041" s="624"/>
      <c r="J1041" s="85"/>
      <c r="K1041" s="624"/>
      <c r="L1041" s="85"/>
      <c r="M1041" s="624"/>
      <c r="N1041" s="85"/>
      <c r="O1041" s="624"/>
      <c r="P1041" s="85"/>
      <c r="Q1041" s="626">
        <f t="shared" si="31"/>
        <v>0</v>
      </c>
      <c r="R1041" s="85"/>
      <c r="S1041" s="624"/>
      <c r="T1041" s="260"/>
      <c r="U1041" s="624"/>
      <c r="V1041" s="85"/>
      <c r="W1041" s="624"/>
      <c r="X1041" s="81"/>
      <c r="Y1041" s="80"/>
      <c r="Z1041" s="737">
        <f ca="1">MAX(0%,IF(Q1041&lt;&gt;0,MIN((S1041-Q1041)/Q1041/'Underwriting Risk'!$E$27,'Premium and Reserve Risk'!$Z$971),'Premium and Reserve Risk'!$Z$971))</f>
        <v>0.17</v>
      </c>
      <c r="AA1041" s="80"/>
      <c r="AB1041" s="80"/>
      <c r="AC1041" s="737">
        <f ca="1">MAX(0%,IF(U1041&lt;&gt;0,MIN((W1041-U1041)/U1041/'Underwriting Risk'!$E$27,'Premium and Reserve Risk'!$AC$971),'Premium and Reserve Risk'!$AC$971))</f>
        <v>0.2</v>
      </c>
      <c r="AD1041" s="81"/>
      <c r="AE1041" s="97"/>
      <c r="AF1041" s="97"/>
      <c r="AG1041" s="97"/>
      <c r="AH1041" s="97"/>
    </row>
    <row r="1042" spans="1:34" ht="13.5" customHeight="1" x14ac:dyDescent="0.25">
      <c r="A1042" s="97"/>
      <c r="B1042" s="257">
        <v>70</v>
      </c>
      <c r="C1042" s="652"/>
      <c r="D1042" s="80"/>
      <c r="E1042" s="80"/>
      <c r="F1042" s="258">
        <f t="shared" ca="1" si="33"/>
        <v>0</v>
      </c>
      <c r="G1042" s="624"/>
      <c r="H1042" s="85"/>
      <c r="I1042" s="624"/>
      <c r="J1042" s="85"/>
      <c r="K1042" s="624"/>
      <c r="L1042" s="85"/>
      <c r="M1042" s="624"/>
      <c r="N1042" s="85"/>
      <c r="O1042" s="624"/>
      <c r="P1042" s="85"/>
      <c r="Q1042" s="626">
        <f t="shared" si="31"/>
        <v>0</v>
      </c>
      <c r="R1042" s="85"/>
      <c r="S1042" s="624"/>
      <c r="T1042" s="260"/>
      <c r="U1042" s="624"/>
      <c r="V1042" s="85"/>
      <c r="W1042" s="624"/>
      <c r="X1042" s="81"/>
      <c r="Y1042" s="80"/>
      <c r="Z1042" s="737">
        <f ca="1">MAX(0%,IF(Q1042&lt;&gt;0,MIN((S1042-Q1042)/Q1042/'Underwriting Risk'!$E$27,'Premium and Reserve Risk'!$Z$971),'Premium and Reserve Risk'!$Z$971))</f>
        <v>0.17</v>
      </c>
      <c r="AA1042" s="80"/>
      <c r="AB1042" s="80"/>
      <c r="AC1042" s="737">
        <f ca="1">MAX(0%,IF(U1042&lt;&gt;0,MIN((W1042-U1042)/U1042/'Underwriting Risk'!$E$27,'Premium and Reserve Risk'!$AC$971),'Premium and Reserve Risk'!$AC$971))</f>
        <v>0.2</v>
      </c>
      <c r="AD1042" s="81"/>
      <c r="AE1042" s="97"/>
      <c r="AF1042" s="97"/>
      <c r="AG1042" s="97"/>
      <c r="AH1042" s="97"/>
    </row>
    <row r="1043" spans="1:34" ht="13.5" customHeight="1" x14ac:dyDescent="0.25">
      <c r="A1043" s="97"/>
      <c r="B1043" s="257">
        <v>71</v>
      </c>
      <c r="C1043" s="652"/>
      <c r="D1043" s="80"/>
      <c r="E1043" s="80"/>
      <c r="F1043" s="258">
        <f t="shared" ca="1" si="33"/>
        <v>0</v>
      </c>
      <c r="G1043" s="624"/>
      <c r="H1043" s="85"/>
      <c r="I1043" s="624"/>
      <c r="J1043" s="85"/>
      <c r="K1043" s="624"/>
      <c r="L1043" s="85"/>
      <c r="M1043" s="624"/>
      <c r="N1043" s="85"/>
      <c r="O1043" s="624"/>
      <c r="P1043" s="85"/>
      <c r="Q1043" s="626">
        <f t="shared" si="31"/>
        <v>0</v>
      </c>
      <c r="R1043" s="85"/>
      <c r="S1043" s="624"/>
      <c r="T1043" s="260"/>
      <c r="U1043" s="624"/>
      <c r="V1043" s="85"/>
      <c r="W1043" s="624"/>
      <c r="X1043" s="81"/>
      <c r="Y1043" s="80"/>
      <c r="Z1043" s="737">
        <f ca="1">MAX(0%,IF(Q1043&lt;&gt;0,MIN((S1043-Q1043)/Q1043/'Underwriting Risk'!$E$27,'Premium and Reserve Risk'!$Z$971),'Premium and Reserve Risk'!$Z$971))</f>
        <v>0.17</v>
      </c>
      <c r="AA1043" s="80"/>
      <c r="AB1043" s="80"/>
      <c r="AC1043" s="737">
        <f ca="1">MAX(0%,IF(U1043&lt;&gt;0,MIN((W1043-U1043)/U1043/'Underwriting Risk'!$E$27,'Premium and Reserve Risk'!$AC$971),'Premium and Reserve Risk'!$AC$971))</f>
        <v>0.2</v>
      </c>
      <c r="AD1043" s="81"/>
      <c r="AE1043" s="97"/>
      <c r="AF1043" s="97"/>
      <c r="AG1043" s="97"/>
      <c r="AH1043" s="97"/>
    </row>
    <row r="1044" spans="1:34" ht="13.5" customHeight="1" x14ac:dyDescent="0.25">
      <c r="A1044" s="97"/>
      <c r="B1044" s="257">
        <v>72</v>
      </c>
      <c r="C1044" s="652"/>
      <c r="D1044" s="80"/>
      <c r="E1044" s="80"/>
      <c r="F1044" s="258">
        <f t="shared" ca="1" si="33"/>
        <v>0</v>
      </c>
      <c r="G1044" s="624"/>
      <c r="H1044" s="85"/>
      <c r="I1044" s="624"/>
      <c r="J1044" s="85"/>
      <c r="K1044" s="624"/>
      <c r="L1044" s="85"/>
      <c r="M1044" s="624"/>
      <c r="N1044" s="85"/>
      <c r="O1044" s="624"/>
      <c r="P1044" s="85"/>
      <c r="Q1044" s="626">
        <f t="shared" si="31"/>
        <v>0</v>
      </c>
      <c r="R1044" s="85"/>
      <c r="S1044" s="624"/>
      <c r="T1044" s="260"/>
      <c r="U1044" s="624"/>
      <c r="V1044" s="85"/>
      <c r="W1044" s="624"/>
      <c r="X1044" s="81"/>
      <c r="Y1044" s="80"/>
      <c r="Z1044" s="737">
        <f ca="1">MAX(0%,IF(Q1044&lt;&gt;0,MIN((S1044-Q1044)/Q1044/'Underwriting Risk'!$E$27,'Premium and Reserve Risk'!$Z$971),'Premium and Reserve Risk'!$Z$971))</f>
        <v>0.17</v>
      </c>
      <c r="AA1044" s="80"/>
      <c r="AB1044" s="80"/>
      <c r="AC1044" s="737">
        <f ca="1">MAX(0%,IF(U1044&lt;&gt;0,MIN((W1044-U1044)/U1044/'Underwriting Risk'!$E$27,'Premium and Reserve Risk'!$AC$971),'Premium and Reserve Risk'!$AC$971))</f>
        <v>0.2</v>
      </c>
      <c r="AD1044" s="81"/>
      <c r="AE1044" s="97"/>
      <c r="AF1044" s="97"/>
      <c r="AG1044" s="97"/>
      <c r="AH1044" s="97"/>
    </row>
    <row r="1045" spans="1:34" ht="13.5" customHeight="1" x14ac:dyDescent="0.25">
      <c r="A1045" s="97"/>
      <c r="B1045" s="257">
        <v>73</v>
      </c>
      <c r="C1045" s="652"/>
      <c r="D1045" s="80"/>
      <c r="E1045" s="80"/>
      <c r="F1045" s="258">
        <f t="shared" ca="1" si="33"/>
        <v>0</v>
      </c>
      <c r="G1045" s="624"/>
      <c r="H1045" s="85"/>
      <c r="I1045" s="624"/>
      <c r="J1045" s="85"/>
      <c r="K1045" s="624"/>
      <c r="L1045" s="85"/>
      <c r="M1045" s="624"/>
      <c r="N1045" s="85"/>
      <c r="O1045" s="624"/>
      <c r="P1045" s="85"/>
      <c r="Q1045" s="626">
        <f t="shared" si="31"/>
        <v>0</v>
      </c>
      <c r="R1045" s="85"/>
      <c r="S1045" s="624"/>
      <c r="T1045" s="260"/>
      <c r="U1045" s="624"/>
      <c r="V1045" s="85"/>
      <c r="W1045" s="624"/>
      <c r="X1045" s="81"/>
      <c r="Y1045" s="80"/>
      <c r="Z1045" s="737">
        <f ca="1">MAX(0%,IF(Q1045&lt;&gt;0,MIN((S1045-Q1045)/Q1045/'Underwriting Risk'!$E$27,'Premium and Reserve Risk'!$Z$971),'Premium and Reserve Risk'!$Z$971))</f>
        <v>0.17</v>
      </c>
      <c r="AA1045" s="80"/>
      <c r="AB1045" s="80"/>
      <c r="AC1045" s="737">
        <f ca="1">MAX(0%,IF(U1045&lt;&gt;0,MIN((W1045-U1045)/U1045/'Underwriting Risk'!$E$27,'Premium and Reserve Risk'!$AC$971),'Premium and Reserve Risk'!$AC$971))</f>
        <v>0.2</v>
      </c>
      <c r="AD1045" s="81"/>
      <c r="AE1045" s="97"/>
      <c r="AF1045" s="97"/>
      <c r="AG1045" s="97"/>
      <c r="AH1045" s="97"/>
    </row>
    <row r="1046" spans="1:34" ht="13.5" customHeight="1" x14ac:dyDescent="0.25">
      <c r="A1046" s="97"/>
      <c r="B1046" s="257">
        <v>74</v>
      </c>
      <c r="C1046" s="652"/>
      <c r="D1046" s="80"/>
      <c r="E1046" s="80"/>
      <c r="F1046" s="258">
        <f t="shared" ca="1" si="33"/>
        <v>0</v>
      </c>
      <c r="G1046" s="624"/>
      <c r="H1046" s="85"/>
      <c r="I1046" s="624"/>
      <c r="J1046" s="85"/>
      <c r="K1046" s="624"/>
      <c r="L1046" s="85"/>
      <c r="M1046" s="624"/>
      <c r="N1046" s="85"/>
      <c r="O1046" s="624"/>
      <c r="P1046" s="85"/>
      <c r="Q1046" s="626">
        <f t="shared" si="31"/>
        <v>0</v>
      </c>
      <c r="R1046" s="85"/>
      <c r="S1046" s="624"/>
      <c r="T1046" s="260"/>
      <c r="U1046" s="624"/>
      <c r="V1046" s="85"/>
      <c r="W1046" s="624"/>
      <c r="X1046" s="81"/>
      <c r="Y1046" s="80"/>
      <c r="Z1046" s="737">
        <f ca="1">MAX(0%,IF(Q1046&lt;&gt;0,MIN((S1046-Q1046)/Q1046/'Underwriting Risk'!$E$27,'Premium and Reserve Risk'!$Z$971),'Premium and Reserve Risk'!$Z$971))</f>
        <v>0.17</v>
      </c>
      <c r="AA1046" s="80"/>
      <c r="AB1046" s="80"/>
      <c r="AC1046" s="737">
        <f ca="1">MAX(0%,IF(U1046&lt;&gt;0,MIN((W1046-U1046)/U1046/'Underwriting Risk'!$E$27,'Premium and Reserve Risk'!$AC$971),'Premium and Reserve Risk'!$AC$971))</f>
        <v>0.2</v>
      </c>
      <c r="AD1046" s="81"/>
      <c r="AE1046" s="97"/>
      <c r="AF1046" s="97"/>
      <c r="AG1046" s="97"/>
      <c r="AH1046" s="97"/>
    </row>
    <row r="1047" spans="1:34" ht="13.5" customHeight="1" x14ac:dyDescent="0.25">
      <c r="A1047" s="97"/>
      <c r="B1047" s="257">
        <v>75</v>
      </c>
      <c r="C1047" s="652"/>
      <c r="D1047" s="80"/>
      <c r="E1047" s="80"/>
      <c r="F1047" s="258">
        <f t="shared" ca="1" si="33"/>
        <v>0</v>
      </c>
      <c r="G1047" s="624"/>
      <c r="H1047" s="85"/>
      <c r="I1047" s="624"/>
      <c r="J1047" s="85"/>
      <c r="K1047" s="624"/>
      <c r="L1047" s="85"/>
      <c r="M1047" s="624"/>
      <c r="N1047" s="85"/>
      <c r="O1047" s="624"/>
      <c r="P1047" s="85"/>
      <c r="Q1047" s="626">
        <f t="shared" si="31"/>
        <v>0</v>
      </c>
      <c r="R1047" s="85"/>
      <c r="S1047" s="624"/>
      <c r="T1047" s="260"/>
      <c r="U1047" s="624"/>
      <c r="V1047" s="85"/>
      <c r="W1047" s="624"/>
      <c r="X1047" s="81"/>
      <c r="Y1047" s="80"/>
      <c r="Z1047" s="737">
        <f ca="1">MAX(0%,IF(Q1047&lt;&gt;0,MIN((S1047-Q1047)/Q1047/'Underwriting Risk'!$E$27,'Premium and Reserve Risk'!$Z$971),'Premium and Reserve Risk'!$Z$971))</f>
        <v>0.17</v>
      </c>
      <c r="AA1047" s="80"/>
      <c r="AB1047" s="80"/>
      <c r="AC1047" s="737">
        <f ca="1">MAX(0%,IF(U1047&lt;&gt;0,MIN((W1047-U1047)/U1047/'Underwriting Risk'!$E$27,'Premium and Reserve Risk'!$AC$971),'Premium and Reserve Risk'!$AC$971))</f>
        <v>0.2</v>
      </c>
      <c r="AD1047" s="81"/>
      <c r="AE1047" s="97"/>
      <c r="AF1047" s="97"/>
      <c r="AG1047" s="97"/>
      <c r="AH1047" s="97"/>
    </row>
    <row r="1048" spans="1:34" ht="13.5" customHeight="1" x14ac:dyDescent="0.25">
      <c r="A1048" s="97"/>
      <c r="B1048" s="257">
        <v>76</v>
      </c>
      <c r="C1048" s="652"/>
      <c r="D1048" s="80"/>
      <c r="E1048" s="80"/>
      <c r="F1048" s="258">
        <f t="shared" ca="1" si="33"/>
        <v>0</v>
      </c>
      <c r="G1048" s="624"/>
      <c r="H1048" s="85"/>
      <c r="I1048" s="624"/>
      <c r="J1048" s="85"/>
      <c r="K1048" s="624"/>
      <c r="L1048" s="85"/>
      <c r="M1048" s="624"/>
      <c r="N1048" s="85"/>
      <c r="O1048" s="624"/>
      <c r="P1048" s="85"/>
      <c r="Q1048" s="626">
        <f t="shared" si="31"/>
        <v>0</v>
      </c>
      <c r="R1048" s="85"/>
      <c r="S1048" s="624"/>
      <c r="T1048" s="260"/>
      <c r="U1048" s="624"/>
      <c r="V1048" s="85"/>
      <c r="W1048" s="624"/>
      <c r="X1048" s="81"/>
      <c r="Y1048" s="80"/>
      <c r="Z1048" s="737">
        <f ca="1">MAX(0%,IF(Q1048&lt;&gt;0,MIN((S1048-Q1048)/Q1048/'Underwriting Risk'!$E$27,'Premium and Reserve Risk'!$Z$971),'Premium and Reserve Risk'!$Z$971))</f>
        <v>0.17</v>
      </c>
      <c r="AA1048" s="80"/>
      <c r="AB1048" s="80"/>
      <c r="AC1048" s="737">
        <f ca="1">MAX(0%,IF(U1048&lt;&gt;0,MIN((W1048-U1048)/U1048/'Underwriting Risk'!$E$27,'Premium and Reserve Risk'!$AC$971),'Premium and Reserve Risk'!$AC$971))</f>
        <v>0.2</v>
      </c>
      <c r="AD1048" s="81"/>
      <c r="AE1048" s="97"/>
      <c r="AF1048" s="97"/>
      <c r="AG1048" s="97"/>
      <c r="AH1048" s="97"/>
    </row>
    <row r="1049" spans="1:34" ht="13.5" customHeight="1" x14ac:dyDescent="0.25">
      <c r="A1049" s="97"/>
      <c r="B1049" s="257">
        <v>77</v>
      </c>
      <c r="C1049" s="652"/>
      <c r="D1049" s="80"/>
      <c r="E1049" s="80"/>
      <c r="F1049" s="258">
        <f t="shared" ca="1" si="33"/>
        <v>0</v>
      </c>
      <c r="G1049" s="624"/>
      <c r="H1049" s="85"/>
      <c r="I1049" s="624"/>
      <c r="J1049" s="85"/>
      <c r="K1049" s="624"/>
      <c r="L1049" s="85"/>
      <c r="M1049" s="624"/>
      <c r="N1049" s="85"/>
      <c r="O1049" s="624"/>
      <c r="P1049" s="85"/>
      <c r="Q1049" s="626">
        <f t="shared" si="31"/>
        <v>0</v>
      </c>
      <c r="R1049" s="85"/>
      <c r="S1049" s="624"/>
      <c r="T1049" s="260"/>
      <c r="U1049" s="624"/>
      <c r="V1049" s="85"/>
      <c r="W1049" s="624"/>
      <c r="X1049" s="81"/>
      <c r="Y1049" s="80"/>
      <c r="Z1049" s="737">
        <f ca="1">MAX(0%,IF(Q1049&lt;&gt;0,MIN((S1049-Q1049)/Q1049/'Underwriting Risk'!$E$27,'Premium and Reserve Risk'!$Z$971),'Premium and Reserve Risk'!$Z$971))</f>
        <v>0.17</v>
      </c>
      <c r="AA1049" s="80"/>
      <c r="AB1049" s="80"/>
      <c r="AC1049" s="737">
        <f ca="1">MAX(0%,IF(U1049&lt;&gt;0,MIN((W1049-U1049)/U1049/'Underwriting Risk'!$E$27,'Premium and Reserve Risk'!$AC$971),'Premium and Reserve Risk'!$AC$971))</f>
        <v>0.2</v>
      </c>
      <c r="AD1049" s="81"/>
      <c r="AE1049" s="97"/>
      <c r="AF1049" s="97"/>
      <c r="AG1049" s="97"/>
      <c r="AH1049" s="97"/>
    </row>
    <row r="1050" spans="1:34" ht="13.5" customHeight="1" x14ac:dyDescent="0.25">
      <c r="A1050" s="97"/>
      <c r="B1050" s="257">
        <v>78</v>
      </c>
      <c r="C1050" s="652"/>
      <c r="D1050" s="80"/>
      <c r="E1050" s="80"/>
      <c r="F1050" s="258">
        <f t="shared" ca="1" si="33"/>
        <v>0</v>
      </c>
      <c r="G1050" s="624"/>
      <c r="H1050" s="85"/>
      <c r="I1050" s="624"/>
      <c r="J1050" s="85"/>
      <c r="K1050" s="624"/>
      <c r="L1050" s="85"/>
      <c r="M1050" s="624"/>
      <c r="N1050" s="85"/>
      <c r="O1050" s="624"/>
      <c r="P1050" s="85"/>
      <c r="Q1050" s="626">
        <f t="shared" si="31"/>
        <v>0</v>
      </c>
      <c r="R1050" s="85"/>
      <c r="S1050" s="624"/>
      <c r="T1050" s="260"/>
      <c r="U1050" s="624"/>
      <c r="V1050" s="85"/>
      <c r="W1050" s="624"/>
      <c r="X1050" s="81"/>
      <c r="Y1050" s="80"/>
      <c r="Z1050" s="737">
        <f ca="1">MAX(0%,IF(Q1050&lt;&gt;0,MIN((S1050-Q1050)/Q1050/'Underwriting Risk'!$E$27,'Premium and Reserve Risk'!$Z$971),'Premium and Reserve Risk'!$Z$971))</f>
        <v>0.17</v>
      </c>
      <c r="AA1050" s="80"/>
      <c r="AB1050" s="80"/>
      <c r="AC1050" s="737">
        <f ca="1">MAX(0%,IF(U1050&lt;&gt;0,MIN((W1050-U1050)/U1050/'Underwriting Risk'!$E$27,'Premium and Reserve Risk'!$AC$971),'Premium and Reserve Risk'!$AC$971))</f>
        <v>0.2</v>
      </c>
      <c r="AD1050" s="81"/>
      <c r="AE1050" s="97"/>
      <c r="AF1050" s="97"/>
      <c r="AG1050" s="97"/>
      <c r="AH1050" s="97"/>
    </row>
    <row r="1051" spans="1:34" ht="13.5" customHeight="1" x14ac:dyDescent="0.25">
      <c r="A1051" s="97"/>
      <c r="B1051" s="257">
        <v>79</v>
      </c>
      <c r="C1051" s="652"/>
      <c r="D1051" s="80"/>
      <c r="E1051" s="80"/>
      <c r="F1051" s="258">
        <f t="shared" ca="1" si="33"/>
        <v>0</v>
      </c>
      <c r="G1051" s="624"/>
      <c r="H1051" s="85"/>
      <c r="I1051" s="624"/>
      <c r="J1051" s="85"/>
      <c r="K1051" s="624"/>
      <c r="L1051" s="85"/>
      <c r="M1051" s="624"/>
      <c r="N1051" s="85"/>
      <c r="O1051" s="624"/>
      <c r="P1051" s="85"/>
      <c r="Q1051" s="626">
        <f t="shared" si="31"/>
        <v>0</v>
      </c>
      <c r="R1051" s="85"/>
      <c r="S1051" s="624"/>
      <c r="T1051" s="260"/>
      <c r="U1051" s="624"/>
      <c r="V1051" s="85"/>
      <c r="W1051" s="624"/>
      <c r="X1051" s="81"/>
      <c r="Y1051" s="80"/>
      <c r="Z1051" s="737">
        <f ca="1">MAX(0%,IF(Q1051&lt;&gt;0,MIN((S1051-Q1051)/Q1051/'Underwriting Risk'!$E$27,'Premium and Reserve Risk'!$Z$971),'Premium and Reserve Risk'!$Z$971))</f>
        <v>0.17</v>
      </c>
      <c r="AA1051" s="80"/>
      <c r="AB1051" s="80"/>
      <c r="AC1051" s="737">
        <f ca="1">MAX(0%,IF(U1051&lt;&gt;0,MIN((W1051-U1051)/U1051/'Underwriting Risk'!$E$27,'Premium and Reserve Risk'!$AC$971),'Premium and Reserve Risk'!$AC$971))</f>
        <v>0.2</v>
      </c>
      <c r="AD1051" s="81"/>
      <c r="AE1051" s="97"/>
      <c r="AF1051" s="97"/>
      <c r="AG1051" s="97"/>
      <c r="AH1051" s="97"/>
    </row>
    <row r="1052" spans="1:34" ht="13.5" customHeight="1" x14ac:dyDescent="0.25">
      <c r="A1052" s="97"/>
      <c r="B1052" s="257">
        <v>80</v>
      </c>
      <c r="C1052" s="652"/>
      <c r="D1052" s="80"/>
      <c r="E1052" s="80"/>
      <c r="F1052" s="258">
        <f t="shared" ca="1" si="33"/>
        <v>0</v>
      </c>
      <c r="G1052" s="624"/>
      <c r="H1052" s="85"/>
      <c r="I1052" s="624"/>
      <c r="J1052" s="85"/>
      <c r="K1052" s="624"/>
      <c r="L1052" s="85"/>
      <c r="M1052" s="624"/>
      <c r="N1052" s="85"/>
      <c r="O1052" s="624"/>
      <c r="P1052" s="85"/>
      <c r="Q1052" s="626">
        <f t="shared" si="31"/>
        <v>0</v>
      </c>
      <c r="R1052" s="85"/>
      <c r="S1052" s="624"/>
      <c r="T1052" s="260"/>
      <c r="U1052" s="624"/>
      <c r="V1052" s="85"/>
      <c r="W1052" s="624"/>
      <c r="X1052" s="81"/>
      <c r="Y1052" s="80"/>
      <c r="Z1052" s="737">
        <f ca="1">MAX(0%,IF(Q1052&lt;&gt;0,MIN((S1052-Q1052)/Q1052/'Underwriting Risk'!$E$27,'Premium and Reserve Risk'!$Z$971),'Premium and Reserve Risk'!$Z$971))</f>
        <v>0.17</v>
      </c>
      <c r="AA1052" s="80"/>
      <c r="AB1052" s="80"/>
      <c r="AC1052" s="737">
        <f ca="1">MAX(0%,IF(U1052&lt;&gt;0,MIN((W1052-U1052)/U1052/'Underwriting Risk'!$E$27,'Premium and Reserve Risk'!$AC$971),'Premium and Reserve Risk'!$AC$971))</f>
        <v>0.2</v>
      </c>
      <c r="AD1052" s="81"/>
      <c r="AE1052" s="97"/>
      <c r="AF1052" s="97"/>
      <c r="AG1052" s="97"/>
      <c r="AH1052" s="97"/>
    </row>
    <row r="1053" spans="1:34" ht="13.5" customHeight="1" x14ac:dyDescent="0.25">
      <c r="A1053" s="97"/>
      <c r="B1053" s="257">
        <v>81</v>
      </c>
      <c r="C1053" s="652"/>
      <c r="D1053" s="80"/>
      <c r="E1053" s="80"/>
      <c r="F1053" s="258">
        <f t="shared" ca="1" si="33"/>
        <v>0</v>
      </c>
      <c r="G1053" s="624"/>
      <c r="H1053" s="85"/>
      <c r="I1053" s="624"/>
      <c r="J1053" s="85"/>
      <c r="K1053" s="624"/>
      <c r="L1053" s="85"/>
      <c r="M1053" s="624"/>
      <c r="N1053" s="85"/>
      <c r="O1053" s="624"/>
      <c r="P1053" s="85"/>
      <c r="Q1053" s="626">
        <f t="shared" si="31"/>
        <v>0</v>
      </c>
      <c r="R1053" s="85"/>
      <c r="S1053" s="624"/>
      <c r="T1053" s="260"/>
      <c r="U1053" s="624"/>
      <c r="V1053" s="85"/>
      <c r="W1053" s="624"/>
      <c r="X1053" s="81"/>
      <c r="Y1053" s="80"/>
      <c r="Z1053" s="737">
        <f ca="1">MAX(0%,IF(Q1053&lt;&gt;0,MIN((S1053-Q1053)/Q1053/'Underwriting Risk'!$E$27,'Premium and Reserve Risk'!$Z$971),'Premium and Reserve Risk'!$Z$971))</f>
        <v>0.17</v>
      </c>
      <c r="AA1053" s="80"/>
      <c r="AB1053" s="80"/>
      <c r="AC1053" s="737">
        <f ca="1">MAX(0%,IF(U1053&lt;&gt;0,MIN((W1053-U1053)/U1053/'Underwriting Risk'!$E$27,'Premium and Reserve Risk'!$AC$971),'Premium and Reserve Risk'!$AC$971))</f>
        <v>0.2</v>
      </c>
      <c r="AD1053" s="81"/>
      <c r="AE1053" s="97"/>
      <c r="AF1053" s="97"/>
      <c r="AG1053" s="97"/>
      <c r="AH1053" s="97"/>
    </row>
    <row r="1054" spans="1:34" ht="13.5" customHeight="1" x14ac:dyDescent="0.25">
      <c r="A1054" s="97"/>
      <c r="B1054" s="257">
        <v>82</v>
      </c>
      <c r="C1054" s="652"/>
      <c r="D1054" s="80"/>
      <c r="E1054" s="80"/>
      <c r="F1054" s="258">
        <f t="shared" ca="1" si="33"/>
        <v>0</v>
      </c>
      <c r="G1054" s="624"/>
      <c r="H1054" s="85"/>
      <c r="I1054" s="624"/>
      <c r="J1054" s="85"/>
      <c r="K1054" s="624"/>
      <c r="L1054" s="85"/>
      <c r="M1054" s="624"/>
      <c r="N1054" s="85"/>
      <c r="O1054" s="624"/>
      <c r="P1054" s="85"/>
      <c r="Q1054" s="626">
        <f t="shared" si="31"/>
        <v>0</v>
      </c>
      <c r="R1054" s="85"/>
      <c r="S1054" s="624"/>
      <c r="T1054" s="260"/>
      <c r="U1054" s="624"/>
      <c r="V1054" s="85"/>
      <c r="W1054" s="624"/>
      <c r="X1054" s="81"/>
      <c r="Y1054" s="80"/>
      <c r="Z1054" s="737">
        <f ca="1">MAX(0%,IF(Q1054&lt;&gt;0,MIN((S1054-Q1054)/Q1054/'Underwriting Risk'!$E$27,'Premium and Reserve Risk'!$Z$971),'Premium and Reserve Risk'!$Z$971))</f>
        <v>0.17</v>
      </c>
      <c r="AA1054" s="80"/>
      <c r="AB1054" s="80"/>
      <c r="AC1054" s="737">
        <f ca="1">MAX(0%,IF(U1054&lt;&gt;0,MIN((W1054-U1054)/U1054/'Underwriting Risk'!$E$27,'Premium and Reserve Risk'!$AC$971),'Premium and Reserve Risk'!$AC$971))</f>
        <v>0.2</v>
      </c>
      <c r="AD1054" s="81"/>
      <c r="AE1054" s="97"/>
      <c r="AF1054" s="97"/>
      <c r="AG1054" s="97"/>
      <c r="AH1054" s="97"/>
    </row>
    <row r="1055" spans="1:34" ht="13.5" customHeight="1" x14ac:dyDescent="0.25">
      <c r="A1055" s="97"/>
      <c r="B1055" s="257">
        <v>83</v>
      </c>
      <c r="C1055" s="652"/>
      <c r="D1055" s="80"/>
      <c r="E1055" s="80"/>
      <c r="F1055" s="258">
        <f t="shared" ca="1" si="33"/>
        <v>0</v>
      </c>
      <c r="G1055" s="624"/>
      <c r="H1055" s="85"/>
      <c r="I1055" s="624"/>
      <c r="J1055" s="85"/>
      <c r="K1055" s="624"/>
      <c r="L1055" s="85"/>
      <c r="M1055" s="624"/>
      <c r="N1055" s="85"/>
      <c r="O1055" s="624"/>
      <c r="P1055" s="85"/>
      <c r="Q1055" s="626">
        <f t="shared" si="31"/>
        <v>0</v>
      </c>
      <c r="R1055" s="85"/>
      <c r="S1055" s="624"/>
      <c r="T1055" s="260"/>
      <c r="U1055" s="624"/>
      <c r="V1055" s="85"/>
      <c r="W1055" s="624"/>
      <c r="X1055" s="81"/>
      <c r="Y1055" s="80"/>
      <c r="Z1055" s="737">
        <f ca="1">MAX(0%,IF(Q1055&lt;&gt;0,MIN((S1055-Q1055)/Q1055/'Underwriting Risk'!$E$27,'Premium and Reserve Risk'!$Z$971),'Premium and Reserve Risk'!$Z$971))</f>
        <v>0.17</v>
      </c>
      <c r="AA1055" s="80"/>
      <c r="AB1055" s="80"/>
      <c r="AC1055" s="737">
        <f ca="1">MAX(0%,IF(U1055&lt;&gt;0,MIN((W1055-U1055)/U1055/'Underwriting Risk'!$E$27,'Premium and Reserve Risk'!$AC$971),'Premium and Reserve Risk'!$AC$971))</f>
        <v>0.2</v>
      </c>
      <c r="AD1055" s="81"/>
      <c r="AE1055" s="97"/>
      <c r="AF1055" s="97"/>
      <c r="AG1055" s="97"/>
      <c r="AH1055" s="97"/>
    </row>
    <row r="1056" spans="1:34" ht="13.5" customHeight="1" x14ac:dyDescent="0.25">
      <c r="A1056" s="97"/>
      <c r="B1056" s="257">
        <v>84</v>
      </c>
      <c r="C1056" s="652"/>
      <c r="D1056" s="80"/>
      <c r="E1056" s="80"/>
      <c r="F1056" s="258">
        <f t="shared" ca="1" si="33"/>
        <v>0</v>
      </c>
      <c r="G1056" s="624"/>
      <c r="H1056" s="85"/>
      <c r="I1056" s="624"/>
      <c r="J1056" s="85"/>
      <c r="K1056" s="624"/>
      <c r="L1056" s="85"/>
      <c r="M1056" s="624"/>
      <c r="N1056" s="85"/>
      <c r="O1056" s="624"/>
      <c r="P1056" s="85"/>
      <c r="Q1056" s="626">
        <f t="shared" si="31"/>
        <v>0</v>
      </c>
      <c r="R1056" s="85"/>
      <c r="S1056" s="624"/>
      <c r="T1056" s="260"/>
      <c r="U1056" s="624"/>
      <c r="V1056" s="85"/>
      <c r="W1056" s="624"/>
      <c r="X1056" s="81"/>
      <c r="Y1056" s="80"/>
      <c r="Z1056" s="737">
        <f ca="1">MAX(0%,IF(Q1056&lt;&gt;0,MIN((S1056-Q1056)/Q1056/'Underwriting Risk'!$E$27,'Premium and Reserve Risk'!$Z$971),'Premium and Reserve Risk'!$Z$971))</f>
        <v>0.17</v>
      </c>
      <c r="AA1056" s="80"/>
      <c r="AB1056" s="80"/>
      <c r="AC1056" s="737">
        <f ca="1">MAX(0%,IF(U1056&lt;&gt;0,MIN((W1056-U1056)/U1056/'Underwriting Risk'!$E$27,'Premium and Reserve Risk'!$AC$971),'Premium and Reserve Risk'!$AC$971))</f>
        <v>0.2</v>
      </c>
      <c r="AD1056" s="81"/>
      <c r="AE1056" s="97"/>
      <c r="AF1056" s="97"/>
      <c r="AG1056" s="97"/>
      <c r="AH1056" s="97"/>
    </row>
    <row r="1057" spans="1:34" ht="13.5" customHeight="1" x14ac:dyDescent="0.25">
      <c r="A1057" s="97"/>
      <c r="B1057" s="257">
        <v>85</v>
      </c>
      <c r="C1057" s="652"/>
      <c r="D1057" s="80"/>
      <c r="E1057" s="80"/>
      <c r="F1057" s="258">
        <f t="shared" ca="1" si="33"/>
        <v>0</v>
      </c>
      <c r="G1057" s="624"/>
      <c r="H1057" s="85"/>
      <c r="I1057" s="624"/>
      <c r="J1057" s="85"/>
      <c r="K1057" s="624"/>
      <c r="L1057" s="85"/>
      <c r="M1057" s="624"/>
      <c r="N1057" s="85"/>
      <c r="O1057" s="624"/>
      <c r="P1057" s="85"/>
      <c r="Q1057" s="626">
        <f t="shared" si="31"/>
        <v>0</v>
      </c>
      <c r="R1057" s="85"/>
      <c r="S1057" s="624"/>
      <c r="T1057" s="260"/>
      <c r="U1057" s="624"/>
      <c r="V1057" s="85"/>
      <c r="W1057" s="624"/>
      <c r="X1057" s="81"/>
      <c r="Y1057" s="80"/>
      <c r="Z1057" s="737">
        <f ca="1">MAX(0%,IF(Q1057&lt;&gt;0,MIN((S1057-Q1057)/Q1057/'Underwriting Risk'!$E$27,'Premium and Reserve Risk'!$Z$971),'Premium and Reserve Risk'!$Z$971))</f>
        <v>0.17</v>
      </c>
      <c r="AA1057" s="80"/>
      <c r="AB1057" s="80"/>
      <c r="AC1057" s="737">
        <f ca="1">MAX(0%,IF(U1057&lt;&gt;0,MIN((W1057-U1057)/U1057/'Underwriting Risk'!$E$27,'Premium and Reserve Risk'!$AC$971),'Premium and Reserve Risk'!$AC$971))</f>
        <v>0.2</v>
      </c>
      <c r="AD1057" s="81"/>
      <c r="AE1057" s="97"/>
      <c r="AF1057" s="97"/>
      <c r="AG1057" s="97"/>
      <c r="AH1057" s="97"/>
    </row>
    <row r="1058" spans="1:34" ht="13.5" customHeight="1" x14ac:dyDescent="0.25">
      <c r="A1058" s="97"/>
      <c r="B1058" s="257">
        <v>86</v>
      </c>
      <c r="C1058" s="652"/>
      <c r="D1058" s="80"/>
      <c r="E1058" s="80"/>
      <c r="F1058" s="258">
        <f t="shared" ca="1" si="33"/>
        <v>0</v>
      </c>
      <c r="G1058" s="624"/>
      <c r="H1058" s="85"/>
      <c r="I1058" s="624"/>
      <c r="J1058" s="85"/>
      <c r="K1058" s="624"/>
      <c r="L1058" s="85"/>
      <c r="M1058" s="624"/>
      <c r="N1058" s="85"/>
      <c r="O1058" s="624"/>
      <c r="P1058" s="85"/>
      <c r="Q1058" s="626">
        <f t="shared" si="31"/>
        <v>0</v>
      </c>
      <c r="R1058" s="85"/>
      <c r="S1058" s="624"/>
      <c r="T1058" s="260"/>
      <c r="U1058" s="624"/>
      <c r="V1058" s="85"/>
      <c r="W1058" s="624"/>
      <c r="X1058" s="81"/>
      <c r="Y1058" s="80"/>
      <c r="Z1058" s="737">
        <f ca="1">MAX(0%,IF(Q1058&lt;&gt;0,MIN((S1058-Q1058)/Q1058/'Underwriting Risk'!$E$27,'Premium and Reserve Risk'!$Z$971),'Premium and Reserve Risk'!$Z$971))</f>
        <v>0.17</v>
      </c>
      <c r="AA1058" s="80"/>
      <c r="AB1058" s="80"/>
      <c r="AC1058" s="737">
        <f ca="1">MAX(0%,IF(U1058&lt;&gt;0,MIN((W1058-U1058)/U1058/'Underwriting Risk'!$E$27,'Premium and Reserve Risk'!$AC$971),'Premium and Reserve Risk'!$AC$971))</f>
        <v>0.2</v>
      </c>
      <c r="AD1058" s="81"/>
      <c r="AE1058" s="97"/>
      <c r="AF1058" s="97"/>
      <c r="AG1058" s="97"/>
      <c r="AH1058" s="97"/>
    </row>
    <row r="1059" spans="1:34" ht="13.5" customHeight="1" x14ac:dyDescent="0.25">
      <c r="A1059" s="97"/>
      <c r="B1059" s="257">
        <v>87</v>
      </c>
      <c r="C1059" s="652"/>
      <c r="D1059" s="80"/>
      <c r="E1059" s="80"/>
      <c r="F1059" s="258">
        <f t="shared" ca="1" si="33"/>
        <v>0</v>
      </c>
      <c r="G1059" s="624"/>
      <c r="H1059" s="85"/>
      <c r="I1059" s="624"/>
      <c r="J1059" s="85"/>
      <c r="K1059" s="624"/>
      <c r="L1059" s="85"/>
      <c r="M1059" s="624"/>
      <c r="N1059" s="85"/>
      <c r="O1059" s="624"/>
      <c r="P1059" s="85"/>
      <c r="Q1059" s="626">
        <f t="shared" si="31"/>
        <v>0</v>
      </c>
      <c r="R1059" s="85"/>
      <c r="S1059" s="624"/>
      <c r="T1059" s="260"/>
      <c r="U1059" s="624"/>
      <c r="V1059" s="85"/>
      <c r="W1059" s="624"/>
      <c r="X1059" s="81"/>
      <c r="Y1059" s="80"/>
      <c r="Z1059" s="737">
        <f ca="1">MAX(0%,IF(Q1059&lt;&gt;0,MIN((S1059-Q1059)/Q1059/'Underwriting Risk'!$E$27,'Premium and Reserve Risk'!$Z$971),'Premium and Reserve Risk'!$Z$971))</f>
        <v>0.17</v>
      </c>
      <c r="AA1059" s="80"/>
      <c r="AB1059" s="80"/>
      <c r="AC1059" s="737">
        <f ca="1">MAX(0%,IF(U1059&lt;&gt;0,MIN((W1059-U1059)/U1059/'Underwriting Risk'!$E$27,'Premium and Reserve Risk'!$AC$971),'Premium and Reserve Risk'!$AC$971))</f>
        <v>0.2</v>
      </c>
      <c r="AD1059" s="81"/>
      <c r="AE1059" s="97"/>
      <c r="AF1059" s="97"/>
      <c r="AG1059" s="97"/>
      <c r="AH1059" s="97"/>
    </row>
    <row r="1060" spans="1:34" ht="13.5" customHeight="1" x14ac:dyDescent="0.25">
      <c r="A1060" s="97"/>
      <c r="B1060" s="257">
        <v>88</v>
      </c>
      <c r="C1060" s="652"/>
      <c r="D1060" s="80"/>
      <c r="E1060" s="80"/>
      <c r="F1060" s="258">
        <f t="shared" ca="1" si="33"/>
        <v>0</v>
      </c>
      <c r="G1060" s="624"/>
      <c r="H1060" s="85"/>
      <c r="I1060" s="624"/>
      <c r="J1060" s="85"/>
      <c r="K1060" s="624"/>
      <c r="L1060" s="85"/>
      <c r="M1060" s="624"/>
      <c r="N1060" s="85"/>
      <c r="O1060" s="624"/>
      <c r="P1060" s="85"/>
      <c r="Q1060" s="626">
        <f t="shared" si="31"/>
        <v>0</v>
      </c>
      <c r="R1060" s="85"/>
      <c r="S1060" s="624"/>
      <c r="T1060" s="260"/>
      <c r="U1060" s="624"/>
      <c r="V1060" s="85"/>
      <c r="W1060" s="624"/>
      <c r="X1060" s="81"/>
      <c r="Y1060" s="80"/>
      <c r="Z1060" s="737">
        <f ca="1">MAX(0%,IF(Q1060&lt;&gt;0,MIN((S1060-Q1060)/Q1060/'Underwriting Risk'!$E$27,'Premium and Reserve Risk'!$Z$971),'Premium and Reserve Risk'!$Z$971))</f>
        <v>0.17</v>
      </c>
      <c r="AA1060" s="80"/>
      <c r="AB1060" s="80"/>
      <c r="AC1060" s="737">
        <f ca="1">MAX(0%,IF(U1060&lt;&gt;0,MIN((W1060-U1060)/U1060/'Underwriting Risk'!$E$27,'Premium and Reserve Risk'!$AC$971),'Premium and Reserve Risk'!$AC$971))</f>
        <v>0.2</v>
      </c>
      <c r="AD1060" s="81"/>
      <c r="AE1060" s="97"/>
      <c r="AF1060" s="97"/>
      <c r="AG1060" s="97"/>
      <c r="AH1060" s="97"/>
    </row>
    <row r="1061" spans="1:34" ht="13.5" customHeight="1" x14ac:dyDescent="0.25">
      <c r="A1061" s="97"/>
      <c r="B1061" s="257">
        <v>89</v>
      </c>
      <c r="C1061" s="652"/>
      <c r="D1061" s="80"/>
      <c r="E1061" s="80"/>
      <c r="F1061" s="258">
        <f t="shared" ca="1" si="33"/>
        <v>0</v>
      </c>
      <c r="G1061" s="624"/>
      <c r="H1061" s="85"/>
      <c r="I1061" s="624"/>
      <c r="J1061" s="85"/>
      <c r="K1061" s="624"/>
      <c r="L1061" s="85"/>
      <c r="M1061" s="624"/>
      <c r="N1061" s="85"/>
      <c r="O1061" s="624"/>
      <c r="P1061" s="85"/>
      <c r="Q1061" s="626">
        <f t="shared" si="31"/>
        <v>0</v>
      </c>
      <c r="R1061" s="85"/>
      <c r="S1061" s="624"/>
      <c r="T1061" s="260"/>
      <c r="U1061" s="624"/>
      <c r="V1061" s="85"/>
      <c r="W1061" s="624"/>
      <c r="X1061" s="81"/>
      <c r="Y1061" s="80"/>
      <c r="Z1061" s="737">
        <f ca="1">MAX(0%,IF(Q1061&lt;&gt;0,MIN((S1061-Q1061)/Q1061/'Underwriting Risk'!$E$27,'Premium and Reserve Risk'!$Z$971),'Premium and Reserve Risk'!$Z$971))</f>
        <v>0.17</v>
      </c>
      <c r="AA1061" s="80"/>
      <c r="AB1061" s="80"/>
      <c r="AC1061" s="737">
        <f ca="1">MAX(0%,IF(U1061&lt;&gt;0,MIN((W1061-U1061)/U1061/'Underwriting Risk'!$E$27,'Premium and Reserve Risk'!$AC$971),'Premium and Reserve Risk'!$AC$971))</f>
        <v>0.2</v>
      </c>
      <c r="AD1061" s="81"/>
      <c r="AE1061" s="97"/>
      <c r="AF1061" s="97"/>
      <c r="AG1061" s="97"/>
      <c r="AH1061" s="97"/>
    </row>
    <row r="1062" spans="1:34" ht="13.5" customHeight="1" x14ac:dyDescent="0.25">
      <c r="A1062" s="97"/>
      <c r="B1062" s="257">
        <v>90</v>
      </c>
      <c r="C1062" s="652"/>
      <c r="D1062" s="80"/>
      <c r="E1062" s="80"/>
      <c r="F1062" s="258">
        <f t="shared" ca="1" si="33"/>
        <v>0</v>
      </c>
      <c r="G1062" s="624"/>
      <c r="H1062" s="85"/>
      <c r="I1062" s="624"/>
      <c r="J1062" s="85"/>
      <c r="K1062" s="624"/>
      <c r="L1062" s="85"/>
      <c r="M1062" s="624"/>
      <c r="N1062" s="85"/>
      <c r="O1062" s="624"/>
      <c r="P1062" s="85"/>
      <c r="Q1062" s="626">
        <f t="shared" si="31"/>
        <v>0</v>
      </c>
      <c r="R1062" s="85"/>
      <c r="S1062" s="624"/>
      <c r="T1062" s="260"/>
      <c r="U1062" s="624"/>
      <c r="V1062" s="85"/>
      <c r="W1062" s="624"/>
      <c r="X1062" s="81"/>
      <c r="Y1062" s="80"/>
      <c r="Z1062" s="737">
        <f ca="1">MAX(0%,IF(Q1062&lt;&gt;0,MIN((S1062-Q1062)/Q1062/'Underwriting Risk'!$E$27,'Premium and Reserve Risk'!$Z$971),'Premium and Reserve Risk'!$Z$971))</f>
        <v>0.17</v>
      </c>
      <c r="AA1062" s="80"/>
      <c r="AB1062" s="80"/>
      <c r="AC1062" s="737">
        <f ca="1">MAX(0%,IF(U1062&lt;&gt;0,MIN((W1062-U1062)/U1062/'Underwriting Risk'!$E$27,'Premium and Reserve Risk'!$AC$971),'Premium and Reserve Risk'!$AC$971))</f>
        <v>0.2</v>
      </c>
      <c r="AD1062" s="81"/>
      <c r="AE1062" s="97"/>
      <c r="AF1062" s="97"/>
      <c r="AG1062" s="97"/>
      <c r="AH1062" s="97"/>
    </row>
    <row r="1063" spans="1:34" ht="13.5" customHeight="1" x14ac:dyDescent="0.25">
      <c r="A1063" s="97"/>
      <c r="B1063" s="257">
        <v>91</v>
      </c>
      <c r="C1063" s="652"/>
      <c r="D1063" s="80"/>
      <c r="E1063" s="80"/>
      <c r="F1063" s="258">
        <f t="shared" ca="1" si="33"/>
        <v>0</v>
      </c>
      <c r="G1063" s="624"/>
      <c r="H1063" s="85"/>
      <c r="I1063" s="624"/>
      <c r="J1063" s="85"/>
      <c r="K1063" s="624"/>
      <c r="L1063" s="85"/>
      <c r="M1063" s="624"/>
      <c r="N1063" s="85"/>
      <c r="O1063" s="624"/>
      <c r="P1063" s="85"/>
      <c r="Q1063" s="626">
        <f t="shared" si="31"/>
        <v>0</v>
      </c>
      <c r="R1063" s="85"/>
      <c r="S1063" s="624"/>
      <c r="T1063" s="260"/>
      <c r="U1063" s="624"/>
      <c r="V1063" s="85"/>
      <c r="W1063" s="624"/>
      <c r="X1063" s="81"/>
      <c r="Y1063" s="80"/>
      <c r="Z1063" s="737">
        <f ca="1">MAX(0%,IF(Q1063&lt;&gt;0,MIN((S1063-Q1063)/Q1063/'Underwriting Risk'!$E$27,'Premium and Reserve Risk'!$Z$971),'Premium and Reserve Risk'!$Z$971))</f>
        <v>0.17</v>
      </c>
      <c r="AA1063" s="80"/>
      <c r="AB1063" s="80"/>
      <c r="AC1063" s="737">
        <f ca="1">MAX(0%,IF(U1063&lt;&gt;0,MIN((W1063-U1063)/U1063/'Underwriting Risk'!$E$27,'Premium and Reserve Risk'!$AC$971),'Premium and Reserve Risk'!$AC$971))</f>
        <v>0.2</v>
      </c>
      <c r="AD1063" s="81"/>
      <c r="AE1063" s="97"/>
      <c r="AF1063" s="97"/>
      <c r="AG1063" s="97"/>
      <c r="AH1063" s="97"/>
    </row>
    <row r="1064" spans="1:34" ht="13.5" customHeight="1" x14ac:dyDescent="0.25">
      <c r="A1064" s="97"/>
      <c r="B1064" s="257">
        <v>92</v>
      </c>
      <c r="C1064" s="652"/>
      <c r="D1064" s="80"/>
      <c r="E1064" s="80"/>
      <c r="F1064" s="258">
        <f t="shared" ca="1" si="33"/>
        <v>0</v>
      </c>
      <c r="G1064" s="624"/>
      <c r="H1064" s="85"/>
      <c r="I1064" s="624"/>
      <c r="J1064" s="85"/>
      <c r="K1064" s="624"/>
      <c r="L1064" s="85"/>
      <c r="M1064" s="624"/>
      <c r="N1064" s="85"/>
      <c r="O1064" s="624"/>
      <c r="P1064" s="85"/>
      <c r="Q1064" s="626">
        <f t="shared" si="31"/>
        <v>0</v>
      </c>
      <c r="R1064" s="85"/>
      <c r="S1064" s="624"/>
      <c r="T1064" s="260"/>
      <c r="U1064" s="624"/>
      <c r="V1064" s="85"/>
      <c r="W1064" s="624"/>
      <c r="X1064" s="81"/>
      <c r="Y1064" s="80"/>
      <c r="Z1064" s="737">
        <f ca="1">MAX(0%,IF(Q1064&lt;&gt;0,MIN((S1064-Q1064)/Q1064/'Underwriting Risk'!$E$27,'Premium and Reserve Risk'!$Z$971),'Premium and Reserve Risk'!$Z$971))</f>
        <v>0.17</v>
      </c>
      <c r="AA1064" s="80"/>
      <c r="AB1064" s="80"/>
      <c r="AC1064" s="737">
        <f ca="1">MAX(0%,IF(U1064&lt;&gt;0,MIN((W1064-U1064)/U1064/'Underwriting Risk'!$E$27,'Premium and Reserve Risk'!$AC$971),'Premium and Reserve Risk'!$AC$971))</f>
        <v>0.2</v>
      </c>
      <c r="AD1064" s="81"/>
      <c r="AE1064" s="97"/>
      <c r="AF1064" s="97"/>
      <c r="AG1064" s="97"/>
      <c r="AH1064" s="97"/>
    </row>
    <row r="1065" spans="1:34" ht="13.5" customHeight="1" x14ac:dyDescent="0.25">
      <c r="A1065" s="97"/>
      <c r="B1065" s="257">
        <v>93</v>
      </c>
      <c r="C1065" s="652"/>
      <c r="D1065" s="80"/>
      <c r="E1065" s="80"/>
      <c r="F1065" s="258">
        <f t="shared" ca="1" si="33"/>
        <v>0</v>
      </c>
      <c r="G1065" s="624"/>
      <c r="H1065" s="85"/>
      <c r="I1065" s="624"/>
      <c r="J1065" s="85"/>
      <c r="K1065" s="624"/>
      <c r="L1065" s="85"/>
      <c r="M1065" s="624"/>
      <c r="N1065" s="85"/>
      <c r="O1065" s="624"/>
      <c r="P1065" s="85"/>
      <c r="Q1065" s="626">
        <f t="shared" si="31"/>
        <v>0</v>
      </c>
      <c r="R1065" s="85"/>
      <c r="S1065" s="624"/>
      <c r="T1065" s="260"/>
      <c r="U1065" s="624"/>
      <c r="V1065" s="85"/>
      <c r="W1065" s="624"/>
      <c r="X1065" s="81"/>
      <c r="Y1065" s="80"/>
      <c r="Z1065" s="737">
        <f ca="1">MAX(0%,IF(Q1065&lt;&gt;0,MIN((S1065-Q1065)/Q1065/'Underwriting Risk'!$E$27,'Premium and Reserve Risk'!$Z$971),'Premium and Reserve Risk'!$Z$971))</f>
        <v>0.17</v>
      </c>
      <c r="AA1065" s="80"/>
      <c r="AB1065" s="80"/>
      <c r="AC1065" s="737">
        <f ca="1">MAX(0%,IF(U1065&lt;&gt;0,MIN((W1065-U1065)/U1065/'Underwriting Risk'!$E$27,'Premium and Reserve Risk'!$AC$971),'Premium and Reserve Risk'!$AC$971))</f>
        <v>0.2</v>
      </c>
      <c r="AD1065" s="81"/>
      <c r="AE1065" s="97"/>
      <c r="AF1065" s="97"/>
      <c r="AG1065" s="97"/>
      <c r="AH1065" s="97"/>
    </row>
    <row r="1066" spans="1:34" ht="13.5" customHeight="1" x14ac:dyDescent="0.25">
      <c r="A1066" s="97"/>
      <c r="B1066" s="257">
        <v>94</v>
      </c>
      <c r="C1066" s="652"/>
      <c r="D1066" s="80"/>
      <c r="E1066" s="80"/>
      <c r="F1066" s="258">
        <f t="shared" ca="1" si="33"/>
        <v>0</v>
      </c>
      <c r="G1066" s="624"/>
      <c r="H1066" s="85"/>
      <c r="I1066" s="624"/>
      <c r="J1066" s="85"/>
      <c r="K1066" s="624"/>
      <c r="L1066" s="85"/>
      <c r="M1066" s="624"/>
      <c r="N1066" s="85"/>
      <c r="O1066" s="624"/>
      <c r="P1066" s="85"/>
      <c r="Q1066" s="626">
        <f t="shared" si="31"/>
        <v>0</v>
      </c>
      <c r="R1066" s="85"/>
      <c r="S1066" s="624"/>
      <c r="T1066" s="260"/>
      <c r="U1066" s="624"/>
      <c r="V1066" s="85"/>
      <c r="W1066" s="624"/>
      <c r="X1066" s="81"/>
      <c r="Y1066" s="80"/>
      <c r="Z1066" s="737">
        <f ca="1">MAX(0%,IF(Q1066&lt;&gt;0,MIN((S1066-Q1066)/Q1066/'Underwriting Risk'!$E$27,'Premium and Reserve Risk'!$Z$971),'Premium and Reserve Risk'!$Z$971))</f>
        <v>0.17</v>
      </c>
      <c r="AA1066" s="80"/>
      <c r="AB1066" s="80"/>
      <c r="AC1066" s="737">
        <f ca="1">MAX(0%,IF(U1066&lt;&gt;0,MIN((W1066-U1066)/U1066/'Underwriting Risk'!$E$27,'Premium and Reserve Risk'!$AC$971),'Premium and Reserve Risk'!$AC$971))</f>
        <v>0.2</v>
      </c>
      <c r="AD1066" s="81"/>
      <c r="AE1066" s="97"/>
      <c r="AF1066" s="97"/>
      <c r="AG1066" s="97"/>
      <c r="AH1066" s="97"/>
    </row>
    <row r="1067" spans="1:34" ht="13.5" customHeight="1" x14ac:dyDescent="0.25">
      <c r="A1067" s="97"/>
      <c r="B1067" s="257">
        <v>95</v>
      </c>
      <c r="C1067" s="652"/>
      <c r="D1067" s="80"/>
      <c r="E1067" s="80"/>
      <c r="F1067" s="258">
        <f t="shared" ca="1" si="33"/>
        <v>0</v>
      </c>
      <c r="G1067" s="624"/>
      <c r="H1067" s="85"/>
      <c r="I1067" s="624"/>
      <c r="J1067" s="85"/>
      <c r="K1067" s="624"/>
      <c r="L1067" s="85"/>
      <c r="M1067" s="624"/>
      <c r="N1067" s="85"/>
      <c r="O1067" s="624"/>
      <c r="P1067" s="85"/>
      <c r="Q1067" s="626">
        <f t="shared" si="31"/>
        <v>0</v>
      </c>
      <c r="R1067" s="85"/>
      <c r="S1067" s="624"/>
      <c r="T1067" s="260"/>
      <c r="U1067" s="624"/>
      <c r="V1067" s="85"/>
      <c r="W1067" s="624"/>
      <c r="X1067" s="81"/>
      <c r="Y1067" s="80"/>
      <c r="Z1067" s="737">
        <f ca="1">MAX(0%,IF(Q1067&lt;&gt;0,MIN((S1067-Q1067)/Q1067/'Underwriting Risk'!$E$27,'Premium and Reserve Risk'!$Z$971),'Premium and Reserve Risk'!$Z$971))</f>
        <v>0.17</v>
      </c>
      <c r="AA1067" s="80"/>
      <c r="AB1067" s="80"/>
      <c r="AC1067" s="737">
        <f ca="1">MAX(0%,IF(U1067&lt;&gt;0,MIN((W1067-U1067)/U1067/'Underwriting Risk'!$E$27,'Premium and Reserve Risk'!$AC$971),'Premium and Reserve Risk'!$AC$971))</f>
        <v>0.2</v>
      </c>
      <c r="AD1067" s="81"/>
      <c r="AE1067" s="97"/>
      <c r="AF1067" s="97"/>
      <c r="AG1067" s="97"/>
      <c r="AH1067" s="97"/>
    </row>
    <row r="1068" spans="1:34" ht="13.5" customHeight="1" x14ac:dyDescent="0.25">
      <c r="A1068" s="97"/>
      <c r="B1068" s="257">
        <v>96</v>
      </c>
      <c r="C1068" s="652"/>
      <c r="D1068" s="80"/>
      <c r="E1068" s="80"/>
      <c r="F1068" s="258">
        <f t="shared" ca="1" si="33"/>
        <v>0</v>
      </c>
      <c r="G1068" s="624"/>
      <c r="H1068" s="85"/>
      <c r="I1068" s="624"/>
      <c r="J1068" s="85"/>
      <c r="K1068" s="624"/>
      <c r="L1068" s="85"/>
      <c r="M1068" s="624"/>
      <c r="N1068" s="85"/>
      <c r="O1068" s="624"/>
      <c r="P1068" s="85"/>
      <c r="Q1068" s="626">
        <f t="shared" si="31"/>
        <v>0</v>
      </c>
      <c r="R1068" s="85"/>
      <c r="S1068" s="624"/>
      <c r="T1068" s="260"/>
      <c r="U1068" s="624"/>
      <c r="V1068" s="85"/>
      <c r="W1068" s="624"/>
      <c r="X1068" s="81"/>
      <c r="Y1068" s="80"/>
      <c r="Z1068" s="737">
        <f ca="1">MAX(0%,IF(Q1068&lt;&gt;0,MIN((S1068-Q1068)/Q1068/'Underwriting Risk'!$E$27,'Premium and Reserve Risk'!$Z$971),'Premium and Reserve Risk'!$Z$971))</f>
        <v>0.17</v>
      </c>
      <c r="AA1068" s="80"/>
      <c r="AB1068" s="80"/>
      <c r="AC1068" s="737">
        <f ca="1">MAX(0%,IF(U1068&lt;&gt;0,MIN((W1068-U1068)/U1068/'Underwriting Risk'!$E$27,'Premium and Reserve Risk'!$AC$971),'Premium and Reserve Risk'!$AC$971))</f>
        <v>0.2</v>
      </c>
      <c r="AD1068" s="81"/>
      <c r="AE1068" s="97"/>
      <c r="AF1068" s="97"/>
      <c r="AG1068" s="97"/>
      <c r="AH1068" s="97"/>
    </row>
    <row r="1069" spans="1:34" ht="13.5" customHeight="1" x14ac:dyDescent="0.25">
      <c r="A1069" s="97"/>
      <c r="B1069" s="257">
        <v>97</v>
      </c>
      <c r="C1069" s="652"/>
      <c r="D1069" s="80"/>
      <c r="E1069" s="80"/>
      <c r="F1069" s="258">
        <f t="shared" ca="1" si="33"/>
        <v>0</v>
      </c>
      <c r="G1069" s="624"/>
      <c r="H1069" s="85"/>
      <c r="I1069" s="624"/>
      <c r="J1069" s="85"/>
      <c r="K1069" s="624"/>
      <c r="L1069" s="85"/>
      <c r="M1069" s="624"/>
      <c r="N1069" s="85"/>
      <c r="O1069" s="624"/>
      <c r="P1069" s="85"/>
      <c r="Q1069" s="626">
        <f t="shared" si="31"/>
        <v>0</v>
      </c>
      <c r="R1069" s="85"/>
      <c r="S1069" s="624"/>
      <c r="T1069" s="260"/>
      <c r="U1069" s="624"/>
      <c r="V1069" s="85"/>
      <c r="W1069" s="624"/>
      <c r="X1069" s="81"/>
      <c r="Y1069" s="80"/>
      <c r="Z1069" s="737">
        <f ca="1">MAX(0%,IF(Q1069&lt;&gt;0,MIN((S1069-Q1069)/Q1069/'Underwriting Risk'!$E$27,'Premium and Reserve Risk'!$Z$971),'Premium and Reserve Risk'!$Z$971))</f>
        <v>0.17</v>
      </c>
      <c r="AA1069" s="80"/>
      <c r="AB1069" s="80"/>
      <c r="AC1069" s="737">
        <f ca="1">MAX(0%,IF(U1069&lt;&gt;0,MIN((W1069-U1069)/U1069/'Underwriting Risk'!$E$27,'Premium and Reserve Risk'!$AC$971),'Premium and Reserve Risk'!$AC$971))</f>
        <v>0.2</v>
      </c>
      <c r="AD1069" s="81"/>
      <c r="AE1069" s="97"/>
      <c r="AF1069" s="97"/>
      <c r="AG1069" s="97"/>
      <c r="AH1069" s="97"/>
    </row>
    <row r="1070" spans="1:34" ht="13.5" customHeight="1" x14ac:dyDescent="0.25">
      <c r="A1070" s="97"/>
      <c r="B1070" s="257">
        <v>98</v>
      </c>
      <c r="C1070" s="652"/>
      <c r="D1070" s="80"/>
      <c r="E1070" s="80"/>
      <c r="F1070" s="258">
        <f t="shared" ca="1" si="33"/>
        <v>0</v>
      </c>
      <c r="G1070" s="624"/>
      <c r="H1070" s="85"/>
      <c r="I1070" s="624"/>
      <c r="J1070" s="85"/>
      <c r="K1070" s="624"/>
      <c r="L1070" s="85"/>
      <c r="M1070" s="624"/>
      <c r="N1070" s="85"/>
      <c r="O1070" s="624"/>
      <c r="P1070" s="85"/>
      <c r="Q1070" s="626">
        <f t="shared" si="31"/>
        <v>0</v>
      </c>
      <c r="R1070" s="85"/>
      <c r="S1070" s="624"/>
      <c r="T1070" s="260"/>
      <c r="U1070" s="624"/>
      <c r="V1070" s="85"/>
      <c r="W1070" s="624"/>
      <c r="X1070" s="81"/>
      <c r="Y1070" s="80"/>
      <c r="Z1070" s="737">
        <f ca="1">MAX(0%,IF(Q1070&lt;&gt;0,MIN((S1070-Q1070)/Q1070/'Underwriting Risk'!$E$27,'Premium and Reserve Risk'!$Z$971),'Premium and Reserve Risk'!$Z$971))</f>
        <v>0.17</v>
      </c>
      <c r="AA1070" s="80"/>
      <c r="AB1070" s="80"/>
      <c r="AC1070" s="737">
        <f ca="1">MAX(0%,IF(U1070&lt;&gt;0,MIN((W1070-U1070)/U1070/'Underwriting Risk'!$E$27,'Premium and Reserve Risk'!$AC$971),'Premium and Reserve Risk'!$AC$971))</f>
        <v>0.2</v>
      </c>
      <c r="AD1070" s="81"/>
      <c r="AE1070" s="97"/>
      <c r="AF1070" s="97"/>
      <c r="AG1070" s="97"/>
      <c r="AH1070" s="97"/>
    </row>
    <row r="1071" spans="1:34" ht="13.5" customHeight="1" x14ac:dyDescent="0.25">
      <c r="A1071" s="97"/>
      <c r="B1071" s="257">
        <v>99</v>
      </c>
      <c r="C1071" s="652"/>
      <c r="D1071" s="80"/>
      <c r="E1071" s="80"/>
      <c r="F1071" s="258">
        <f t="shared" ca="1" si="33"/>
        <v>0</v>
      </c>
      <c r="G1071" s="624"/>
      <c r="H1071" s="85"/>
      <c r="I1071" s="624"/>
      <c r="J1071" s="85"/>
      <c r="K1071" s="624"/>
      <c r="L1071" s="85"/>
      <c r="M1071" s="624"/>
      <c r="N1071" s="85"/>
      <c r="O1071" s="624"/>
      <c r="P1071" s="85"/>
      <c r="Q1071" s="626">
        <f t="shared" si="31"/>
        <v>0</v>
      </c>
      <c r="R1071" s="85"/>
      <c r="S1071" s="624"/>
      <c r="T1071" s="260"/>
      <c r="U1071" s="624"/>
      <c r="V1071" s="85"/>
      <c r="W1071" s="624"/>
      <c r="X1071" s="81"/>
      <c r="Y1071" s="80"/>
      <c r="Z1071" s="737">
        <f ca="1">MAX(0%,IF(Q1071&lt;&gt;0,MIN((S1071-Q1071)/Q1071/'Underwriting Risk'!$E$27,'Premium and Reserve Risk'!$Z$971),'Premium and Reserve Risk'!$Z$971))</f>
        <v>0.17</v>
      </c>
      <c r="AA1071" s="80"/>
      <c r="AB1071" s="80"/>
      <c r="AC1071" s="737">
        <f ca="1">MAX(0%,IF(U1071&lt;&gt;0,MIN((W1071-U1071)/U1071/'Underwriting Risk'!$E$27,'Premium and Reserve Risk'!$AC$971),'Premium and Reserve Risk'!$AC$971))</f>
        <v>0.2</v>
      </c>
      <c r="AD1071" s="81"/>
      <c r="AE1071" s="97"/>
      <c r="AF1071" s="97"/>
      <c r="AG1071" s="97"/>
      <c r="AH1071" s="97"/>
    </row>
    <row r="1072" spans="1:34" ht="13.5" customHeight="1" x14ac:dyDescent="0.25">
      <c r="A1072" s="97"/>
      <c r="B1072" s="257">
        <v>100</v>
      </c>
      <c r="C1072" s="652"/>
      <c r="D1072" s="80"/>
      <c r="E1072" s="80"/>
      <c r="F1072" s="258">
        <f t="shared" ca="1" si="33"/>
        <v>0</v>
      </c>
      <c r="G1072" s="624"/>
      <c r="H1072" s="85"/>
      <c r="I1072" s="624"/>
      <c r="J1072" s="85"/>
      <c r="K1072" s="624"/>
      <c r="L1072" s="85"/>
      <c r="M1072" s="624"/>
      <c r="N1072" s="85"/>
      <c r="O1072" s="624"/>
      <c r="P1072" s="85"/>
      <c r="Q1072" s="626">
        <f t="shared" si="31"/>
        <v>0</v>
      </c>
      <c r="R1072" s="85"/>
      <c r="S1072" s="624"/>
      <c r="T1072" s="260"/>
      <c r="U1072" s="624"/>
      <c r="V1072" s="85"/>
      <c r="W1072" s="624"/>
      <c r="X1072" s="81"/>
      <c r="Y1072" s="80"/>
      <c r="Z1072" s="737">
        <f ca="1">MAX(0%,IF(Q1072&lt;&gt;0,MIN((S1072-Q1072)/Q1072/'Underwriting Risk'!$E$27,'Premium and Reserve Risk'!$Z$971),'Premium and Reserve Risk'!$Z$971))</f>
        <v>0.17</v>
      </c>
      <c r="AA1072" s="80"/>
      <c r="AB1072" s="80"/>
      <c r="AC1072" s="737">
        <f ca="1">MAX(0%,IF(U1072&lt;&gt;0,MIN((W1072-U1072)/U1072/'Underwriting Risk'!$E$27,'Premium and Reserve Risk'!$AC$971),'Premium and Reserve Risk'!$AC$971))</f>
        <v>0.2</v>
      </c>
      <c r="AD1072" s="81"/>
      <c r="AE1072" s="97"/>
      <c r="AF1072" s="97"/>
      <c r="AG1072" s="97"/>
      <c r="AH1072" s="97"/>
    </row>
    <row r="1073" spans="1:34" ht="6" customHeight="1" thickBot="1" x14ac:dyDescent="0.3">
      <c r="A1073" s="97"/>
      <c r="B1073" s="110"/>
      <c r="C1073" s="93"/>
      <c r="D1073" s="93"/>
      <c r="E1073" s="93"/>
      <c r="F1073" s="261">
        <f ca="1">IF(OFFSET($Z$8,B970-1,0)=0,1,0)</f>
        <v>0</v>
      </c>
      <c r="G1073" s="134"/>
      <c r="H1073" s="134"/>
      <c r="I1073" s="134"/>
      <c r="J1073" s="134"/>
      <c r="K1073" s="134"/>
      <c r="L1073" s="134"/>
      <c r="M1073" s="134"/>
      <c r="N1073" s="134"/>
      <c r="O1073" s="134"/>
      <c r="P1073" s="134"/>
      <c r="Q1073" s="134"/>
      <c r="R1073" s="134"/>
      <c r="S1073" s="134"/>
      <c r="T1073" s="134"/>
      <c r="U1073" s="134"/>
      <c r="V1073" s="134"/>
      <c r="W1073" s="134"/>
      <c r="X1073" s="94"/>
      <c r="Y1073" s="93"/>
      <c r="Z1073" s="93"/>
      <c r="AA1073" s="93"/>
      <c r="AB1073" s="93"/>
      <c r="AC1073" s="93"/>
      <c r="AD1073" s="94"/>
      <c r="AE1073" s="97"/>
      <c r="AF1073" s="97"/>
      <c r="AG1073" s="97"/>
      <c r="AH1073" s="97"/>
    </row>
    <row r="1074" spans="1:34" ht="16.5" thickBot="1" x14ac:dyDescent="0.3">
      <c r="A1074" s="97"/>
      <c r="B1074" s="53"/>
      <c r="C1074" s="53"/>
      <c r="D1074" s="53"/>
      <c r="E1074" s="53"/>
      <c r="F1074" s="53"/>
      <c r="G1074" s="109"/>
      <c r="H1074" s="109"/>
      <c r="I1074" s="109"/>
      <c r="J1074" s="109"/>
      <c r="K1074" s="109"/>
      <c r="L1074" s="109"/>
      <c r="M1074" s="109"/>
      <c r="N1074" s="109"/>
      <c r="O1074" s="109"/>
      <c r="P1074" s="109"/>
      <c r="Q1074" s="109"/>
      <c r="R1074" s="109"/>
      <c r="S1074" s="109"/>
      <c r="T1074" s="109"/>
      <c r="U1074" s="109"/>
      <c r="V1074" s="109"/>
      <c r="W1074" s="109"/>
      <c r="X1074" s="53"/>
      <c r="Y1074" s="53"/>
      <c r="Z1074" s="53"/>
      <c r="AA1074" s="53"/>
      <c r="AB1074" s="53"/>
      <c r="AC1074" s="53"/>
      <c r="AD1074" s="53"/>
      <c r="AE1074" s="97"/>
      <c r="AF1074" s="97"/>
      <c r="AG1074" s="97"/>
      <c r="AH1074" s="97"/>
    </row>
    <row r="1075" spans="1:34" ht="31.5" x14ac:dyDescent="0.25">
      <c r="A1075" s="97"/>
      <c r="B1075" s="187">
        <v>26</v>
      </c>
      <c r="C1075" s="187" t="str">
        <f ca="1">RIGHT(OFFSET($B$8,B1075-16,0),LEN(OFFSET($B$8,B1075-16,0))-5)</f>
        <v>Non-prop. reinsurance - MAT</v>
      </c>
      <c r="D1075" s="68"/>
      <c r="E1075" s="68"/>
      <c r="F1075" s="68"/>
      <c r="G1075" s="68"/>
      <c r="H1075" s="68"/>
      <c r="I1075" s="68"/>
      <c r="J1075" s="68"/>
      <c r="K1075" s="68"/>
      <c r="L1075" s="68"/>
      <c r="M1075" s="68"/>
      <c r="N1075" s="68"/>
      <c r="O1075" s="68"/>
      <c r="P1075" s="68"/>
      <c r="Q1075" s="68"/>
      <c r="R1075" s="68"/>
      <c r="S1075" s="68"/>
      <c r="T1075" s="68"/>
      <c r="U1075" s="68"/>
      <c r="V1075" s="68"/>
      <c r="W1075" s="68"/>
      <c r="X1075" s="251"/>
      <c r="Y1075" s="68"/>
      <c r="Z1075" s="250" t="s">
        <v>458</v>
      </c>
      <c r="AA1075" s="736"/>
      <c r="AB1075" s="736"/>
      <c r="AC1075" s="250" t="s">
        <v>459</v>
      </c>
      <c r="AD1075" s="251"/>
      <c r="AE1075" s="97"/>
      <c r="AF1075" s="97"/>
      <c r="AG1075" s="97"/>
      <c r="AH1075" s="97"/>
    </row>
    <row r="1076" spans="1:34" ht="129.75" thickBot="1" x14ac:dyDescent="0.3">
      <c r="A1076" s="97"/>
      <c r="B1076" s="252"/>
      <c r="C1076" s="253" t="s">
        <v>460</v>
      </c>
      <c r="D1076" s="237"/>
      <c r="E1076" s="237"/>
      <c r="F1076" s="254">
        <f ca="1">IF(OFFSET($Z$8,10,0)=0,1,0)</f>
        <v>0</v>
      </c>
      <c r="G1076" s="792" t="s">
        <v>1130</v>
      </c>
      <c r="H1076" s="793"/>
      <c r="I1076" s="791" t="s">
        <v>438</v>
      </c>
      <c r="J1076" s="791"/>
      <c r="K1076" s="791" t="s">
        <v>439</v>
      </c>
      <c r="L1076" s="791"/>
      <c r="M1076" s="791" t="s">
        <v>1131</v>
      </c>
      <c r="N1076" s="791"/>
      <c r="O1076" s="791" t="s">
        <v>1132</v>
      </c>
      <c r="P1076" s="363"/>
      <c r="Q1076" s="237" t="s">
        <v>440</v>
      </c>
      <c r="R1076" s="237"/>
      <c r="S1076" s="237" t="s">
        <v>461</v>
      </c>
      <c r="T1076" s="237"/>
      <c r="U1076" s="237" t="s">
        <v>463</v>
      </c>
      <c r="V1076" s="237"/>
      <c r="W1076" s="237" t="s">
        <v>464</v>
      </c>
      <c r="X1076" s="238"/>
      <c r="Y1076" s="237"/>
      <c r="Z1076" s="255">
        <f ca="1">OFFSET('Underwriting Risk'!$K$55,'Premium and Reserve Risk'!B1075-16,0)</f>
        <v>0.17</v>
      </c>
      <c r="AA1076" s="237"/>
      <c r="AB1076" s="237"/>
      <c r="AC1076" s="255">
        <f ca="1">OFFSET('Underwriting Risk'!$M$55,'Premium and Reserve Risk'!B1075-16,0)</f>
        <v>0.2</v>
      </c>
      <c r="AD1076" s="238"/>
      <c r="AE1076" s="97"/>
      <c r="AF1076" s="97"/>
      <c r="AG1076" s="97"/>
      <c r="AH1076" s="97"/>
    </row>
    <row r="1077" spans="1:34" ht="6" customHeight="1" x14ac:dyDescent="0.25">
      <c r="A1077" s="97"/>
      <c r="B1077" s="106"/>
      <c r="C1077" s="80"/>
      <c r="D1077" s="80"/>
      <c r="E1077" s="80"/>
      <c r="F1077" s="256">
        <f ca="1">IF(OFFSET($Z$8,10,0)=0,1,0)</f>
        <v>0</v>
      </c>
      <c r="G1077" s="85"/>
      <c r="H1077" s="85"/>
      <c r="I1077" s="85"/>
      <c r="J1077" s="85"/>
      <c r="K1077" s="85"/>
      <c r="L1077" s="85"/>
      <c r="M1077" s="85"/>
      <c r="N1077" s="85"/>
      <c r="O1077" s="85"/>
      <c r="P1077" s="85"/>
      <c r="Q1077" s="85"/>
      <c r="R1077" s="85"/>
      <c r="S1077" s="85"/>
      <c r="T1077" s="85"/>
      <c r="U1077" s="85"/>
      <c r="V1077" s="85"/>
      <c r="W1077" s="85"/>
      <c r="X1077" s="81"/>
      <c r="Y1077" s="80"/>
      <c r="Z1077" s="80"/>
      <c r="AA1077" s="80"/>
      <c r="AB1077" s="80"/>
      <c r="AC1077" s="80"/>
      <c r="AD1077" s="81"/>
      <c r="AE1077" s="97"/>
      <c r="AF1077" s="97"/>
      <c r="AG1077" s="97"/>
      <c r="AH1077" s="97"/>
    </row>
    <row r="1078" spans="1:34" ht="13.5" customHeight="1" x14ac:dyDescent="0.25">
      <c r="A1078" s="97"/>
      <c r="B1078" s="257">
        <v>1</v>
      </c>
      <c r="C1078" s="652"/>
      <c r="D1078" s="80"/>
      <c r="E1078" s="80"/>
      <c r="F1078" s="258">
        <f ca="1">IF(B1078&lt;=OFFSET($Z$8,10,0),0,1)</f>
        <v>0</v>
      </c>
      <c r="G1078" s="624"/>
      <c r="H1078" s="85"/>
      <c r="I1078" s="624"/>
      <c r="J1078" s="85"/>
      <c r="K1078" s="624"/>
      <c r="L1078" s="85"/>
      <c r="M1078" s="624"/>
      <c r="N1078" s="85"/>
      <c r="O1078" s="624"/>
      <c r="P1078" s="85"/>
      <c r="Q1078" s="626">
        <f t="shared" ref="Q1078:Q1177" si="34">MAX(G1078,I1078)+K1078+M1078+0.3*O1078</f>
        <v>0</v>
      </c>
      <c r="R1078" s="85"/>
      <c r="S1078" s="624"/>
      <c r="T1078" s="260"/>
      <c r="U1078" s="624"/>
      <c r="V1078" s="85"/>
      <c r="W1078" s="624"/>
      <c r="X1078" s="81"/>
      <c r="Y1078" s="80"/>
      <c r="Z1078" s="737">
        <f ca="1">MAX(0%,IF(Q1078&lt;&gt;0,MIN((S1078-Q1078)/Q1078/'Underwriting Risk'!$E$27,'Premium and Reserve Risk'!$Z$1076),'Premium and Reserve Risk'!$Z$1076))</f>
        <v>0.17</v>
      </c>
      <c r="AA1078" s="80"/>
      <c r="AB1078" s="80"/>
      <c r="AC1078" s="737">
        <f ca="1">MAX(0%,IF(U1078&lt;&gt;0,MIN((W1078-U1078)/U1078/'Underwriting Risk'!$E$27,'Premium and Reserve Risk'!$AC$1076),'Premium and Reserve Risk'!$AC$1076))</f>
        <v>0.2</v>
      </c>
      <c r="AD1078" s="81"/>
      <c r="AE1078" s="97"/>
      <c r="AF1078" s="97"/>
      <c r="AG1078" s="97"/>
      <c r="AH1078" s="97"/>
    </row>
    <row r="1079" spans="1:34" ht="13.5" customHeight="1" x14ac:dyDescent="0.25">
      <c r="A1079" s="97"/>
      <c r="B1079" s="257">
        <v>2</v>
      </c>
      <c r="C1079" s="652"/>
      <c r="D1079" s="80"/>
      <c r="E1079" s="80"/>
      <c r="F1079" s="258">
        <f t="shared" ref="F1079:F1142" ca="1" si="35">IF(B1079&lt;=OFFSET($Z$8,10,0),0,1)</f>
        <v>0</v>
      </c>
      <c r="G1079" s="624"/>
      <c r="H1079" s="85"/>
      <c r="I1079" s="624"/>
      <c r="J1079" s="85"/>
      <c r="K1079" s="624"/>
      <c r="L1079" s="85"/>
      <c r="M1079" s="624"/>
      <c r="N1079" s="85"/>
      <c r="O1079" s="624"/>
      <c r="P1079" s="85"/>
      <c r="Q1079" s="626">
        <f t="shared" si="34"/>
        <v>0</v>
      </c>
      <c r="R1079" s="85"/>
      <c r="S1079" s="624"/>
      <c r="T1079" s="260"/>
      <c r="U1079" s="624"/>
      <c r="V1079" s="85"/>
      <c r="W1079" s="624"/>
      <c r="X1079" s="81"/>
      <c r="Y1079" s="80"/>
      <c r="Z1079" s="737">
        <f ca="1">MAX(0%,IF(Q1079&lt;&gt;0,MIN((S1079-Q1079)/Q1079/'Underwriting Risk'!$E$27,'Premium and Reserve Risk'!$Z$1076),'Premium and Reserve Risk'!$Z$1076))</f>
        <v>0.17</v>
      </c>
      <c r="AA1079" s="80"/>
      <c r="AB1079" s="80"/>
      <c r="AC1079" s="737">
        <f ca="1">MAX(0%,IF(U1079&lt;&gt;0,MIN((W1079-U1079)/U1079/'Underwriting Risk'!$E$27,'Premium and Reserve Risk'!$AC$1076),'Premium and Reserve Risk'!$AC$1076))</f>
        <v>0.2</v>
      </c>
      <c r="AD1079" s="81"/>
      <c r="AE1079" s="97"/>
      <c r="AF1079" s="97"/>
      <c r="AG1079" s="97"/>
      <c r="AH1079" s="97"/>
    </row>
    <row r="1080" spans="1:34" ht="13.5" customHeight="1" x14ac:dyDescent="0.25">
      <c r="A1080" s="97"/>
      <c r="B1080" s="257">
        <v>3</v>
      </c>
      <c r="C1080" s="652"/>
      <c r="D1080" s="80"/>
      <c r="E1080" s="80"/>
      <c r="F1080" s="258">
        <f t="shared" ca="1" si="35"/>
        <v>0</v>
      </c>
      <c r="G1080" s="624"/>
      <c r="H1080" s="85"/>
      <c r="I1080" s="624"/>
      <c r="J1080" s="85"/>
      <c r="K1080" s="624"/>
      <c r="L1080" s="85"/>
      <c r="M1080" s="624"/>
      <c r="N1080" s="85"/>
      <c r="O1080" s="624"/>
      <c r="P1080" s="85"/>
      <c r="Q1080" s="626">
        <f t="shared" si="34"/>
        <v>0</v>
      </c>
      <c r="R1080" s="85"/>
      <c r="S1080" s="624"/>
      <c r="T1080" s="260"/>
      <c r="U1080" s="624"/>
      <c r="V1080" s="85"/>
      <c r="W1080" s="624"/>
      <c r="X1080" s="81"/>
      <c r="Y1080" s="80"/>
      <c r="Z1080" s="737">
        <f ca="1">MAX(0%,IF(Q1080&lt;&gt;0,MIN((S1080-Q1080)/Q1080/'Underwriting Risk'!$E$27,'Premium and Reserve Risk'!$Z$1076),'Premium and Reserve Risk'!$Z$1076))</f>
        <v>0.17</v>
      </c>
      <c r="AA1080" s="80"/>
      <c r="AB1080" s="80"/>
      <c r="AC1080" s="737">
        <f ca="1">MAX(0%,IF(U1080&lt;&gt;0,MIN((W1080-U1080)/U1080/'Underwriting Risk'!$E$27,'Premium and Reserve Risk'!$AC$1076),'Premium and Reserve Risk'!$AC$1076))</f>
        <v>0.2</v>
      </c>
      <c r="AD1080" s="81"/>
      <c r="AE1080" s="97"/>
      <c r="AF1080" s="97"/>
      <c r="AG1080" s="97"/>
      <c r="AH1080" s="97"/>
    </row>
    <row r="1081" spans="1:34" ht="13.5" customHeight="1" x14ac:dyDescent="0.25">
      <c r="A1081" s="97"/>
      <c r="B1081" s="257">
        <v>4</v>
      </c>
      <c r="C1081" s="652"/>
      <c r="D1081" s="80"/>
      <c r="E1081" s="80"/>
      <c r="F1081" s="258">
        <f t="shared" ca="1" si="35"/>
        <v>0</v>
      </c>
      <c r="G1081" s="624"/>
      <c r="H1081" s="85"/>
      <c r="I1081" s="624"/>
      <c r="J1081" s="85"/>
      <c r="K1081" s="624"/>
      <c r="L1081" s="85"/>
      <c r="M1081" s="624"/>
      <c r="N1081" s="85"/>
      <c r="O1081" s="624"/>
      <c r="P1081" s="85"/>
      <c r="Q1081" s="626">
        <f t="shared" si="34"/>
        <v>0</v>
      </c>
      <c r="R1081" s="85"/>
      <c r="S1081" s="624"/>
      <c r="T1081" s="260"/>
      <c r="U1081" s="624"/>
      <c r="V1081" s="85"/>
      <c r="W1081" s="624"/>
      <c r="X1081" s="81"/>
      <c r="Y1081" s="80"/>
      <c r="Z1081" s="737">
        <f ca="1">MAX(0%,IF(Q1081&lt;&gt;0,MIN((S1081-Q1081)/Q1081/'Underwriting Risk'!$E$27,'Premium and Reserve Risk'!$Z$1076),'Premium and Reserve Risk'!$Z$1076))</f>
        <v>0.17</v>
      </c>
      <c r="AA1081" s="80"/>
      <c r="AB1081" s="80"/>
      <c r="AC1081" s="737">
        <f ca="1">MAX(0%,IF(U1081&lt;&gt;0,MIN((W1081-U1081)/U1081/'Underwriting Risk'!$E$27,'Premium and Reserve Risk'!$AC$1076),'Premium and Reserve Risk'!$AC$1076))</f>
        <v>0.2</v>
      </c>
      <c r="AD1081" s="81"/>
      <c r="AE1081" s="97"/>
      <c r="AF1081" s="97"/>
      <c r="AG1081" s="97"/>
      <c r="AH1081" s="97"/>
    </row>
    <row r="1082" spans="1:34" ht="13.5" customHeight="1" x14ac:dyDescent="0.25">
      <c r="A1082" s="97"/>
      <c r="B1082" s="257">
        <v>5</v>
      </c>
      <c r="C1082" s="652"/>
      <c r="D1082" s="80"/>
      <c r="E1082" s="80"/>
      <c r="F1082" s="258">
        <f t="shared" ca="1" si="35"/>
        <v>0</v>
      </c>
      <c r="G1082" s="624"/>
      <c r="H1082" s="85"/>
      <c r="I1082" s="624"/>
      <c r="J1082" s="85"/>
      <c r="K1082" s="624"/>
      <c r="L1082" s="85"/>
      <c r="M1082" s="624"/>
      <c r="N1082" s="85"/>
      <c r="O1082" s="624"/>
      <c r="P1082" s="85"/>
      <c r="Q1082" s="626">
        <f t="shared" si="34"/>
        <v>0</v>
      </c>
      <c r="R1082" s="85"/>
      <c r="S1082" s="624"/>
      <c r="T1082" s="260"/>
      <c r="U1082" s="624"/>
      <c r="V1082" s="85"/>
      <c r="W1082" s="624"/>
      <c r="X1082" s="81"/>
      <c r="Y1082" s="80"/>
      <c r="Z1082" s="737">
        <f ca="1">MAX(0%,IF(Q1082&lt;&gt;0,MIN((S1082-Q1082)/Q1082/'Underwriting Risk'!$E$27,'Premium and Reserve Risk'!$Z$1076),'Premium and Reserve Risk'!$Z$1076))</f>
        <v>0.17</v>
      </c>
      <c r="AA1082" s="80"/>
      <c r="AB1082" s="80"/>
      <c r="AC1082" s="737">
        <f ca="1">MAX(0%,IF(U1082&lt;&gt;0,MIN((W1082-U1082)/U1082/'Underwriting Risk'!$E$27,'Premium and Reserve Risk'!$AC$1076),'Premium and Reserve Risk'!$AC$1076))</f>
        <v>0.2</v>
      </c>
      <c r="AD1082" s="81"/>
      <c r="AE1082" s="97"/>
      <c r="AF1082" s="97"/>
      <c r="AG1082" s="97"/>
      <c r="AH1082" s="97"/>
    </row>
    <row r="1083" spans="1:34" ht="13.5" customHeight="1" x14ac:dyDescent="0.25">
      <c r="A1083" s="97"/>
      <c r="B1083" s="257">
        <v>6</v>
      </c>
      <c r="C1083" s="652"/>
      <c r="D1083" s="80"/>
      <c r="E1083" s="80"/>
      <c r="F1083" s="258">
        <f t="shared" ca="1" si="35"/>
        <v>0</v>
      </c>
      <c r="G1083" s="624"/>
      <c r="H1083" s="85"/>
      <c r="I1083" s="624"/>
      <c r="J1083" s="85"/>
      <c r="K1083" s="624"/>
      <c r="L1083" s="85"/>
      <c r="M1083" s="624"/>
      <c r="N1083" s="85"/>
      <c r="O1083" s="624"/>
      <c r="P1083" s="85"/>
      <c r="Q1083" s="626">
        <f t="shared" si="34"/>
        <v>0</v>
      </c>
      <c r="R1083" s="85"/>
      <c r="S1083" s="624"/>
      <c r="T1083" s="260"/>
      <c r="U1083" s="624"/>
      <c r="V1083" s="85"/>
      <c r="W1083" s="624"/>
      <c r="X1083" s="81"/>
      <c r="Y1083" s="80"/>
      <c r="Z1083" s="737">
        <f ca="1">MAX(0%,IF(Q1083&lt;&gt;0,MIN((S1083-Q1083)/Q1083/'Underwriting Risk'!$E$27,'Premium and Reserve Risk'!$Z$1076),'Premium and Reserve Risk'!$Z$1076))</f>
        <v>0.17</v>
      </c>
      <c r="AA1083" s="80"/>
      <c r="AB1083" s="80"/>
      <c r="AC1083" s="737">
        <f ca="1">MAX(0%,IF(U1083&lt;&gt;0,MIN((W1083-U1083)/U1083/'Underwriting Risk'!$E$27,'Premium and Reserve Risk'!$AC$1076),'Premium and Reserve Risk'!$AC$1076))</f>
        <v>0.2</v>
      </c>
      <c r="AD1083" s="81"/>
      <c r="AE1083" s="97"/>
      <c r="AF1083" s="97"/>
      <c r="AG1083" s="97"/>
      <c r="AH1083" s="97"/>
    </row>
    <row r="1084" spans="1:34" ht="13.5" customHeight="1" x14ac:dyDescent="0.25">
      <c r="A1084" s="97"/>
      <c r="B1084" s="257">
        <v>7</v>
      </c>
      <c r="C1084" s="652"/>
      <c r="D1084" s="80"/>
      <c r="E1084" s="80"/>
      <c r="F1084" s="258">
        <f t="shared" ca="1" si="35"/>
        <v>0</v>
      </c>
      <c r="G1084" s="624"/>
      <c r="H1084" s="85"/>
      <c r="I1084" s="624"/>
      <c r="J1084" s="85"/>
      <c r="K1084" s="624"/>
      <c r="L1084" s="85"/>
      <c r="M1084" s="624"/>
      <c r="N1084" s="85"/>
      <c r="O1084" s="624"/>
      <c r="P1084" s="85"/>
      <c r="Q1084" s="626">
        <f t="shared" si="34"/>
        <v>0</v>
      </c>
      <c r="R1084" s="85"/>
      <c r="S1084" s="624"/>
      <c r="T1084" s="260"/>
      <c r="U1084" s="624"/>
      <c r="V1084" s="85"/>
      <c r="W1084" s="624"/>
      <c r="X1084" s="81"/>
      <c r="Y1084" s="80"/>
      <c r="Z1084" s="737">
        <f ca="1">MAX(0%,IF(Q1084&lt;&gt;0,MIN((S1084-Q1084)/Q1084/'Underwriting Risk'!$E$27,'Premium and Reserve Risk'!$Z$1076),'Premium and Reserve Risk'!$Z$1076))</f>
        <v>0.17</v>
      </c>
      <c r="AA1084" s="80"/>
      <c r="AB1084" s="80"/>
      <c r="AC1084" s="737">
        <f ca="1">MAX(0%,IF(U1084&lt;&gt;0,MIN((W1084-U1084)/U1084/'Underwriting Risk'!$E$27,'Premium and Reserve Risk'!$AC$1076),'Premium and Reserve Risk'!$AC$1076))</f>
        <v>0.2</v>
      </c>
      <c r="AD1084" s="81"/>
      <c r="AE1084" s="97"/>
      <c r="AF1084" s="97"/>
      <c r="AG1084" s="97"/>
      <c r="AH1084" s="97"/>
    </row>
    <row r="1085" spans="1:34" ht="13.5" customHeight="1" x14ac:dyDescent="0.25">
      <c r="A1085" s="97"/>
      <c r="B1085" s="257">
        <v>8</v>
      </c>
      <c r="C1085" s="652"/>
      <c r="D1085" s="80"/>
      <c r="E1085" s="80"/>
      <c r="F1085" s="258">
        <f t="shared" ca="1" si="35"/>
        <v>0</v>
      </c>
      <c r="G1085" s="624"/>
      <c r="H1085" s="85"/>
      <c r="I1085" s="624"/>
      <c r="J1085" s="85"/>
      <c r="K1085" s="624"/>
      <c r="L1085" s="85"/>
      <c r="M1085" s="624"/>
      <c r="N1085" s="85"/>
      <c r="O1085" s="624"/>
      <c r="P1085" s="85"/>
      <c r="Q1085" s="626">
        <f t="shared" si="34"/>
        <v>0</v>
      </c>
      <c r="R1085" s="85"/>
      <c r="S1085" s="624"/>
      <c r="T1085" s="260"/>
      <c r="U1085" s="624"/>
      <c r="V1085" s="85"/>
      <c r="W1085" s="624"/>
      <c r="X1085" s="81"/>
      <c r="Y1085" s="80"/>
      <c r="Z1085" s="737">
        <f ca="1">MAX(0%,IF(Q1085&lt;&gt;0,MIN((S1085-Q1085)/Q1085/'Underwriting Risk'!$E$27,'Premium and Reserve Risk'!$Z$1076),'Premium and Reserve Risk'!$Z$1076))</f>
        <v>0.17</v>
      </c>
      <c r="AA1085" s="80"/>
      <c r="AB1085" s="80"/>
      <c r="AC1085" s="737">
        <f ca="1">MAX(0%,IF(U1085&lt;&gt;0,MIN((W1085-U1085)/U1085/'Underwriting Risk'!$E$27,'Premium and Reserve Risk'!$AC$1076),'Premium and Reserve Risk'!$AC$1076))</f>
        <v>0.2</v>
      </c>
      <c r="AD1085" s="81"/>
      <c r="AE1085" s="97"/>
      <c r="AF1085" s="97"/>
      <c r="AG1085" s="97"/>
      <c r="AH1085" s="97"/>
    </row>
    <row r="1086" spans="1:34" ht="13.5" customHeight="1" x14ac:dyDescent="0.25">
      <c r="A1086" s="97"/>
      <c r="B1086" s="257">
        <v>9</v>
      </c>
      <c r="C1086" s="652"/>
      <c r="D1086" s="80"/>
      <c r="E1086" s="80"/>
      <c r="F1086" s="258">
        <f t="shared" ca="1" si="35"/>
        <v>0</v>
      </c>
      <c r="G1086" s="624"/>
      <c r="H1086" s="85"/>
      <c r="I1086" s="624"/>
      <c r="J1086" s="85"/>
      <c r="K1086" s="624"/>
      <c r="L1086" s="85"/>
      <c r="M1086" s="624"/>
      <c r="N1086" s="85"/>
      <c r="O1086" s="624"/>
      <c r="P1086" s="85"/>
      <c r="Q1086" s="626">
        <f t="shared" si="34"/>
        <v>0</v>
      </c>
      <c r="R1086" s="85"/>
      <c r="S1086" s="624"/>
      <c r="T1086" s="260"/>
      <c r="U1086" s="624"/>
      <c r="V1086" s="85"/>
      <c r="W1086" s="624"/>
      <c r="X1086" s="81"/>
      <c r="Y1086" s="80"/>
      <c r="Z1086" s="737">
        <f ca="1">MAX(0%,IF(Q1086&lt;&gt;0,MIN((S1086-Q1086)/Q1086/'Underwriting Risk'!$E$27,'Premium and Reserve Risk'!$Z$1076),'Premium and Reserve Risk'!$Z$1076))</f>
        <v>0.17</v>
      </c>
      <c r="AA1086" s="80"/>
      <c r="AB1086" s="80"/>
      <c r="AC1086" s="737">
        <f ca="1">MAX(0%,IF(U1086&lt;&gt;0,MIN((W1086-U1086)/U1086/'Underwriting Risk'!$E$27,'Premium and Reserve Risk'!$AC$1076),'Premium and Reserve Risk'!$AC$1076))</f>
        <v>0.2</v>
      </c>
      <c r="AD1086" s="81"/>
      <c r="AE1086" s="97"/>
      <c r="AF1086" s="97"/>
      <c r="AG1086" s="97"/>
      <c r="AH1086" s="97"/>
    </row>
    <row r="1087" spans="1:34" ht="13.5" customHeight="1" x14ac:dyDescent="0.25">
      <c r="A1087" s="97"/>
      <c r="B1087" s="257">
        <v>10</v>
      </c>
      <c r="C1087" s="652"/>
      <c r="D1087" s="80"/>
      <c r="E1087" s="80"/>
      <c r="F1087" s="258">
        <f t="shared" ca="1" si="35"/>
        <v>0</v>
      </c>
      <c r="G1087" s="624"/>
      <c r="H1087" s="85"/>
      <c r="I1087" s="624"/>
      <c r="J1087" s="85"/>
      <c r="K1087" s="624"/>
      <c r="L1087" s="85"/>
      <c r="M1087" s="624"/>
      <c r="N1087" s="85"/>
      <c r="O1087" s="624"/>
      <c r="P1087" s="85"/>
      <c r="Q1087" s="626">
        <f t="shared" si="34"/>
        <v>0</v>
      </c>
      <c r="R1087" s="85"/>
      <c r="S1087" s="624"/>
      <c r="T1087" s="260"/>
      <c r="U1087" s="624"/>
      <c r="V1087" s="85"/>
      <c r="W1087" s="624"/>
      <c r="X1087" s="81"/>
      <c r="Y1087" s="80"/>
      <c r="Z1087" s="737">
        <f ca="1">MAX(0%,IF(Q1087&lt;&gt;0,MIN((S1087-Q1087)/Q1087/'Underwriting Risk'!$E$27,'Premium and Reserve Risk'!$Z$1076),'Premium and Reserve Risk'!$Z$1076))</f>
        <v>0.17</v>
      </c>
      <c r="AA1087" s="80"/>
      <c r="AB1087" s="80"/>
      <c r="AC1087" s="737">
        <f ca="1">MAX(0%,IF(U1087&lt;&gt;0,MIN((W1087-U1087)/U1087/'Underwriting Risk'!$E$27,'Premium and Reserve Risk'!$AC$1076),'Premium and Reserve Risk'!$AC$1076))</f>
        <v>0.2</v>
      </c>
      <c r="AD1087" s="81"/>
      <c r="AE1087" s="97"/>
      <c r="AF1087" s="97"/>
      <c r="AG1087" s="97"/>
      <c r="AH1087" s="97"/>
    </row>
    <row r="1088" spans="1:34" ht="13.5" customHeight="1" x14ac:dyDescent="0.25">
      <c r="A1088" s="97"/>
      <c r="B1088" s="257">
        <v>11</v>
      </c>
      <c r="C1088" s="652"/>
      <c r="D1088" s="80"/>
      <c r="E1088" s="80"/>
      <c r="F1088" s="258">
        <f t="shared" ca="1" si="35"/>
        <v>0</v>
      </c>
      <c r="G1088" s="624"/>
      <c r="H1088" s="85"/>
      <c r="I1088" s="624"/>
      <c r="J1088" s="85"/>
      <c r="K1088" s="624"/>
      <c r="L1088" s="85"/>
      <c r="M1088" s="624"/>
      <c r="N1088" s="85"/>
      <c r="O1088" s="624"/>
      <c r="P1088" s="85"/>
      <c r="Q1088" s="626">
        <f t="shared" si="34"/>
        <v>0</v>
      </c>
      <c r="R1088" s="85"/>
      <c r="S1088" s="624"/>
      <c r="T1088" s="260"/>
      <c r="U1088" s="624"/>
      <c r="V1088" s="85"/>
      <c r="W1088" s="624"/>
      <c r="X1088" s="81"/>
      <c r="Y1088" s="80"/>
      <c r="Z1088" s="737">
        <f ca="1">MAX(0%,IF(Q1088&lt;&gt;0,MIN((S1088-Q1088)/Q1088/'Underwriting Risk'!$E$27,'Premium and Reserve Risk'!$Z$1076),'Premium and Reserve Risk'!$Z$1076))</f>
        <v>0.17</v>
      </c>
      <c r="AA1088" s="80"/>
      <c r="AB1088" s="80"/>
      <c r="AC1088" s="737">
        <f ca="1">MAX(0%,IF(U1088&lt;&gt;0,MIN((W1088-U1088)/U1088/'Underwriting Risk'!$E$27,'Premium and Reserve Risk'!$AC$1076),'Premium and Reserve Risk'!$AC$1076))</f>
        <v>0.2</v>
      </c>
      <c r="AD1088" s="81"/>
      <c r="AE1088" s="97"/>
      <c r="AF1088" s="97"/>
      <c r="AG1088" s="97"/>
      <c r="AH1088" s="97"/>
    </row>
    <row r="1089" spans="1:34" ht="13.5" customHeight="1" x14ac:dyDescent="0.25">
      <c r="A1089" s="97"/>
      <c r="B1089" s="257">
        <v>12</v>
      </c>
      <c r="C1089" s="652"/>
      <c r="D1089" s="80"/>
      <c r="E1089" s="80"/>
      <c r="F1089" s="258">
        <f t="shared" ca="1" si="35"/>
        <v>0</v>
      </c>
      <c r="G1089" s="624"/>
      <c r="H1089" s="85"/>
      <c r="I1089" s="624"/>
      <c r="J1089" s="85"/>
      <c r="K1089" s="624"/>
      <c r="L1089" s="85"/>
      <c r="M1089" s="624"/>
      <c r="N1089" s="85"/>
      <c r="O1089" s="624"/>
      <c r="P1089" s="85"/>
      <c r="Q1089" s="626">
        <f t="shared" si="34"/>
        <v>0</v>
      </c>
      <c r="R1089" s="85"/>
      <c r="S1089" s="624"/>
      <c r="T1089" s="260"/>
      <c r="U1089" s="624"/>
      <c r="V1089" s="85"/>
      <c r="W1089" s="624"/>
      <c r="X1089" s="81"/>
      <c r="Y1089" s="80"/>
      <c r="Z1089" s="737">
        <f ca="1">MAX(0%,IF(Q1089&lt;&gt;0,MIN((S1089-Q1089)/Q1089/'Underwriting Risk'!$E$27,'Premium and Reserve Risk'!$Z$1076),'Premium and Reserve Risk'!$Z$1076))</f>
        <v>0.17</v>
      </c>
      <c r="AA1089" s="80"/>
      <c r="AB1089" s="80"/>
      <c r="AC1089" s="737">
        <f ca="1">MAX(0%,IF(U1089&lt;&gt;0,MIN((W1089-U1089)/U1089/'Underwriting Risk'!$E$27,'Premium and Reserve Risk'!$AC$1076),'Premium and Reserve Risk'!$AC$1076))</f>
        <v>0.2</v>
      </c>
      <c r="AD1089" s="81"/>
      <c r="AE1089" s="97"/>
      <c r="AF1089" s="97"/>
      <c r="AG1089" s="97"/>
      <c r="AH1089" s="97"/>
    </row>
    <row r="1090" spans="1:34" ht="13.5" customHeight="1" x14ac:dyDescent="0.25">
      <c r="A1090" s="97"/>
      <c r="B1090" s="257">
        <v>13</v>
      </c>
      <c r="C1090" s="652"/>
      <c r="D1090" s="80"/>
      <c r="E1090" s="80"/>
      <c r="F1090" s="258">
        <f t="shared" ca="1" si="35"/>
        <v>0</v>
      </c>
      <c r="G1090" s="624"/>
      <c r="H1090" s="85"/>
      <c r="I1090" s="624"/>
      <c r="J1090" s="85"/>
      <c r="K1090" s="624"/>
      <c r="L1090" s="85"/>
      <c r="M1090" s="624"/>
      <c r="N1090" s="85"/>
      <c r="O1090" s="624"/>
      <c r="P1090" s="85"/>
      <c r="Q1090" s="626">
        <f t="shared" si="34"/>
        <v>0</v>
      </c>
      <c r="R1090" s="85"/>
      <c r="S1090" s="624"/>
      <c r="T1090" s="260"/>
      <c r="U1090" s="624"/>
      <c r="V1090" s="85"/>
      <c r="W1090" s="624"/>
      <c r="X1090" s="81"/>
      <c r="Y1090" s="80"/>
      <c r="Z1090" s="737">
        <f ca="1">MAX(0%,IF(Q1090&lt;&gt;0,MIN((S1090-Q1090)/Q1090/'Underwriting Risk'!$E$27,'Premium and Reserve Risk'!$Z$1076),'Premium and Reserve Risk'!$Z$1076))</f>
        <v>0.17</v>
      </c>
      <c r="AA1090" s="80"/>
      <c r="AB1090" s="80"/>
      <c r="AC1090" s="737">
        <f ca="1">MAX(0%,IF(U1090&lt;&gt;0,MIN((W1090-U1090)/U1090/'Underwriting Risk'!$E$27,'Premium and Reserve Risk'!$AC$1076),'Premium and Reserve Risk'!$AC$1076))</f>
        <v>0.2</v>
      </c>
      <c r="AD1090" s="81"/>
      <c r="AE1090" s="97"/>
      <c r="AF1090" s="97"/>
      <c r="AG1090" s="97"/>
      <c r="AH1090" s="97"/>
    </row>
    <row r="1091" spans="1:34" ht="13.5" customHeight="1" x14ac:dyDescent="0.25">
      <c r="A1091" s="97"/>
      <c r="B1091" s="257">
        <v>14</v>
      </c>
      <c r="C1091" s="652"/>
      <c r="D1091" s="80"/>
      <c r="E1091" s="80"/>
      <c r="F1091" s="258">
        <f t="shared" ca="1" si="35"/>
        <v>0</v>
      </c>
      <c r="G1091" s="624"/>
      <c r="H1091" s="85"/>
      <c r="I1091" s="624"/>
      <c r="J1091" s="85"/>
      <c r="K1091" s="624"/>
      <c r="L1091" s="85"/>
      <c r="M1091" s="624"/>
      <c r="N1091" s="85"/>
      <c r="O1091" s="624"/>
      <c r="P1091" s="85"/>
      <c r="Q1091" s="626">
        <f t="shared" si="34"/>
        <v>0</v>
      </c>
      <c r="R1091" s="85"/>
      <c r="S1091" s="624"/>
      <c r="T1091" s="260"/>
      <c r="U1091" s="624"/>
      <c r="V1091" s="85"/>
      <c r="W1091" s="624"/>
      <c r="X1091" s="81"/>
      <c r="Y1091" s="80"/>
      <c r="Z1091" s="737">
        <f ca="1">MAX(0%,IF(Q1091&lt;&gt;0,MIN((S1091-Q1091)/Q1091/'Underwriting Risk'!$E$27,'Premium and Reserve Risk'!$Z$1076),'Premium and Reserve Risk'!$Z$1076))</f>
        <v>0.17</v>
      </c>
      <c r="AA1091" s="80"/>
      <c r="AB1091" s="80"/>
      <c r="AC1091" s="737">
        <f ca="1">MAX(0%,IF(U1091&lt;&gt;0,MIN((W1091-U1091)/U1091/'Underwriting Risk'!$E$27,'Premium and Reserve Risk'!$AC$1076),'Premium and Reserve Risk'!$AC$1076))</f>
        <v>0.2</v>
      </c>
      <c r="AD1091" s="81"/>
      <c r="AE1091" s="97"/>
      <c r="AF1091" s="97"/>
      <c r="AG1091" s="97"/>
      <c r="AH1091" s="97"/>
    </row>
    <row r="1092" spans="1:34" ht="13.5" customHeight="1" x14ac:dyDescent="0.25">
      <c r="A1092" s="97"/>
      <c r="B1092" s="257">
        <v>15</v>
      </c>
      <c r="C1092" s="652"/>
      <c r="D1092" s="80"/>
      <c r="E1092" s="80"/>
      <c r="F1092" s="258">
        <f t="shared" ca="1" si="35"/>
        <v>0</v>
      </c>
      <c r="G1092" s="624"/>
      <c r="H1092" s="85"/>
      <c r="I1092" s="624"/>
      <c r="J1092" s="85"/>
      <c r="K1092" s="624"/>
      <c r="L1092" s="85"/>
      <c r="M1092" s="624"/>
      <c r="N1092" s="85"/>
      <c r="O1092" s="624"/>
      <c r="P1092" s="85"/>
      <c r="Q1092" s="626">
        <f t="shared" si="34"/>
        <v>0</v>
      </c>
      <c r="R1092" s="85"/>
      <c r="S1092" s="624"/>
      <c r="T1092" s="260"/>
      <c r="U1092" s="624"/>
      <c r="V1092" s="85"/>
      <c r="W1092" s="624"/>
      <c r="X1092" s="81"/>
      <c r="Y1092" s="80"/>
      <c r="Z1092" s="737">
        <f ca="1">MAX(0%,IF(Q1092&lt;&gt;0,MIN((S1092-Q1092)/Q1092/'Underwriting Risk'!$E$27,'Premium and Reserve Risk'!$Z$1076),'Premium and Reserve Risk'!$Z$1076))</f>
        <v>0.17</v>
      </c>
      <c r="AA1092" s="80"/>
      <c r="AB1092" s="80"/>
      <c r="AC1092" s="737">
        <f ca="1">MAX(0%,IF(U1092&lt;&gt;0,MIN((W1092-U1092)/U1092/'Underwriting Risk'!$E$27,'Premium and Reserve Risk'!$AC$1076),'Premium and Reserve Risk'!$AC$1076))</f>
        <v>0.2</v>
      </c>
      <c r="AD1092" s="81"/>
      <c r="AE1092" s="97"/>
      <c r="AF1092" s="97"/>
      <c r="AG1092" s="97"/>
      <c r="AH1092" s="97"/>
    </row>
    <row r="1093" spans="1:34" ht="13.5" customHeight="1" x14ac:dyDescent="0.25">
      <c r="A1093" s="97"/>
      <c r="B1093" s="257">
        <v>16</v>
      </c>
      <c r="C1093" s="652"/>
      <c r="D1093" s="80"/>
      <c r="E1093" s="80"/>
      <c r="F1093" s="258">
        <f t="shared" ca="1" si="35"/>
        <v>0</v>
      </c>
      <c r="G1093" s="624"/>
      <c r="H1093" s="85"/>
      <c r="I1093" s="624"/>
      <c r="J1093" s="85"/>
      <c r="K1093" s="624"/>
      <c r="L1093" s="85"/>
      <c r="M1093" s="624"/>
      <c r="N1093" s="85"/>
      <c r="O1093" s="624"/>
      <c r="P1093" s="85"/>
      <c r="Q1093" s="626">
        <f t="shared" si="34"/>
        <v>0</v>
      </c>
      <c r="R1093" s="85"/>
      <c r="S1093" s="624"/>
      <c r="T1093" s="260"/>
      <c r="U1093" s="624"/>
      <c r="V1093" s="85"/>
      <c r="W1093" s="624"/>
      <c r="X1093" s="81"/>
      <c r="Y1093" s="80"/>
      <c r="Z1093" s="737">
        <f ca="1">MAX(0%,IF(Q1093&lt;&gt;0,MIN((S1093-Q1093)/Q1093/'Underwriting Risk'!$E$27,'Premium and Reserve Risk'!$Z$1076),'Premium and Reserve Risk'!$Z$1076))</f>
        <v>0.17</v>
      </c>
      <c r="AA1093" s="80"/>
      <c r="AB1093" s="80"/>
      <c r="AC1093" s="737">
        <f ca="1">MAX(0%,IF(U1093&lt;&gt;0,MIN((W1093-U1093)/U1093/'Underwriting Risk'!$E$27,'Premium and Reserve Risk'!$AC$1076),'Premium and Reserve Risk'!$AC$1076))</f>
        <v>0.2</v>
      </c>
      <c r="AD1093" s="81"/>
      <c r="AE1093" s="97"/>
      <c r="AF1093" s="97"/>
      <c r="AG1093" s="97"/>
      <c r="AH1093" s="97"/>
    </row>
    <row r="1094" spans="1:34" ht="13.5" customHeight="1" x14ac:dyDescent="0.25">
      <c r="A1094" s="97"/>
      <c r="B1094" s="257">
        <v>17</v>
      </c>
      <c r="C1094" s="652"/>
      <c r="D1094" s="80"/>
      <c r="E1094" s="80"/>
      <c r="F1094" s="258">
        <f t="shared" ca="1" si="35"/>
        <v>0</v>
      </c>
      <c r="G1094" s="624"/>
      <c r="H1094" s="85"/>
      <c r="I1094" s="624"/>
      <c r="J1094" s="85"/>
      <c r="K1094" s="624"/>
      <c r="L1094" s="85"/>
      <c r="M1094" s="624"/>
      <c r="N1094" s="85"/>
      <c r="O1094" s="624"/>
      <c r="P1094" s="85"/>
      <c r="Q1094" s="626">
        <f t="shared" si="34"/>
        <v>0</v>
      </c>
      <c r="R1094" s="85"/>
      <c r="S1094" s="624"/>
      <c r="T1094" s="260"/>
      <c r="U1094" s="624"/>
      <c r="V1094" s="85"/>
      <c r="W1094" s="624"/>
      <c r="X1094" s="81"/>
      <c r="Y1094" s="80"/>
      <c r="Z1094" s="737">
        <f ca="1">MAX(0%,IF(Q1094&lt;&gt;0,MIN((S1094-Q1094)/Q1094/'Underwriting Risk'!$E$27,'Premium and Reserve Risk'!$Z$1076),'Premium and Reserve Risk'!$Z$1076))</f>
        <v>0.17</v>
      </c>
      <c r="AA1094" s="80"/>
      <c r="AB1094" s="80"/>
      <c r="AC1094" s="737">
        <f ca="1">MAX(0%,IF(U1094&lt;&gt;0,MIN((W1094-U1094)/U1094/'Underwriting Risk'!$E$27,'Premium and Reserve Risk'!$AC$1076),'Premium and Reserve Risk'!$AC$1076))</f>
        <v>0.2</v>
      </c>
      <c r="AD1094" s="81"/>
      <c r="AE1094" s="97"/>
      <c r="AF1094" s="97"/>
      <c r="AG1094" s="97"/>
      <c r="AH1094" s="97"/>
    </row>
    <row r="1095" spans="1:34" ht="13.5" customHeight="1" x14ac:dyDescent="0.25">
      <c r="A1095" s="97"/>
      <c r="B1095" s="257">
        <v>18</v>
      </c>
      <c r="C1095" s="652"/>
      <c r="D1095" s="80"/>
      <c r="E1095" s="80"/>
      <c r="F1095" s="258">
        <f t="shared" ca="1" si="35"/>
        <v>0</v>
      </c>
      <c r="G1095" s="624"/>
      <c r="H1095" s="85"/>
      <c r="I1095" s="624"/>
      <c r="J1095" s="85"/>
      <c r="K1095" s="624"/>
      <c r="L1095" s="85"/>
      <c r="M1095" s="624"/>
      <c r="N1095" s="85"/>
      <c r="O1095" s="624"/>
      <c r="P1095" s="85"/>
      <c r="Q1095" s="626">
        <f t="shared" si="34"/>
        <v>0</v>
      </c>
      <c r="R1095" s="85"/>
      <c r="S1095" s="624"/>
      <c r="T1095" s="260"/>
      <c r="U1095" s="624"/>
      <c r="V1095" s="85"/>
      <c r="W1095" s="624"/>
      <c r="X1095" s="81"/>
      <c r="Y1095" s="80"/>
      <c r="Z1095" s="737">
        <f ca="1">MAX(0%,IF(Q1095&lt;&gt;0,MIN((S1095-Q1095)/Q1095/'Underwriting Risk'!$E$27,'Premium and Reserve Risk'!$Z$1076),'Premium and Reserve Risk'!$Z$1076))</f>
        <v>0.17</v>
      </c>
      <c r="AA1095" s="80"/>
      <c r="AB1095" s="80"/>
      <c r="AC1095" s="737">
        <f ca="1">MAX(0%,IF(U1095&lt;&gt;0,MIN((W1095-U1095)/U1095/'Underwriting Risk'!$E$27,'Premium and Reserve Risk'!$AC$1076),'Premium and Reserve Risk'!$AC$1076))</f>
        <v>0.2</v>
      </c>
      <c r="AD1095" s="81"/>
      <c r="AE1095" s="97"/>
      <c r="AF1095" s="97"/>
      <c r="AG1095" s="97"/>
      <c r="AH1095" s="97"/>
    </row>
    <row r="1096" spans="1:34" ht="13.5" customHeight="1" x14ac:dyDescent="0.25">
      <c r="A1096" s="97"/>
      <c r="B1096" s="257">
        <v>19</v>
      </c>
      <c r="C1096" s="652"/>
      <c r="D1096" s="80"/>
      <c r="E1096" s="80"/>
      <c r="F1096" s="258">
        <f t="shared" ca="1" si="35"/>
        <v>0</v>
      </c>
      <c r="G1096" s="624"/>
      <c r="H1096" s="85"/>
      <c r="I1096" s="624"/>
      <c r="J1096" s="85"/>
      <c r="K1096" s="624"/>
      <c r="L1096" s="85"/>
      <c r="M1096" s="624"/>
      <c r="N1096" s="85"/>
      <c r="O1096" s="624"/>
      <c r="P1096" s="85"/>
      <c r="Q1096" s="626">
        <f t="shared" si="34"/>
        <v>0</v>
      </c>
      <c r="R1096" s="85"/>
      <c r="S1096" s="624"/>
      <c r="T1096" s="260"/>
      <c r="U1096" s="624"/>
      <c r="V1096" s="85"/>
      <c r="W1096" s="624"/>
      <c r="X1096" s="81"/>
      <c r="Y1096" s="80"/>
      <c r="Z1096" s="737">
        <f ca="1">MAX(0%,IF(Q1096&lt;&gt;0,MIN((S1096-Q1096)/Q1096/'Underwriting Risk'!$E$27,'Premium and Reserve Risk'!$Z$1076),'Premium and Reserve Risk'!$Z$1076))</f>
        <v>0.17</v>
      </c>
      <c r="AA1096" s="80"/>
      <c r="AB1096" s="80"/>
      <c r="AC1096" s="737">
        <f ca="1">MAX(0%,IF(U1096&lt;&gt;0,MIN((W1096-U1096)/U1096/'Underwriting Risk'!$E$27,'Premium and Reserve Risk'!$AC$1076),'Premium and Reserve Risk'!$AC$1076))</f>
        <v>0.2</v>
      </c>
      <c r="AD1096" s="81"/>
      <c r="AE1096" s="97"/>
      <c r="AF1096" s="97"/>
      <c r="AG1096" s="97"/>
      <c r="AH1096" s="97"/>
    </row>
    <row r="1097" spans="1:34" ht="13.5" customHeight="1" x14ac:dyDescent="0.25">
      <c r="A1097" s="97"/>
      <c r="B1097" s="257">
        <v>20</v>
      </c>
      <c r="C1097" s="652"/>
      <c r="D1097" s="80"/>
      <c r="E1097" s="80"/>
      <c r="F1097" s="258">
        <f t="shared" ca="1" si="35"/>
        <v>0</v>
      </c>
      <c r="G1097" s="624"/>
      <c r="H1097" s="85"/>
      <c r="I1097" s="624"/>
      <c r="J1097" s="85"/>
      <c r="K1097" s="624"/>
      <c r="L1097" s="85"/>
      <c r="M1097" s="624"/>
      <c r="N1097" s="85"/>
      <c r="O1097" s="624"/>
      <c r="P1097" s="85"/>
      <c r="Q1097" s="626">
        <f t="shared" si="34"/>
        <v>0</v>
      </c>
      <c r="R1097" s="85"/>
      <c r="S1097" s="624"/>
      <c r="T1097" s="260"/>
      <c r="U1097" s="624"/>
      <c r="V1097" s="85"/>
      <c r="W1097" s="624"/>
      <c r="X1097" s="81"/>
      <c r="Y1097" s="80"/>
      <c r="Z1097" s="737">
        <f ca="1">MAX(0%,IF(Q1097&lt;&gt;0,MIN((S1097-Q1097)/Q1097/'Underwriting Risk'!$E$27,'Premium and Reserve Risk'!$Z$1076),'Premium and Reserve Risk'!$Z$1076))</f>
        <v>0.17</v>
      </c>
      <c r="AA1097" s="80"/>
      <c r="AB1097" s="80"/>
      <c r="AC1097" s="737">
        <f ca="1">MAX(0%,IF(U1097&lt;&gt;0,MIN((W1097-U1097)/U1097/'Underwriting Risk'!$E$27,'Premium and Reserve Risk'!$AC$1076),'Premium and Reserve Risk'!$AC$1076))</f>
        <v>0.2</v>
      </c>
      <c r="AD1097" s="81"/>
      <c r="AE1097" s="97"/>
      <c r="AF1097" s="97"/>
      <c r="AG1097" s="97"/>
      <c r="AH1097" s="97"/>
    </row>
    <row r="1098" spans="1:34" ht="13.5" customHeight="1" x14ac:dyDescent="0.25">
      <c r="A1098" s="97"/>
      <c r="B1098" s="257">
        <v>21</v>
      </c>
      <c r="C1098" s="652"/>
      <c r="D1098" s="80"/>
      <c r="E1098" s="80"/>
      <c r="F1098" s="258">
        <f t="shared" ca="1" si="35"/>
        <v>0</v>
      </c>
      <c r="G1098" s="624"/>
      <c r="H1098" s="85"/>
      <c r="I1098" s="624"/>
      <c r="J1098" s="85"/>
      <c r="K1098" s="624"/>
      <c r="L1098" s="85"/>
      <c r="M1098" s="624"/>
      <c r="N1098" s="85"/>
      <c r="O1098" s="624"/>
      <c r="P1098" s="85"/>
      <c r="Q1098" s="626">
        <f t="shared" si="34"/>
        <v>0</v>
      </c>
      <c r="R1098" s="85"/>
      <c r="S1098" s="624"/>
      <c r="T1098" s="260"/>
      <c r="U1098" s="624"/>
      <c r="V1098" s="85"/>
      <c r="W1098" s="624"/>
      <c r="X1098" s="81"/>
      <c r="Y1098" s="80"/>
      <c r="Z1098" s="737">
        <f ca="1">MAX(0%,IF(Q1098&lt;&gt;0,MIN((S1098-Q1098)/Q1098/'Underwriting Risk'!$E$27,'Premium and Reserve Risk'!$Z$1076),'Premium and Reserve Risk'!$Z$1076))</f>
        <v>0.17</v>
      </c>
      <c r="AA1098" s="80"/>
      <c r="AB1098" s="80"/>
      <c r="AC1098" s="737">
        <f ca="1">MAX(0%,IF(U1098&lt;&gt;0,MIN((W1098-U1098)/U1098/'Underwriting Risk'!$E$27,'Premium and Reserve Risk'!$AC$1076),'Premium and Reserve Risk'!$AC$1076))</f>
        <v>0.2</v>
      </c>
      <c r="AD1098" s="81"/>
      <c r="AE1098" s="97"/>
      <c r="AF1098" s="97"/>
      <c r="AG1098" s="97"/>
      <c r="AH1098" s="97"/>
    </row>
    <row r="1099" spans="1:34" ht="13.5" customHeight="1" x14ac:dyDescent="0.25">
      <c r="A1099" s="97"/>
      <c r="B1099" s="257">
        <v>22</v>
      </c>
      <c r="C1099" s="652"/>
      <c r="D1099" s="80"/>
      <c r="E1099" s="80"/>
      <c r="F1099" s="258">
        <f t="shared" ca="1" si="35"/>
        <v>0</v>
      </c>
      <c r="G1099" s="624"/>
      <c r="H1099" s="85"/>
      <c r="I1099" s="624"/>
      <c r="J1099" s="85"/>
      <c r="K1099" s="624"/>
      <c r="L1099" s="85"/>
      <c r="M1099" s="624"/>
      <c r="N1099" s="85"/>
      <c r="O1099" s="624"/>
      <c r="P1099" s="85"/>
      <c r="Q1099" s="626">
        <f t="shared" si="34"/>
        <v>0</v>
      </c>
      <c r="R1099" s="85"/>
      <c r="S1099" s="624"/>
      <c r="T1099" s="260"/>
      <c r="U1099" s="624"/>
      <c r="V1099" s="85"/>
      <c r="W1099" s="624"/>
      <c r="X1099" s="81"/>
      <c r="Y1099" s="80"/>
      <c r="Z1099" s="737">
        <f ca="1">MAX(0%,IF(Q1099&lt;&gt;0,MIN((S1099-Q1099)/Q1099/'Underwriting Risk'!$E$27,'Premium and Reserve Risk'!$Z$1076),'Premium and Reserve Risk'!$Z$1076))</f>
        <v>0.17</v>
      </c>
      <c r="AA1099" s="80"/>
      <c r="AB1099" s="80"/>
      <c r="AC1099" s="737">
        <f ca="1">MAX(0%,IF(U1099&lt;&gt;0,MIN((W1099-U1099)/U1099/'Underwriting Risk'!$E$27,'Premium and Reserve Risk'!$AC$1076),'Premium and Reserve Risk'!$AC$1076))</f>
        <v>0.2</v>
      </c>
      <c r="AD1099" s="81"/>
      <c r="AE1099" s="97"/>
      <c r="AF1099" s="97"/>
      <c r="AG1099" s="97"/>
      <c r="AH1099" s="97"/>
    </row>
    <row r="1100" spans="1:34" ht="13.5" customHeight="1" x14ac:dyDescent="0.25">
      <c r="A1100" s="97"/>
      <c r="B1100" s="257">
        <v>23</v>
      </c>
      <c r="C1100" s="652"/>
      <c r="D1100" s="80"/>
      <c r="E1100" s="80"/>
      <c r="F1100" s="258">
        <f t="shared" ca="1" si="35"/>
        <v>0</v>
      </c>
      <c r="G1100" s="624"/>
      <c r="H1100" s="85"/>
      <c r="I1100" s="624"/>
      <c r="J1100" s="85"/>
      <c r="K1100" s="624"/>
      <c r="L1100" s="85"/>
      <c r="M1100" s="624"/>
      <c r="N1100" s="85"/>
      <c r="O1100" s="624"/>
      <c r="P1100" s="85"/>
      <c r="Q1100" s="626">
        <f t="shared" si="34"/>
        <v>0</v>
      </c>
      <c r="R1100" s="85"/>
      <c r="S1100" s="624"/>
      <c r="T1100" s="260"/>
      <c r="U1100" s="624"/>
      <c r="V1100" s="85"/>
      <c r="W1100" s="624"/>
      <c r="X1100" s="81"/>
      <c r="Y1100" s="80"/>
      <c r="Z1100" s="737">
        <f ca="1">MAX(0%,IF(Q1100&lt;&gt;0,MIN((S1100-Q1100)/Q1100/'Underwriting Risk'!$E$27,'Premium and Reserve Risk'!$Z$1076),'Premium and Reserve Risk'!$Z$1076))</f>
        <v>0.17</v>
      </c>
      <c r="AA1100" s="80"/>
      <c r="AB1100" s="80"/>
      <c r="AC1100" s="737">
        <f ca="1">MAX(0%,IF(U1100&lt;&gt;0,MIN((W1100-U1100)/U1100/'Underwriting Risk'!$E$27,'Premium and Reserve Risk'!$AC$1076),'Premium and Reserve Risk'!$AC$1076))</f>
        <v>0.2</v>
      </c>
      <c r="AD1100" s="81"/>
      <c r="AE1100" s="97"/>
      <c r="AF1100" s="97"/>
      <c r="AG1100" s="97"/>
      <c r="AH1100" s="97"/>
    </row>
    <row r="1101" spans="1:34" ht="13.5" customHeight="1" x14ac:dyDescent="0.25">
      <c r="A1101" s="97"/>
      <c r="B1101" s="257">
        <v>24</v>
      </c>
      <c r="C1101" s="652"/>
      <c r="D1101" s="80"/>
      <c r="E1101" s="80"/>
      <c r="F1101" s="258">
        <f t="shared" ca="1" si="35"/>
        <v>0</v>
      </c>
      <c r="G1101" s="624"/>
      <c r="H1101" s="85"/>
      <c r="I1101" s="624"/>
      <c r="J1101" s="85"/>
      <c r="K1101" s="624"/>
      <c r="L1101" s="85"/>
      <c r="M1101" s="624"/>
      <c r="N1101" s="85"/>
      <c r="O1101" s="624"/>
      <c r="P1101" s="85"/>
      <c r="Q1101" s="626">
        <f t="shared" si="34"/>
        <v>0</v>
      </c>
      <c r="R1101" s="85"/>
      <c r="S1101" s="624"/>
      <c r="T1101" s="260"/>
      <c r="U1101" s="624"/>
      <c r="V1101" s="85"/>
      <c r="W1101" s="624"/>
      <c r="X1101" s="81"/>
      <c r="Y1101" s="80"/>
      <c r="Z1101" s="737">
        <f ca="1">MAX(0%,IF(Q1101&lt;&gt;0,MIN((S1101-Q1101)/Q1101/'Underwriting Risk'!$E$27,'Premium and Reserve Risk'!$Z$1076),'Premium and Reserve Risk'!$Z$1076))</f>
        <v>0.17</v>
      </c>
      <c r="AA1101" s="80"/>
      <c r="AB1101" s="80"/>
      <c r="AC1101" s="737">
        <f ca="1">MAX(0%,IF(U1101&lt;&gt;0,MIN((W1101-U1101)/U1101/'Underwriting Risk'!$E$27,'Premium and Reserve Risk'!$AC$1076),'Premium and Reserve Risk'!$AC$1076))</f>
        <v>0.2</v>
      </c>
      <c r="AD1101" s="81"/>
      <c r="AE1101" s="97"/>
      <c r="AF1101" s="97"/>
      <c r="AG1101" s="97"/>
      <c r="AH1101" s="97"/>
    </row>
    <row r="1102" spans="1:34" ht="13.5" customHeight="1" x14ac:dyDescent="0.25">
      <c r="A1102" s="97"/>
      <c r="B1102" s="257">
        <v>25</v>
      </c>
      <c r="C1102" s="652"/>
      <c r="D1102" s="80"/>
      <c r="E1102" s="80"/>
      <c r="F1102" s="258">
        <f t="shared" ca="1" si="35"/>
        <v>0</v>
      </c>
      <c r="G1102" s="624"/>
      <c r="H1102" s="85"/>
      <c r="I1102" s="624"/>
      <c r="J1102" s="85"/>
      <c r="K1102" s="624"/>
      <c r="L1102" s="85"/>
      <c r="M1102" s="624"/>
      <c r="N1102" s="85"/>
      <c r="O1102" s="624"/>
      <c r="P1102" s="85"/>
      <c r="Q1102" s="626">
        <f t="shared" si="34"/>
        <v>0</v>
      </c>
      <c r="R1102" s="85"/>
      <c r="S1102" s="624"/>
      <c r="T1102" s="260"/>
      <c r="U1102" s="624"/>
      <c r="V1102" s="85"/>
      <c r="W1102" s="624"/>
      <c r="X1102" s="81"/>
      <c r="Y1102" s="80"/>
      <c r="Z1102" s="737">
        <f ca="1">MAX(0%,IF(Q1102&lt;&gt;0,MIN((S1102-Q1102)/Q1102/'Underwriting Risk'!$E$27,'Premium and Reserve Risk'!$Z$1076),'Premium and Reserve Risk'!$Z$1076))</f>
        <v>0.17</v>
      </c>
      <c r="AA1102" s="80"/>
      <c r="AB1102" s="80"/>
      <c r="AC1102" s="737">
        <f ca="1">MAX(0%,IF(U1102&lt;&gt;0,MIN((W1102-U1102)/U1102/'Underwriting Risk'!$E$27,'Premium and Reserve Risk'!$AC$1076),'Premium and Reserve Risk'!$AC$1076))</f>
        <v>0.2</v>
      </c>
      <c r="AD1102" s="81"/>
      <c r="AE1102" s="97"/>
      <c r="AF1102" s="97"/>
      <c r="AG1102" s="97"/>
      <c r="AH1102" s="97"/>
    </row>
    <row r="1103" spans="1:34" ht="13.5" customHeight="1" x14ac:dyDescent="0.25">
      <c r="A1103" s="97"/>
      <c r="B1103" s="257">
        <v>26</v>
      </c>
      <c r="C1103" s="652"/>
      <c r="D1103" s="80"/>
      <c r="E1103" s="80"/>
      <c r="F1103" s="258">
        <f t="shared" ca="1" si="35"/>
        <v>0</v>
      </c>
      <c r="G1103" s="624"/>
      <c r="H1103" s="85"/>
      <c r="I1103" s="624"/>
      <c r="J1103" s="85"/>
      <c r="K1103" s="624"/>
      <c r="L1103" s="85"/>
      <c r="M1103" s="624"/>
      <c r="N1103" s="85"/>
      <c r="O1103" s="624"/>
      <c r="P1103" s="85"/>
      <c r="Q1103" s="626">
        <f t="shared" si="34"/>
        <v>0</v>
      </c>
      <c r="R1103" s="85"/>
      <c r="S1103" s="624"/>
      <c r="T1103" s="260"/>
      <c r="U1103" s="624"/>
      <c r="V1103" s="85"/>
      <c r="W1103" s="624"/>
      <c r="X1103" s="81"/>
      <c r="Y1103" s="80"/>
      <c r="Z1103" s="737">
        <f ca="1">MAX(0%,IF(Q1103&lt;&gt;0,MIN((S1103-Q1103)/Q1103/'Underwriting Risk'!$E$27,'Premium and Reserve Risk'!$Z$1076),'Premium and Reserve Risk'!$Z$1076))</f>
        <v>0.17</v>
      </c>
      <c r="AA1103" s="80"/>
      <c r="AB1103" s="80"/>
      <c r="AC1103" s="737">
        <f ca="1">MAX(0%,IF(U1103&lt;&gt;0,MIN((W1103-U1103)/U1103/'Underwriting Risk'!$E$27,'Premium and Reserve Risk'!$AC$1076),'Premium and Reserve Risk'!$AC$1076))</f>
        <v>0.2</v>
      </c>
      <c r="AD1103" s="81"/>
      <c r="AE1103" s="97"/>
      <c r="AF1103" s="97"/>
      <c r="AG1103" s="97"/>
      <c r="AH1103" s="97"/>
    </row>
    <row r="1104" spans="1:34" ht="13.5" customHeight="1" x14ac:dyDescent="0.25">
      <c r="A1104" s="97"/>
      <c r="B1104" s="257">
        <v>27</v>
      </c>
      <c r="C1104" s="652"/>
      <c r="D1104" s="80"/>
      <c r="E1104" s="80"/>
      <c r="F1104" s="258">
        <f t="shared" ca="1" si="35"/>
        <v>0</v>
      </c>
      <c r="G1104" s="624"/>
      <c r="H1104" s="85"/>
      <c r="I1104" s="624"/>
      <c r="J1104" s="85"/>
      <c r="K1104" s="624"/>
      <c r="L1104" s="85"/>
      <c r="M1104" s="624"/>
      <c r="N1104" s="85"/>
      <c r="O1104" s="624"/>
      <c r="P1104" s="85"/>
      <c r="Q1104" s="626">
        <f t="shared" si="34"/>
        <v>0</v>
      </c>
      <c r="R1104" s="85"/>
      <c r="S1104" s="624"/>
      <c r="T1104" s="260"/>
      <c r="U1104" s="624"/>
      <c r="V1104" s="85"/>
      <c r="W1104" s="624"/>
      <c r="X1104" s="81"/>
      <c r="Y1104" s="80"/>
      <c r="Z1104" s="737">
        <f ca="1">MAX(0%,IF(Q1104&lt;&gt;0,MIN((S1104-Q1104)/Q1104/'Underwriting Risk'!$E$27,'Premium and Reserve Risk'!$Z$1076),'Premium and Reserve Risk'!$Z$1076))</f>
        <v>0.17</v>
      </c>
      <c r="AA1104" s="80"/>
      <c r="AB1104" s="80"/>
      <c r="AC1104" s="737">
        <f ca="1">MAX(0%,IF(U1104&lt;&gt;0,MIN((W1104-U1104)/U1104/'Underwriting Risk'!$E$27,'Premium and Reserve Risk'!$AC$1076),'Premium and Reserve Risk'!$AC$1076))</f>
        <v>0.2</v>
      </c>
      <c r="AD1104" s="81"/>
      <c r="AE1104" s="97"/>
      <c r="AF1104" s="97"/>
      <c r="AG1104" s="97"/>
      <c r="AH1104" s="97"/>
    </row>
    <row r="1105" spans="1:34" ht="13.5" customHeight="1" x14ac:dyDescent="0.25">
      <c r="A1105" s="97"/>
      <c r="B1105" s="257">
        <v>28</v>
      </c>
      <c r="C1105" s="652"/>
      <c r="D1105" s="80"/>
      <c r="E1105" s="80"/>
      <c r="F1105" s="258">
        <f t="shared" ca="1" si="35"/>
        <v>0</v>
      </c>
      <c r="G1105" s="624"/>
      <c r="H1105" s="85"/>
      <c r="I1105" s="624"/>
      <c r="J1105" s="85"/>
      <c r="K1105" s="624"/>
      <c r="L1105" s="85"/>
      <c r="M1105" s="624"/>
      <c r="N1105" s="85"/>
      <c r="O1105" s="624"/>
      <c r="P1105" s="85"/>
      <c r="Q1105" s="626">
        <f t="shared" si="34"/>
        <v>0</v>
      </c>
      <c r="R1105" s="85"/>
      <c r="S1105" s="624"/>
      <c r="T1105" s="260"/>
      <c r="U1105" s="624"/>
      <c r="V1105" s="85"/>
      <c r="W1105" s="624"/>
      <c r="X1105" s="81"/>
      <c r="Y1105" s="80"/>
      <c r="Z1105" s="737">
        <f ca="1">MAX(0%,IF(Q1105&lt;&gt;0,MIN((S1105-Q1105)/Q1105/'Underwriting Risk'!$E$27,'Premium and Reserve Risk'!$Z$1076),'Premium and Reserve Risk'!$Z$1076))</f>
        <v>0.17</v>
      </c>
      <c r="AA1105" s="80"/>
      <c r="AB1105" s="80"/>
      <c r="AC1105" s="737">
        <f ca="1">MAX(0%,IF(U1105&lt;&gt;0,MIN((W1105-U1105)/U1105/'Underwriting Risk'!$E$27,'Premium and Reserve Risk'!$AC$1076),'Premium and Reserve Risk'!$AC$1076))</f>
        <v>0.2</v>
      </c>
      <c r="AD1105" s="81"/>
      <c r="AE1105" s="97"/>
      <c r="AF1105" s="97"/>
      <c r="AG1105" s="97"/>
      <c r="AH1105" s="97"/>
    </row>
    <row r="1106" spans="1:34" ht="13.5" customHeight="1" x14ac:dyDescent="0.25">
      <c r="A1106" s="97"/>
      <c r="B1106" s="257">
        <v>29</v>
      </c>
      <c r="C1106" s="652"/>
      <c r="D1106" s="80"/>
      <c r="E1106" s="80"/>
      <c r="F1106" s="258">
        <f t="shared" ca="1" si="35"/>
        <v>0</v>
      </c>
      <c r="G1106" s="624"/>
      <c r="H1106" s="85"/>
      <c r="I1106" s="624"/>
      <c r="J1106" s="85"/>
      <c r="K1106" s="624"/>
      <c r="L1106" s="85"/>
      <c r="M1106" s="624"/>
      <c r="N1106" s="85"/>
      <c r="O1106" s="624"/>
      <c r="P1106" s="85"/>
      <c r="Q1106" s="626">
        <f t="shared" si="34"/>
        <v>0</v>
      </c>
      <c r="R1106" s="85"/>
      <c r="S1106" s="624"/>
      <c r="T1106" s="260"/>
      <c r="U1106" s="624"/>
      <c r="V1106" s="85"/>
      <c r="W1106" s="624"/>
      <c r="X1106" s="81"/>
      <c r="Y1106" s="80"/>
      <c r="Z1106" s="737">
        <f ca="1">MAX(0%,IF(Q1106&lt;&gt;0,MIN((S1106-Q1106)/Q1106/'Underwriting Risk'!$E$27,'Premium and Reserve Risk'!$Z$1076),'Premium and Reserve Risk'!$Z$1076))</f>
        <v>0.17</v>
      </c>
      <c r="AA1106" s="80"/>
      <c r="AB1106" s="80"/>
      <c r="AC1106" s="737">
        <f ca="1">MAX(0%,IF(U1106&lt;&gt;0,MIN((W1106-U1106)/U1106/'Underwriting Risk'!$E$27,'Premium and Reserve Risk'!$AC$1076),'Premium and Reserve Risk'!$AC$1076))</f>
        <v>0.2</v>
      </c>
      <c r="AD1106" s="81"/>
      <c r="AE1106" s="97"/>
      <c r="AF1106" s="97"/>
      <c r="AG1106" s="97"/>
      <c r="AH1106" s="97"/>
    </row>
    <row r="1107" spans="1:34" ht="13.5" customHeight="1" x14ac:dyDescent="0.25">
      <c r="A1107" s="97"/>
      <c r="B1107" s="257">
        <v>30</v>
      </c>
      <c r="C1107" s="652"/>
      <c r="D1107" s="80"/>
      <c r="E1107" s="80"/>
      <c r="F1107" s="258">
        <f t="shared" ca="1" si="35"/>
        <v>0</v>
      </c>
      <c r="G1107" s="624"/>
      <c r="H1107" s="85"/>
      <c r="I1107" s="624"/>
      <c r="J1107" s="85"/>
      <c r="K1107" s="624"/>
      <c r="L1107" s="85"/>
      <c r="M1107" s="624"/>
      <c r="N1107" s="85"/>
      <c r="O1107" s="624"/>
      <c r="P1107" s="85"/>
      <c r="Q1107" s="626">
        <f t="shared" si="34"/>
        <v>0</v>
      </c>
      <c r="R1107" s="85"/>
      <c r="S1107" s="624"/>
      <c r="T1107" s="260"/>
      <c r="U1107" s="624"/>
      <c r="V1107" s="85"/>
      <c r="W1107" s="624"/>
      <c r="X1107" s="81"/>
      <c r="Y1107" s="80"/>
      <c r="Z1107" s="737">
        <f ca="1">MAX(0%,IF(Q1107&lt;&gt;0,MIN((S1107-Q1107)/Q1107/'Underwriting Risk'!$E$27,'Premium and Reserve Risk'!$Z$1076),'Premium and Reserve Risk'!$Z$1076))</f>
        <v>0.17</v>
      </c>
      <c r="AA1107" s="80"/>
      <c r="AB1107" s="80"/>
      <c r="AC1107" s="737">
        <f ca="1">MAX(0%,IF(U1107&lt;&gt;0,MIN((W1107-U1107)/U1107/'Underwriting Risk'!$E$27,'Premium and Reserve Risk'!$AC$1076),'Premium and Reserve Risk'!$AC$1076))</f>
        <v>0.2</v>
      </c>
      <c r="AD1107" s="81"/>
      <c r="AE1107" s="97"/>
      <c r="AF1107" s="97"/>
      <c r="AG1107" s="97"/>
      <c r="AH1107" s="97"/>
    </row>
    <row r="1108" spans="1:34" ht="13.5" customHeight="1" x14ac:dyDescent="0.25">
      <c r="A1108" s="97"/>
      <c r="B1108" s="257">
        <v>31</v>
      </c>
      <c r="C1108" s="652"/>
      <c r="D1108" s="80"/>
      <c r="E1108" s="80"/>
      <c r="F1108" s="258">
        <f t="shared" ca="1" si="35"/>
        <v>0</v>
      </c>
      <c r="G1108" s="624"/>
      <c r="H1108" s="85"/>
      <c r="I1108" s="624"/>
      <c r="J1108" s="85"/>
      <c r="K1108" s="624"/>
      <c r="L1108" s="85"/>
      <c r="M1108" s="624"/>
      <c r="N1108" s="85"/>
      <c r="O1108" s="624"/>
      <c r="P1108" s="85"/>
      <c r="Q1108" s="626">
        <f t="shared" si="34"/>
        <v>0</v>
      </c>
      <c r="R1108" s="85"/>
      <c r="S1108" s="624"/>
      <c r="T1108" s="260"/>
      <c r="U1108" s="624"/>
      <c r="V1108" s="85"/>
      <c r="W1108" s="624"/>
      <c r="X1108" s="81"/>
      <c r="Y1108" s="80"/>
      <c r="Z1108" s="737">
        <f ca="1">MAX(0%,IF(Q1108&lt;&gt;0,MIN((S1108-Q1108)/Q1108/'Underwriting Risk'!$E$27,'Premium and Reserve Risk'!$Z$1076),'Premium and Reserve Risk'!$Z$1076))</f>
        <v>0.17</v>
      </c>
      <c r="AA1108" s="80"/>
      <c r="AB1108" s="80"/>
      <c r="AC1108" s="737">
        <f ca="1">MAX(0%,IF(U1108&lt;&gt;0,MIN((W1108-U1108)/U1108/'Underwriting Risk'!$E$27,'Premium and Reserve Risk'!$AC$1076),'Premium and Reserve Risk'!$AC$1076))</f>
        <v>0.2</v>
      </c>
      <c r="AD1108" s="81"/>
      <c r="AE1108" s="97"/>
      <c r="AF1108" s="97"/>
      <c r="AG1108" s="97"/>
      <c r="AH1108" s="97"/>
    </row>
    <row r="1109" spans="1:34" ht="13.5" customHeight="1" x14ac:dyDescent="0.25">
      <c r="A1109" s="97"/>
      <c r="B1109" s="257">
        <v>32</v>
      </c>
      <c r="C1109" s="652"/>
      <c r="D1109" s="80"/>
      <c r="E1109" s="80"/>
      <c r="F1109" s="258">
        <f t="shared" ca="1" si="35"/>
        <v>0</v>
      </c>
      <c r="G1109" s="624"/>
      <c r="H1109" s="85"/>
      <c r="I1109" s="624"/>
      <c r="J1109" s="85"/>
      <c r="K1109" s="624"/>
      <c r="L1109" s="85"/>
      <c r="M1109" s="624"/>
      <c r="N1109" s="85"/>
      <c r="O1109" s="624"/>
      <c r="P1109" s="85"/>
      <c r="Q1109" s="626">
        <f t="shared" si="34"/>
        <v>0</v>
      </c>
      <c r="R1109" s="85"/>
      <c r="S1109" s="624"/>
      <c r="T1109" s="260"/>
      <c r="U1109" s="624"/>
      <c r="V1109" s="85"/>
      <c r="W1109" s="624"/>
      <c r="X1109" s="81"/>
      <c r="Y1109" s="80"/>
      <c r="Z1109" s="737">
        <f ca="1">MAX(0%,IF(Q1109&lt;&gt;0,MIN((S1109-Q1109)/Q1109/'Underwriting Risk'!$E$27,'Premium and Reserve Risk'!$Z$1076),'Premium and Reserve Risk'!$Z$1076))</f>
        <v>0.17</v>
      </c>
      <c r="AA1109" s="80"/>
      <c r="AB1109" s="80"/>
      <c r="AC1109" s="737">
        <f ca="1">MAX(0%,IF(U1109&lt;&gt;0,MIN((W1109-U1109)/U1109/'Underwriting Risk'!$E$27,'Premium and Reserve Risk'!$AC$1076),'Premium and Reserve Risk'!$AC$1076))</f>
        <v>0.2</v>
      </c>
      <c r="AD1109" s="81"/>
      <c r="AE1109" s="97"/>
      <c r="AF1109" s="97"/>
      <c r="AG1109" s="97"/>
      <c r="AH1109" s="97"/>
    </row>
    <row r="1110" spans="1:34" ht="13.5" customHeight="1" x14ac:dyDescent="0.25">
      <c r="A1110" s="97"/>
      <c r="B1110" s="257">
        <v>33</v>
      </c>
      <c r="C1110" s="652"/>
      <c r="D1110" s="80"/>
      <c r="E1110" s="80"/>
      <c r="F1110" s="258">
        <f t="shared" ca="1" si="35"/>
        <v>0</v>
      </c>
      <c r="G1110" s="624"/>
      <c r="H1110" s="85"/>
      <c r="I1110" s="624"/>
      <c r="J1110" s="85"/>
      <c r="K1110" s="624"/>
      <c r="L1110" s="85"/>
      <c r="M1110" s="624"/>
      <c r="N1110" s="85"/>
      <c r="O1110" s="624"/>
      <c r="P1110" s="85"/>
      <c r="Q1110" s="626">
        <f t="shared" si="34"/>
        <v>0</v>
      </c>
      <c r="R1110" s="85"/>
      <c r="S1110" s="624"/>
      <c r="T1110" s="260"/>
      <c r="U1110" s="624"/>
      <c r="V1110" s="85"/>
      <c r="W1110" s="624"/>
      <c r="X1110" s="81"/>
      <c r="Y1110" s="80"/>
      <c r="Z1110" s="737">
        <f ca="1">MAX(0%,IF(Q1110&lt;&gt;0,MIN((S1110-Q1110)/Q1110/'Underwriting Risk'!$E$27,'Premium and Reserve Risk'!$Z$1076),'Premium and Reserve Risk'!$Z$1076))</f>
        <v>0.17</v>
      </c>
      <c r="AA1110" s="80"/>
      <c r="AB1110" s="80"/>
      <c r="AC1110" s="737">
        <f ca="1">MAX(0%,IF(U1110&lt;&gt;0,MIN((W1110-U1110)/U1110/'Underwriting Risk'!$E$27,'Premium and Reserve Risk'!$AC$1076),'Premium and Reserve Risk'!$AC$1076))</f>
        <v>0.2</v>
      </c>
      <c r="AD1110" s="81"/>
      <c r="AE1110" s="97"/>
      <c r="AF1110" s="97"/>
      <c r="AG1110" s="97"/>
      <c r="AH1110" s="97"/>
    </row>
    <row r="1111" spans="1:34" ht="13.5" customHeight="1" x14ac:dyDescent="0.25">
      <c r="A1111" s="97"/>
      <c r="B1111" s="257">
        <v>34</v>
      </c>
      <c r="C1111" s="652"/>
      <c r="D1111" s="80"/>
      <c r="E1111" s="80"/>
      <c r="F1111" s="258">
        <f t="shared" ca="1" si="35"/>
        <v>0</v>
      </c>
      <c r="G1111" s="624"/>
      <c r="H1111" s="85"/>
      <c r="I1111" s="624"/>
      <c r="J1111" s="85"/>
      <c r="K1111" s="624"/>
      <c r="L1111" s="85"/>
      <c r="M1111" s="624"/>
      <c r="N1111" s="85"/>
      <c r="O1111" s="624"/>
      <c r="P1111" s="85"/>
      <c r="Q1111" s="626">
        <f t="shared" si="34"/>
        <v>0</v>
      </c>
      <c r="R1111" s="85"/>
      <c r="S1111" s="624"/>
      <c r="T1111" s="260"/>
      <c r="U1111" s="624"/>
      <c r="V1111" s="85"/>
      <c r="W1111" s="624"/>
      <c r="X1111" s="81"/>
      <c r="Y1111" s="80"/>
      <c r="Z1111" s="737">
        <f ca="1">MAX(0%,IF(Q1111&lt;&gt;0,MIN((S1111-Q1111)/Q1111/'Underwriting Risk'!$E$27,'Premium and Reserve Risk'!$Z$1076),'Premium and Reserve Risk'!$Z$1076))</f>
        <v>0.17</v>
      </c>
      <c r="AA1111" s="80"/>
      <c r="AB1111" s="80"/>
      <c r="AC1111" s="737">
        <f ca="1">MAX(0%,IF(U1111&lt;&gt;0,MIN((W1111-U1111)/U1111/'Underwriting Risk'!$E$27,'Premium and Reserve Risk'!$AC$1076),'Premium and Reserve Risk'!$AC$1076))</f>
        <v>0.2</v>
      </c>
      <c r="AD1111" s="81"/>
      <c r="AE1111" s="97"/>
      <c r="AF1111" s="97"/>
      <c r="AG1111" s="97"/>
      <c r="AH1111" s="97"/>
    </row>
    <row r="1112" spans="1:34" ht="13.5" customHeight="1" x14ac:dyDescent="0.25">
      <c r="A1112" s="97"/>
      <c r="B1112" s="257">
        <v>35</v>
      </c>
      <c r="C1112" s="652"/>
      <c r="D1112" s="80"/>
      <c r="E1112" s="80"/>
      <c r="F1112" s="258">
        <f t="shared" ca="1" si="35"/>
        <v>0</v>
      </c>
      <c r="G1112" s="624"/>
      <c r="H1112" s="85"/>
      <c r="I1112" s="624"/>
      <c r="J1112" s="85"/>
      <c r="K1112" s="624"/>
      <c r="L1112" s="85"/>
      <c r="M1112" s="624"/>
      <c r="N1112" s="85"/>
      <c r="O1112" s="624"/>
      <c r="P1112" s="85"/>
      <c r="Q1112" s="626">
        <f t="shared" si="34"/>
        <v>0</v>
      </c>
      <c r="R1112" s="85"/>
      <c r="S1112" s="624"/>
      <c r="T1112" s="260"/>
      <c r="U1112" s="624"/>
      <c r="V1112" s="85"/>
      <c r="W1112" s="624"/>
      <c r="X1112" s="81"/>
      <c r="Y1112" s="80"/>
      <c r="Z1112" s="737">
        <f ca="1">MAX(0%,IF(Q1112&lt;&gt;0,MIN((S1112-Q1112)/Q1112/'Underwriting Risk'!$E$27,'Premium and Reserve Risk'!$Z$1076),'Premium and Reserve Risk'!$Z$1076))</f>
        <v>0.17</v>
      </c>
      <c r="AA1112" s="80"/>
      <c r="AB1112" s="80"/>
      <c r="AC1112" s="737">
        <f ca="1">MAX(0%,IF(U1112&lt;&gt;0,MIN((W1112-U1112)/U1112/'Underwriting Risk'!$E$27,'Premium and Reserve Risk'!$AC$1076),'Premium and Reserve Risk'!$AC$1076))</f>
        <v>0.2</v>
      </c>
      <c r="AD1112" s="81"/>
      <c r="AE1112" s="97"/>
      <c r="AF1112" s="97"/>
      <c r="AG1112" s="97"/>
      <c r="AH1112" s="97"/>
    </row>
    <row r="1113" spans="1:34" ht="13.5" customHeight="1" x14ac:dyDescent="0.25">
      <c r="A1113" s="97"/>
      <c r="B1113" s="257">
        <v>36</v>
      </c>
      <c r="C1113" s="652"/>
      <c r="D1113" s="80"/>
      <c r="E1113" s="80"/>
      <c r="F1113" s="258">
        <f t="shared" ca="1" si="35"/>
        <v>0</v>
      </c>
      <c r="G1113" s="624"/>
      <c r="H1113" s="85"/>
      <c r="I1113" s="624"/>
      <c r="J1113" s="85"/>
      <c r="K1113" s="624"/>
      <c r="L1113" s="85"/>
      <c r="M1113" s="624"/>
      <c r="N1113" s="85"/>
      <c r="O1113" s="624"/>
      <c r="P1113" s="85"/>
      <c r="Q1113" s="626">
        <f t="shared" si="34"/>
        <v>0</v>
      </c>
      <c r="R1113" s="85"/>
      <c r="S1113" s="624"/>
      <c r="T1113" s="260"/>
      <c r="U1113" s="624"/>
      <c r="V1113" s="85"/>
      <c r="W1113" s="624"/>
      <c r="X1113" s="81"/>
      <c r="Y1113" s="80"/>
      <c r="Z1113" s="737">
        <f ca="1">MAX(0%,IF(Q1113&lt;&gt;0,MIN((S1113-Q1113)/Q1113/'Underwriting Risk'!$E$27,'Premium and Reserve Risk'!$Z$1076),'Premium and Reserve Risk'!$Z$1076))</f>
        <v>0.17</v>
      </c>
      <c r="AA1113" s="80"/>
      <c r="AB1113" s="80"/>
      <c r="AC1113" s="737">
        <f ca="1">MAX(0%,IF(U1113&lt;&gt;0,MIN((W1113-U1113)/U1113/'Underwriting Risk'!$E$27,'Premium and Reserve Risk'!$AC$1076),'Premium and Reserve Risk'!$AC$1076))</f>
        <v>0.2</v>
      </c>
      <c r="AD1113" s="81"/>
      <c r="AE1113" s="97"/>
      <c r="AF1113" s="97"/>
      <c r="AG1113" s="97"/>
      <c r="AH1113" s="97"/>
    </row>
    <row r="1114" spans="1:34" ht="13.5" customHeight="1" x14ac:dyDescent="0.25">
      <c r="A1114" s="97"/>
      <c r="B1114" s="257">
        <v>37</v>
      </c>
      <c r="C1114" s="652"/>
      <c r="D1114" s="80"/>
      <c r="E1114" s="80"/>
      <c r="F1114" s="258">
        <f t="shared" ca="1" si="35"/>
        <v>0</v>
      </c>
      <c r="G1114" s="624"/>
      <c r="H1114" s="85"/>
      <c r="I1114" s="624"/>
      <c r="J1114" s="85"/>
      <c r="K1114" s="624"/>
      <c r="L1114" s="85"/>
      <c r="M1114" s="624"/>
      <c r="N1114" s="85"/>
      <c r="O1114" s="624"/>
      <c r="P1114" s="85"/>
      <c r="Q1114" s="626">
        <f t="shared" si="34"/>
        <v>0</v>
      </c>
      <c r="R1114" s="85"/>
      <c r="S1114" s="624"/>
      <c r="T1114" s="260"/>
      <c r="U1114" s="624"/>
      <c r="V1114" s="85"/>
      <c r="W1114" s="624"/>
      <c r="X1114" s="81"/>
      <c r="Y1114" s="80"/>
      <c r="Z1114" s="737">
        <f ca="1">MAX(0%,IF(Q1114&lt;&gt;0,MIN((S1114-Q1114)/Q1114/'Underwriting Risk'!$E$27,'Premium and Reserve Risk'!$Z$1076),'Premium and Reserve Risk'!$Z$1076))</f>
        <v>0.17</v>
      </c>
      <c r="AA1114" s="80"/>
      <c r="AB1114" s="80"/>
      <c r="AC1114" s="737">
        <f ca="1">MAX(0%,IF(U1114&lt;&gt;0,MIN((W1114-U1114)/U1114/'Underwriting Risk'!$E$27,'Premium and Reserve Risk'!$AC$1076),'Premium and Reserve Risk'!$AC$1076))</f>
        <v>0.2</v>
      </c>
      <c r="AD1114" s="81"/>
      <c r="AE1114" s="97"/>
      <c r="AF1114" s="97"/>
      <c r="AG1114" s="97"/>
      <c r="AH1114" s="97"/>
    </row>
    <row r="1115" spans="1:34" ht="13.5" customHeight="1" x14ac:dyDescent="0.25">
      <c r="A1115" s="97"/>
      <c r="B1115" s="257">
        <v>38</v>
      </c>
      <c r="C1115" s="652"/>
      <c r="D1115" s="80"/>
      <c r="E1115" s="80"/>
      <c r="F1115" s="258">
        <f t="shared" ca="1" si="35"/>
        <v>0</v>
      </c>
      <c r="G1115" s="624"/>
      <c r="H1115" s="85"/>
      <c r="I1115" s="624"/>
      <c r="J1115" s="85"/>
      <c r="K1115" s="624"/>
      <c r="L1115" s="85"/>
      <c r="M1115" s="624"/>
      <c r="N1115" s="85"/>
      <c r="O1115" s="624"/>
      <c r="P1115" s="85"/>
      <c r="Q1115" s="626">
        <f t="shared" si="34"/>
        <v>0</v>
      </c>
      <c r="R1115" s="85"/>
      <c r="S1115" s="624"/>
      <c r="T1115" s="260"/>
      <c r="U1115" s="624"/>
      <c r="V1115" s="85"/>
      <c r="W1115" s="624"/>
      <c r="X1115" s="81"/>
      <c r="Y1115" s="80"/>
      <c r="Z1115" s="737">
        <f ca="1">MAX(0%,IF(Q1115&lt;&gt;0,MIN((S1115-Q1115)/Q1115/'Underwriting Risk'!$E$27,'Premium and Reserve Risk'!$Z$1076),'Premium and Reserve Risk'!$Z$1076))</f>
        <v>0.17</v>
      </c>
      <c r="AA1115" s="80"/>
      <c r="AB1115" s="80"/>
      <c r="AC1115" s="737">
        <f ca="1">MAX(0%,IF(U1115&lt;&gt;0,MIN((W1115-U1115)/U1115/'Underwriting Risk'!$E$27,'Premium and Reserve Risk'!$AC$1076),'Premium and Reserve Risk'!$AC$1076))</f>
        <v>0.2</v>
      </c>
      <c r="AD1115" s="81"/>
      <c r="AE1115" s="97"/>
      <c r="AF1115" s="97"/>
      <c r="AG1115" s="97"/>
      <c r="AH1115" s="97"/>
    </row>
    <row r="1116" spans="1:34" ht="13.5" customHeight="1" x14ac:dyDescent="0.25">
      <c r="A1116" s="97"/>
      <c r="B1116" s="257">
        <v>39</v>
      </c>
      <c r="C1116" s="652"/>
      <c r="D1116" s="80"/>
      <c r="E1116" s="80"/>
      <c r="F1116" s="258">
        <f t="shared" ca="1" si="35"/>
        <v>0</v>
      </c>
      <c r="G1116" s="624"/>
      <c r="H1116" s="85"/>
      <c r="I1116" s="624"/>
      <c r="J1116" s="85"/>
      <c r="K1116" s="624"/>
      <c r="L1116" s="85"/>
      <c r="M1116" s="624"/>
      <c r="N1116" s="85"/>
      <c r="O1116" s="624"/>
      <c r="P1116" s="85"/>
      <c r="Q1116" s="626">
        <f t="shared" si="34"/>
        <v>0</v>
      </c>
      <c r="R1116" s="85"/>
      <c r="S1116" s="624"/>
      <c r="T1116" s="260"/>
      <c r="U1116" s="624"/>
      <c r="V1116" s="85"/>
      <c r="W1116" s="624"/>
      <c r="X1116" s="81"/>
      <c r="Y1116" s="80"/>
      <c r="Z1116" s="737">
        <f ca="1">MAX(0%,IF(Q1116&lt;&gt;0,MIN((S1116-Q1116)/Q1116/'Underwriting Risk'!$E$27,'Premium and Reserve Risk'!$Z$1076),'Premium and Reserve Risk'!$Z$1076))</f>
        <v>0.17</v>
      </c>
      <c r="AA1116" s="80"/>
      <c r="AB1116" s="80"/>
      <c r="AC1116" s="737">
        <f ca="1">MAX(0%,IF(U1116&lt;&gt;0,MIN((W1116-U1116)/U1116/'Underwriting Risk'!$E$27,'Premium and Reserve Risk'!$AC$1076),'Premium and Reserve Risk'!$AC$1076))</f>
        <v>0.2</v>
      </c>
      <c r="AD1116" s="81"/>
      <c r="AE1116" s="97"/>
      <c r="AF1116" s="97"/>
      <c r="AG1116" s="97"/>
      <c r="AH1116" s="97"/>
    </row>
    <row r="1117" spans="1:34" ht="13.5" customHeight="1" x14ac:dyDescent="0.25">
      <c r="A1117" s="97"/>
      <c r="B1117" s="257">
        <v>40</v>
      </c>
      <c r="C1117" s="652"/>
      <c r="D1117" s="80"/>
      <c r="E1117" s="80"/>
      <c r="F1117" s="258">
        <f t="shared" ca="1" si="35"/>
        <v>0</v>
      </c>
      <c r="G1117" s="624"/>
      <c r="H1117" s="85"/>
      <c r="I1117" s="624"/>
      <c r="J1117" s="85"/>
      <c r="K1117" s="624"/>
      <c r="L1117" s="85"/>
      <c r="M1117" s="624"/>
      <c r="N1117" s="85"/>
      <c r="O1117" s="624"/>
      <c r="P1117" s="85"/>
      <c r="Q1117" s="626">
        <f t="shared" si="34"/>
        <v>0</v>
      </c>
      <c r="R1117" s="85"/>
      <c r="S1117" s="624"/>
      <c r="T1117" s="260"/>
      <c r="U1117" s="624"/>
      <c r="V1117" s="85"/>
      <c r="W1117" s="624"/>
      <c r="X1117" s="81"/>
      <c r="Y1117" s="80"/>
      <c r="Z1117" s="737">
        <f ca="1">MAX(0%,IF(Q1117&lt;&gt;0,MIN((S1117-Q1117)/Q1117/'Underwriting Risk'!$E$27,'Premium and Reserve Risk'!$Z$1076),'Premium and Reserve Risk'!$Z$1076))</f>
        <v>0.17</v>
      </c>
      <c r="AA1117" s="80"/>
      <c r="AB1117" s="80"/>
      <c r="AC1117" s="737">
        <f ca="1">MAX(0%,IF(U1117&lt;&gt;0,MIN((W1117-U1117)/U1117/'Underwriting Risk'!$E$27,'Premium and Reserve Risk'!$AC$1076),'Premium and Reserve Risk'!$AC$1076))</f>
        <v>0.2</v>
      </c>
      <c r="AD1117" s="81"/>
      <c r="AE1117" s="97"/>
      <c r="AF1117" s="97"/>
      <c r="AG1117" s="97"/>
      <c r="AH1117" s="97"/>
    </row>
    <row r="1118" spans="1:34" ht="13.5" customHeight="1" x14ac:dyDescent="0.25">
      <c r="A1118" s="97"/>
      <c r="B1118" s="257">
        <v>41</v>
      </c>
      <c r="C1118" s="652"/>
      <c r="D1118" s="80"/>
      <c r="E1118" s="80"/>
      <c r="F1118" s="258">
        <f t="shared" ca="1" si="35"/>
        <v>0</v>
      </c>
      <c r="G1118" s="624"/>
      <c r="H1118" s="85"/>
      <c r="I1118" s="624"/>
      <c r="J1118" s="85"/>
      <c r="K1118" s="624"/>
      <c r="L1118" s="85"/>
      <c r="M1118" s="624"/>
      <c r="N1118" s="85"/>
      <c r="O1118" s="624"/>
      <c r="P1118" s="85"/>
      <c r="Q1118" s="626">
        <f t="shared" si="34"/>
        <v>0</v>
      </c>
      <c r="R1118" s="85"/>
      <c r="S1118" s="624"/>
      <c r="T1118" s="260"/>
      <c r="U1118" s="624"/>
      <c r="V1118" s="85"/>
      <c r="W1118" s="624"/>
      <c r="X1118" s="81"/>
      <c r="Y1118" s="80"/>
      <c r="Z1118" s="737">
        <f ca="1">MAX(0%,IF(Q1118&lt;&gt;0,MIN((S1118-Q1118)/Q1118/'Underwriting Risk'!$E$27,'Premium and Reserve Risk'!$Z$1076),'Premium and Reserve Risk'!$Z$1076))</f>
        <v>0.17</v>
      </c>
      <c r="AA1118" s="80"/>
      <c r="AB1118" s="80"/>
      <c r="AC1118" s="737">
        <f ca="1">MAX(0%,IF(U1118&lt;&gt;0,MIN((W1118-U1118)/U1118/'Underwriting Risk'!$E$27,'Premium and Reserve Risk'!$AC$1076),'Premium and Reserve Risk'!$AC$1076))</f>
        <v>0.2</v>
      </c>
      <c r="AD1118" s="81"/>
      <c r="AE1118" s="97"/>
      <c r="AF1118" s="97"/>
      <c r="AG1118" s="97"/>
      <c r="AH1118" s="97"/>
    </row>
    <row r="1119" spans="1:34" ht="13.5" customHeight="1" x14ac:dyDescent="0.25">
      <c r="A1119" s="97"/>
      <c r="B1119" s="257">
        <v>42</v>
      </c>
      <c r="C1119" s="652"/>
      <c r="D1119" s="80"/>
      <c r="E1119" s="80"/>
      <c r="F1119" s="258">
        <f t="shared" ca="1" si="35"/>
        <v>0</v>
      </c>
      <c r="G1119" s="624"/>
      <c r="H1119" s="85"/>
      <c r="I1119" s="624"/>
      <c r="J1119" s="85"/>
      <c r="K1119" s="624"/>
      <c r="L1119" s="85"/>
      <c r="M1119" s="624"/>
      <c r="N1119" s="85"/>
      <c r="O1119" s="624"/>
      <c r="P1119" s="85"/>
      <c r="Q1119" s="626">
        <f t="shared" si="34"/>
        <v>0</v>
      </c>
      <c r="R1119" s="85"/>
      <c r="S1119" s="624"/>
      <c r="T1119" s="260"/>
      <c r="U1119" s="624"/>
      <c r="V1119" s="85"/>
      <c r="W1119" s="624"/>
      <c r="X1119" s="81"/>
      <c r="Y1119" s="80"/>
      <c r="Z1119" s="737">
        <f ca="1">MAX(0%,IF(Q1119&lt;&gt;0,MIN((S1119-Q1119)/Q1119/'Underwriting Risk'!$E$27,'Premium and Reserve Risk'!$Z$1076),'Premium and Reserve Risk'!$Z$1076))</f>
        <v>0.17</v>
      </c>
      <c r="AA1119" s="80"/>
      <c r="AB1119" s="80"/>
      <c r="AC1119" s="737">
        <f ca="1">MAX(0%,IF(U1119&lt;&gt;0,MIN((W1119-U1119)/U1119/'Underwriting Risk'!$E$27,'Premium and Reserve Risk'!$AC$1076),'Premium and Reserve Risk'!$AC$1076))</f>
        <v>0.2</v>
      </c>
      <c r="AD1119" s="81"/>
      <c r="AE1119" s="97"/>
      <c r="AF1119" s="97"/>
      <c r="AG1119" s="97"/>
      <c r="AH1119" s="97"/>
    </row>
    <row r="1120" spans="1:34" ht="13.5" customHeight="1" x14ac:dyDescent="0.25">
      <c r="A1120" s="97"/>
      <c r="B1120" s="257">
        <v>43</v>
      </c>
      <c r="C1120" s="652"/>
      <c r="D1120" s="80"/>
      <c r="E1120" s="80"/>
      <c r="F1120" s="258">
        <f t="shared" ca="1" si="35"/>
        <v>0</v>
      </c>
      <c r="G1120" s="624"/>
      <c r="H1120" s="85"/>
      <c r="I1120" s="624"/>
      <c r="J1120" s="85"/>
      <c r="K1120" s="624"/>
      <c r="L1120" s="85"/>
      <c r="M1120" s="624"/>
      <c r="N1120" s="85"/>
      <c r="O1120" s="624"/>
      <c r="P1120" s="85"/>
      <c r="Q1120" s="626">
        <f t="shared" si="34"/>
        <v>0</v>
      </c>
      <c r="R1120" s="85"/>
      <c r="S1120" s="624"/>
      <c r="T1120" s="260"/>
      <c r="U1120" s="624"/>
      <c r="V1120" s="85"/>
      <c r="W1120" s="624"/>
      <c r="X1120" s="81"/>
      <c r="Y1120" s="80"/>
      <c r="Z1120" s="737">
        <f ca="1">MAX(0%,IF(Q1120&lt;&gt;0,MIN((S1120-Q1120)/Q1120/'Underwriting Risk'!$E$27,'Premium and Reserve Risk'!$Z$1076),'Premium and Reserve Risk'!$Z$1076))</f>
        <v>0.17</v>
      </c>
      <c r="AA1120" s="80"/>
      <c r="AB1120" s="80"/>
      <c r="AC1120" s="737">
        <f ca="1">MAX(0%,IF(U1120&lt;&gt;0,MIN((W1120-U1120)/U1120/'Underwriting Risk'!$E$27,'Premium and Reserve Risk'!$AC$1076),'Premium and Reserve Risk'!$AC$1076))</f>
        <v>0.2</v>
      </c>
      <c r="AD1120" s="81"/>
      <c r="AE1120" s="97"/>
      <c r="AF1120" s="97"/>
      <c r="AG1120" s="97"/>
      <c r="AH1120" s="97"/>
    </row>
    <row r="1121" spans="1:34" ht="13.5" customHeight="1" x14ac:dyDescent="0.25">
      <c r="A1121" s="97"/>
      <c r="B1121" s="257">
        <v>44</v>
      </c>
      <c r="C1121" s="652"/>
      <c r="D1121" s="80"/>
      <c r="E1121" s="80"/>
      <c r="F1121" s="258">
        <f t="shared" ca="1" si="35"/>
        <v>0</v>
      </c>
      <c r="G1121" s="624"/>
      <c r="H1121" s="85"/>
      <c r="I1121" s="624"/>
      <c r="J1121" s="85"/>
      <c r="K1121" s="624"/>
      <c r="L1121" s="85"/>
      <c r="M1121" s="624"/>
      <c r="N1121" s="85"/>
      <c r="O1121" s="624"/>
      <c r="P1121" s="85"/>
      <c r="Q1121" s="626">
        <f t="shared" si="34"/>
        <v>0</v>
      </c>
      <c r="R1121" s="85"/>
      <c r="S1121" s="624"/>
      <c r="T1121" s="260"/>
      <c r="U1121" s="624"/>
      <c r="V1121" s="85"/>
      <c r="W1121" s="624"/>
      <c r="X1121" s="81"/>
      <c r="Y1121" s="80"/>
      <c r="Z1121" s="737">
        <f ca="1">MAX(0%,IF(Q1121&lt;&gt;0,MIN((S1121-Q1121)/Q1121/'Underwriting Risk'!$E$27,'Premium and Reserve Risk'!$Z$1076),'Premium and Reserve Risk'!$Z$1076))</f>
        <v>0.17</v>
      </c>
      <c r="AA1121" s="80"/>
      <c r="AB1121" s="80"/>
      <c r="AC1121" s="737">
        <f ca="1">MAX(0%,IF(U1121&lt;&gt;0,MIN((W1121-U1121)/U1121/'Underwriting Risk'!$E$27,'Premium and Reserve Risk'!$AC$1076),'Premium and Reserve Risk'!$AC$1076))</f>
        <v>0.2</v>
      </c>
      <c r="AD1121" s="81"/>
      <c r="AE1121" s="97"/>
      <c r="AF1121" s="97"/>
      <c r="AG1121" s="97"/>
      <c r="AH1121" s="97"/>
    </row>
    <row r="1122" spans="1:34" ht="13.5" customHeight="1" x14ac:dyDescent="0.25">
      <c r="A1122" s="97"/>
      <c r="B1122" s="257">
        <v>45</v>
      </c>
      <c r="C1122" s="652"/>
      <c r="D1122" s="80"/>
      <c r="E1122" s="80"/>
      <c r="F1122" s="258">
        <f t="shared" ca="1" si="35"/>
        <v>0</v>
      </c>
      <c r="G1122" s="624"/>
      <c r="H1122" s="85"/>
      <c r="I1122" s="624"/>
      <c r="J1122" s="85"/>
      <c r="K1122" s="624"/>
      <c r="L1122" s="85"/>
      <c r="M1122" s="624"/>
      <c r="N1122" s="85"/>
      <c r="O1122" s="624"/>
      <c r="P1122" s="85"/>
      <c r="Q1122" s="626">
        <f t="shared" si="34"/>
        <v>0</v>
      </c>
      <c r="R1122" s="85"/>
      <c r="S1122" s="624"/>
      <c r="T1122" s="260"/>
      <c r="U1122" s="624"/>
      <c r="V1122" s="85"/>
      <c r="W1122" s="624"/>
      <c r="X1122" s="81"/>
      <c r="Y1122" s="80"/>
      <c r="Z1122" s="737">
        <f ca="1">MAX(0%,IF(Q1122&lt;&gt;0,MIN((S1122-Q1122)/Q1122/'Underwriting Risk'!$E$27,'Premium and Reserve Risk'!$Z$1076),'Premium and Reserve Risk'!$Z$1076))</f>
        <v>0.17</v>
      </c>
      <c r="AA1122" s="80"/>
      <c r="AB1122" s="80"/>
      <c r="AC1122" s="737">
        <f ca="1">MAX(0%,IF(U1122&lt;&gt;0,MIN((W1122-U1122)/U1122/'Underwriting Risk'!$E$27,'Premium and Reserve Risk'!$AC$1076),'Premium and Reserve Risk'!$AC$1076))</f>
        <v>0.2</v>
      </c>
      <c r="AD1122" s="81"/>
      <c r="AE1122" s="97"/>
      <c r="AF1122" s="97"/>
      <c r="AG1122" s="97"/>
      <c r="AH1122" s="97"/>
    </row>
    <row r="1123" spans="1:34" ht="13.5" customHeight="1" x14ac:dyDescent="0.25">
      <c r="A1123" s="97"/>
      <c r="B1123" s="257">
        <v>46</v>
      </c>
      <c r="C1123" s="652"/>
      <c r="D1123" s="80"/>
      <c r="E1123" s="80"/>
      <c r="F1123" s="258">
        <f t="shared" ca="1" si="35"/>
        <v>0</v>
      </c>
      <c r="G1123" s="624"/>
      <c r="H1123" s="85"/>
      <c r="I1123" s="624"/>
      <c r="J1123" s="85"/>
      <c r="K1123" s="624"/>
      <c r="L1123" s="85"/>
      <c r="M1123" s="624"/>
      <c r="N1123" s="85"/>
      <c r="O1123" s="624"/>
      <c r="P1123" s="85"/>
      <c r="Q1123" s="626">
        <f t="shared" si="34"/>
        <v>0</v>
      </c>
      <c r="R1123" s="85"/>
      <c r="S1123" s="624"/>
      <c r="T1123" s="260"/>
      <c r="U1123" s="624"/>
      <c r="V1123" s="85"/>
      <c r="W1123" s="624"/>
      <c r="X1123" s="81"/>
      <c r="Y1123" s="80"/>
      <c r="Z1123" s="737">
        <f ca="1">MAX(0%,IF(Q1123&lt;&gt;0,MIN((S1123-Q1123)/Q1123/'Underwriting Risk'!$E$27,'Premium and Reserve Risk'!$Z$1076),'Premium and Reserve Risk'!$Z$1076))</f>
        <v>0.17</v>
      </c>
      <c r="AA1123" s="80"/>
      <c r="AB1123" s="80"/>
      <c r="AC1123" s="737">
        <f ca="1">MAX(0%,IF(U1123&lt;&gt;0,MIN((W1123-U1123)/U1123/'Underwriting Risk'!$E$27,'Premium and Reserve Risk'!$AC$1076),'Premium and Reserve Risk'!$AC$1076))</f>
        <v>0.2</v>
      </c>
      <c r="AD1123" s="81"/>
      <c r="AE1123" s="97"/>
      <c r="AF1123" s="97"/>
      <c r="AG1123" s="97"/>
      <c r="AH1123" s="97"/>
    </row>
    <row r="1124" spans="1:34" ht="13.5" customHeight="1" x14ac:dyDescent="0.25">
      <c r="A1124" s="97"/>
      <c r="B1124" s="257">
        <v>47</v>
      </c>
      <c r="C1124" s="652"/>
      <c r="D1124" s="80"/>
      <c r="E1124" s="80"/>
      <c r="F1124" s="258">
        <f t="shared" ca="1" si="35"/>
        <v>0</v>
      </c>
      <c r="G1124" s="624"/>
      <c r="H1124" s="85"/>
      <c r="I1124" s="624"/>
      <c r="J1124" s="85"/>
      <c r="K1124" s="624"/>
      <c r="L1124" s="85"/>
      <c r="M1124" s="624"/>
      <c r="N1124" s="85"/>
      <c r="O1124" s="624"/>
      <c r="P1124" s="85"/>
      <c r="Q1124" s="626">
        <f t="shared" si="34"/>
        <v>0</v>
      </c>
      <c r="R1124" s="85"/>
      <c r="S1124" s="624"/>
      <c r="T1124" s="260"/>
      <c r="U1124" s="624"/>
      <c r="V1124" s="85"/>
      <c r="W1124" s="624"/>
      <c r="X1124" s="81"/>
      <c r="Y1124" s="80"/>
      <c r="Z1124" s="737">
        <f ca="1">MAX(0%,IF(Q1124&lt;&gt;0,MIN((S1124-Q1124)/Q1124/'Underwriting Risk'!$E$27,'Premium and Reserve Risk'!$Z$1076),'Premium and Reserve Risk'!$Z$1076))</f>
        <v>0.17</v>
      </c>
      <c r="AA1124" s="80"/>
      <c r="AB1124" s="80"/>
      <c r="AC1124" s="737">
        <f ca="1">MAX(0%,IF(U1124&lt;&gt;0,MIN((W1124-U1124)/U1124/'Underwriting Risk'!$E$27,'Premium and Reserve Risk'!$AC$1076),'Premium and Reserve Risk'!$AC$1076))</f>
        <v>0.2</v>
      </c>
      <c r="AD1124" s="81"/>
      <c r="AE1124" s="97"/>
      <c r="AF1124" s="97"/>
      <c r="AG1124" s="97"/>
      <c r="AH1124" s="97"/>
    </row>
    <row r="1125" spans="1:34" ht="13.5" customHeight="1" x14ac:dyDescent="0.25">
      <c r="A1125" s="97"/>
      <c r="B1125" s="257">
        <v>48</v>
      </c>
      <c r="C1125" s="652"/>
      <c r="D1125" s="80"/>
      <c r="E1125" s="80"/>
      <c r="F1125" s="258">
        <f t="shared" ca="1" si="35"/>
        <v>0</v>
      </c>
      <c r="G1125" s="624"/>
      <c r="H1125" s="85"/>
      <c r="I1125" s="624"/>
      <c r="J1125" s="85"/>
      <c r="K1125" s="624"/>
      <c r="L1125" s="85"/>
      <c r="M1125" s="624"/>
      <c r="N1125" s="85"/>
      <c r="O1125" s="624"/>
      <c r="P1125" s="85"/>
      <c r="Q1125" s="626">
        <f t="shared" si="34"/>
        <v>0</v>
      </c>
      <c r="R1125" s="85"/>
      <c r="S1125" s="624"/>
      <c r="T1125" s="260"/>
      <c r="U1125" s="624"/>
      <c r="V1125" s="85"/>
      <c r="W1125" s="624"/>
      <c r="X1125" s="81"/>
      <c r="Y1125" s="80"/>
      <c r="Z1125" s="737">
        <f ca="1">MAX(0%,IF(Q1125&lt;&gt;0,MIN((S1125-Q1125)/Q1125/'Underwriting Risk'!$E$27,'Premium and Reserve Risk'!$Z$1076),'Premium and Reserve Risk'!$Z$1076))</f>
        <v>0.17</v>
      </c>
      <c r="AA1125" s="80"/>
      <c r="AB1125" s="80"/>
      <c r="AC1125" s="737">
        <f ca="1">MAX(0%,IF(U1125&lt;&gt;0,MIN((W1125-U1125)/U1125/'Underwriting Risk'!$E$27,'Premium and Reserve Risk'!$AC$1076),'Premium and Reserve Risk'!$AC$1076))</f>
        <v>0.2</v>
      </c>
      <c r="AD1125" s="81"/>
      <c r="AE1125" s="97"/>
      <c r="AF1125" s="97"/>
      <c r="AG1125" s="97"/>
      <c r="AH1125" s="97"/>
    </row>
    <row r="1126" spans="1:34" ht="13.5" customHeight="1" x14ac:dyDescent="0.25">
      <c r="A1126" s="97"/>
      <c r="B1126" s="257">
        <v>49</v>
      </c>
      <c r="C1126" s="652"/>
      <c r="D1126" s="80"/>
      <c r="E1126" s="80"/>
      <c r="F1126" s="258">
        <f t="shared" ca="1" si="35"/>
        <v>0</v>
      </c>
      <c r="G1126" s="624"/>
      <c r="H1126" s="85"/>
      <c r="I1126" s="624"/>
      <c r="J1126" s="85"/>
      <c r="K1126" s="624"/>
      <c r="L1126" s="85"/>
      <c r="M1126" s="624"/>
      <c r="N1126" s="85"/>
      <c r="O1126" s="624"/>
      <c r="P1126" s="85"/>
      <c r="Q1126" s="626">
        <f t="shared" si="34"/>
        <v>0</v>
      </c>
      <c r="R1126" s="85"/>
      <c r="S1126" s="624"/>
      <c r="T1126" s="260"/>
      <c r="U1126" s="624"/>
      <c r="V1126" s="85"/>
      <c r="W1126" s="624"/>
      <c r="X1126" s="81"/>
      <c r="Y1126" s="80"/>
      <c r="Z1126" s="737">
        <f ca="1">MAX(0%,IF(Q1126&lt;&gt;0,MIN((S1126-Q1126)/Q1126/'Underwriting Risk'!$E$27,'Premium and Reserve Risk'!$Z$1076),'Premium and Reserve Risk'!$Z$1076))</f>
        <v>0.17</v>
      </c>
      <c r="AA1126" s="80"/>
      <c r="AB1126" s="80"/>
      <c r="AC1126" s="737">
        <f ca="1">MAX(0%,IF(U1126&lt;&gt;0,MIN((W1126-U1126)/U1126/'Underwriting Risk'!$E$27,'Premium and Reserve Risk'!$AC$1076),'Premium and Reserve Risk'!$AC$1076))</f>
        <v>0.2</v>
      </c>
      <c r="AD1126" s="81"/>
      <c r="AE1126" s="97"/>
      <c r="AF1126" s="97"/>
      <c r="AG1126" s="97"/>
      <c r="AH1126" s="97"/>
    </row>
    <row r="1127" spans="1:34" ht="13.5" customHeight="1" x14ac:dyDescent="0.25">
      <c r="A1127" s="97"/>
      <c r="B1127" s="257">
        <v>50</v>
      </c>
      <c r="C1127" s="652"/>
      <c r="D1127" s="80"/>
      <c r="E1127" s="80"/>
      <c r="F1127" s="258">
        <f t="shared" ca="1" si="35"/>
        <v>0</v>
      </c>
      <c r="G1127" s="624"/>
      <c r="H1127" s="85"/>
      <c r="I1127" s="624"/>
      <c r="J1127" s="85"/>
      <c r="K1127" s="624"/>
      <c r="L1127" s="85"/>
      <c r="M1127" s="624"/>
      <c r="N1127" s="85"/>
      <c r="O1127" s="624"/>
      <c r="P1127" s="85"/>
      <c r="Q1127" s="626">
        <f t="shared" si="34"/>
        <v>0</v>
      </c>
      <c r="R1127" s="85"/>
      <c r="S1127" s="624"/>
      <c r="T1127" s="260"/>
      <c r="U1127" s="624"/>
      <c r="V1127" s="85"/>
      <c r="W1127" s="624"/>
      <c r="X1127" s="81"/>
      <c r="Y1127" s="80"/>
      <c r="Z1127" s="737">
        <f ca="1">MAX(0%,IF(Q1127&lt;&gt;0,MIN((S1127-Q1127)/Q1127/'Underwriting Risk'!$E$27,'Premium and Reserve Risk'!$Z$1076),'Premium and Reserve Risk'!$Z$1076))</f>
        <v>0.17</v>
      </c>
      <c r="AA1127" s="80"/>
      <c r="AB1127" s="80"/>
      <c r="AC1127" s="737">
        <f ca="1">MAX(0%,IF(U1127&lt;&gt;0,MIN((W1127-U1127)/U1127/'Underwriting Risk'!$E$27,'Premium and Reserve Risk'!$AC$1076),'Premium and Reserve Risk'!$AC$1076))</f>
        <v>0.2</v>
      </c>
      <c r="AD1127" s="81"/>
      <c r="AE1127" s="97"/>
      <c r="AF1127" s="97"/>
      <c r="AG1127" s="97"/>
      <c r="AH1127" s="97"/>
    </row>
    <row r="1128" spans="1:34" ht="13.5" customHeight="1" x14ac:dyDescent="0.25">
      <c r="A1128" s="97"/>
      <c r="B1128" s="257">
        <v>51</v>
      </c>
      <c r="C1128" s="652"/>
      <c r="D1128" s="80"/>
      <c r="E1128" s="80"/>
      <c r="F1128" s="258">
        <f t="shared" ca="1" si="35"/>
        <v>0</v>
      </c>
      <c r="G1128" s="624"/>
      <c r="H1128" s="85"/>
      <c r="I1128" s="624"/>
      <c r="J1128" s="85"/>
      <c r="K1128" s="624"/>
      <c r="L1128" s="85"/>
      <c r="M1128" s="624"/>
      <c r="N1128" s="85"/>
      <c r="O1128" s="624"/>
      <c r="P1128" s="85"/>
      <c r="Q1128" s="626">
        <f t="shared" si="34"/>
        <v>0</v>
      </c>
      <c r="R1128" s="85"/>
      <c r="S1128" s="624"/>
      <c r="T1128" s="260"/>
      <c r="U1128" s="624"/>
      <c r="V1128" s="85"/>
      <c r="W1128" s="624"/>
      <c r="X1128" s="81"/>
      <c r="Y1128" s="80"/>
      <c r="Z1128" s="737">
        <f ca="1">MAX(0%,IF(Q1128&lt;&gt;0,MIN((S1128-Q1128)/Q1128/'Underwriting Risk'!$E$27,'Premium and Reserve Risk'!$Z$1076),'Premium and Reserve Risk'!$Z$1076))</f>
        <v>0.17</v>
      </c>
      <c r="AA1128" s="80"/>
      <c r="AB1128" s="80"/>
      <c r="AC1128" s="737">
        <f ca="1">MAX(0%,IF(U1128&lt;&gt;0,MIN((W1128-U1128)/U1128/'Underwriting Risk'!$E$27,'Premium and Reserve Risk'!$AC$1076),'Premium and Reserve Risk'!$AC$1076))</f>
        <v>0.2</v>
      </c>
      <c r="AD1128" s="81"/>
      <c r="AE1128" s="97"/>
      <c r="AF1128" s="97"/>
      <c r="AG1128" s="97"/>
      <c r="AH1128" s="97"/>
    </row>
    <row r="1129" spans="1:34" ht="13.5" customHeight="1" x14ac:dyDescent="0.25">
      <c r="A1129" s="97"/>
      <c r="B1129" s="257">
        <v>52</v>
      </c>
      <c r="C1129" s="652"/>
      <c r="D1129" s="80"/>
      <c r="E1129" s="80"/>
      <c r="F1129" s="258">
        <f t="shared" ca="1" si="35"/>
        <v>0</v>
      </c>
      <c r="G1129" s="624"/>
      <c r="H1129" s="85"/>
      <c r="I1129" s="624"/>
      <c r="J1129" s="85"/>
      <c r="K1129" s="624"/>
      <c r="L1129" s="85"/>
      <c r="M1129" s="624"/>
      <c r="N1129" s="85"/>
      <c r="O1129" s="624"/>
      <c r="P1129" s="85"/>
      <c r="Q1129" s="626">
        <f t="shared" si="34"/>
        <v>0</v>
      </c>
      <c r="R1129" s="85"/>
      <c r="S1129" s="624"/>
      <c r="T1129" s="260"/>
      <c r="U1129" s="624"/>
      <c r="V1129" s="85"/>
      <c r="W1129" s="624"/>
      <c r="X1129" s="81"/>
      <c r="Y1129" s="80"/>
      <c r="Z1129" s="737">
        <f ca="1">MAX(0%,IF(Q1129&lt;&gt;0,MIN((S1129-Q1129)/Q1129/'Underwriting Risk'!$E$27,'Premium and Reserve Risk'!$Z$1076),'Premium and Reserve Risk'!$Z$1076))</f>
        <v>0.17</v>
      </c>
      <c r="AA1129" s="80"/>
      <c r="AB1129" s="80"/>
      <c r="AC1129" s="737">
        <f ca="1">MAX(0%,IF(U1129&lt;&gt;0,MIN((W1129-U1129)/U1129/'Underwriting Risk'!$E$27,'Premium and Reserve Risk'!$AC$1076),'Premium and Reserve Risk'!$AC$1076))</f>
        <v>0.2</v>
      </c>
      <c r="AD1129" s="81"/>
      <c r="AE1129" s="97"/>
      <c r="AF1129" s="97"/>
      <c r="AG1129" s="97"/>
      <c r="AH1129" s="97"/>
    </row>
    <row r="1130" spans="1:34" ht="13.5" customHeight="1" x14ac:dyDescent="0.25">
      <c r="A1130" s="97"/>
      <c r="B1130" s="257">
        <v>53</v>
      </c>
      <c r="C1130" s="652"/>
      <c r="D1130" s="80"/>
      <c r="E1130" s="80"/>
      <c r="F1130" s="258">
        <f t="shared" ca="1" si="35"/>
        <v>0</v>
      </c>
      <c r="G1130" s="624"/>
      <c r="H1130" s="85"/>
      <c r="I1130" s="624"/>
      <c r="J1130" s="85"/>
      <c r="K1130" s="624"/>
      <c r="L1130" s="85"/>
      <c r="M1130" s="624"/>
      <c r="N1130" s="85"/>
      <c r="O1130" s="624"/>
      <c r="P1130" s="85"/>
      <c r="Q1130" s="626">
        <f t="shared" si="34"/>
        <v>0</v>
      </c>
      <c r="R1130" s="85"/>
      <c r="S1130" s="624"/>
      <c r="T1130" s="260"/>
      <c r="U1130" s="624"/>
      <c r="V1130" s="85"/>
      <c r="W1130" s="624"/>
      <c r="X1130" s="81"/>
      <c r="Y1130" s="80"/>
      <c r="Z1130" s="737">
        <f ca="1">MAX(0%,IF(Q1130&lt;&gt;0,MIN((S1130-Q1130)/Q1130/'Underwriting Risk'!$E$27,'Premium and Reserve Risk'!$Z$1076),'Premium and Reserve Risk'!$Z$1076))</f>
        <v>0.17</v>
      </c>
      <c r="AA1130" s="80"/>
      <c r="AB1130" s="80"/>
      <c r="AC1130" s="737">
        <f ca="1">MAX(0%,IF(U1130&lt;&gt;0,MIN((W1130-U1130)/U1130/'Underwriting Risk'!$E$27,'Premium and Reserve Risk'!$AC$1076),'Premium and Reserve Risk'!$AC$1076))</f>
        <v>0.2</v>
      </c>
      <c r="AD1130" s="81"/>
      <c r="AE1130" s="97"/>
      <c r="AF1130" s="97"/>
      <c r="AG1130" s="97"/>
      <c r="AH1130" s="97"/>
    </row>
    <row r="1131" spans="1:34" ht="13.5" customHeight="1" x14ac:dyDescent="0.25">
      <c r="A1131" s="97"/>
      <c r="B1131" s="257">
        <v>54</v>
      </c>
      <c r="C1131" s="652"/>
      <c r="D1131" s="80"/>
      <c r="E1131" s="80"/>
      <c r="F1131" s="258">
        <f t="shared" ca="1" si="35"/>
        <v>0</v>
      </c>
      <c r="G1131" s="624"/>
      <c r="H1131" s="85"/>
      <c r="I1131" s="624"/>
      <c r="J1131" s="85"/>
      <c r="K1131" s="624"/>
      <c r="L1131" s="85"/>
      <c r="M1131" s="624"/>
      <c r="N1131" s="85"/>
      <c r="O1131" s="624"/>
      <c r="P1131" s="85"/>
      <c r="Q1131" s="626">
        <f t="shared" si="34"/>
        <v>0</v>
      </c>
      <c r="R1131" s="85"/>
      <c r="S1131" s="624"/>
      <c r="T1131" s="260"/>
      <c r="U1131" s="624"/>
      <c r="V1131" s="85"/>
      <c r="W1131" s="624"/>
      <c r="X1131" s="81"/>
      <c r="Y1131" s="80"/>
      <c r="Z1131" s="737">
        <f ca="1">MAX(0%,IF(Q1131&lt;&gt;0,MIN((S1131-Q1131)/Q1131/'Underwriting Risk'!$E$27,'Premium and Reserve Risk'!$Z$1076),'Premium and Reserve Risk'!$Z$1076))</f>
        <v>0.17</v>
      </c>
      <c r="AA1131" s="80"/>
      <c r="AB1131" s="80"/>
      <c r="AC1131" s="737">
        <f ca="1">MAX(0%,IF(U1131&lt;&gt;0,MIN((W1131-U1131)/U1131/'Underwriting Risk'!$E$27,'Premium and Reserve Risk'!$AC$1076),'Premium and Reserve Risk'!$AC$1076))</f>
        <v>0.2</v>
      </c>
      <c r="AD1131" s="81"/>
      <c r="AE1131" s="97"/>
      <c r="AF1131" s="97"/>
      <c r="AG1131" s="97"/>
      <c r="AH1131" s="97"/>
    </row>
    <row r="1132" spans="1:34" ht="13.5" customHeight="1" x14ac:dyDescent="0.25">
      <c r="A1132" s="97"/>
      <c r="B1132" s="257">
        <v>55</v>
      </c>
      <c r="C1132" s="652"/>
      <c r="D1132" s="80"/>
      <c r="E1132" s="80"/>
      <c r="F1132" s="258">
        <f t="shared" ca="1" si="35"/>
        <v>0</v>
      </c>
      <c r="G1132" s="624"/>
      <c r="H1132" s="85"/>
      <c r="I1132" s="624"/>
      <c r="J1132" s="85"/>
      <c r="K1132" s="624"/>
      <c r="L1132" s="85"/>
      <c r="M1132" s="624"/>
      <c r="N1132" s="85"/>
      <c r="O1132" s="624"/>
      <c r="P1132" s="85"/>
      <c r="Q1132" s="626">
        <f t="shared" si="34"/>
        <v>0</v>
      </c>
      <c r="R1132" s="85"/>
      <c r="S1132" s="624"/>
      <c r="T1132" s="260"/>
      <c r="U1132" s="624"/>
      <c r="V1132" s="85"/>
      <c r="W1132" s="624"/>
      <c r="X1132" s="81"/>
      <c r="Y1132" s="80"/>
      <c r="Z1132" s="737">
        <f ca="1">MAX(0%,IF(Q1132&lt;&gt;0,MIN((S1132-Q1132)/Q1132/'Underwriting Risk'!$E$27,'Premium and Reserve Risk'!$Z$1076),'Premium and Reserve Risk'!$Z$1076))</f>
        <v>0.17</v>
      </c>
      <c r="AA1132" s="80"/>
      <c r="AB1132" s="80"/>
      <c r="AC1132" s="737">
        <f ca="1">MAX(0%,IF(U1132&lt;&gt;0,MIN((W1132-U1132)/U1132/'Underwriting Risk'!$E$27,'Premium and Reserve Risk'!$AC$1076),'Premium and Reserve Risk'!$AC$1076))</f>
        <v>0.2</v>
      </c>
      <c r="AD1132" s="81"/>
      <c r="AE1132" s="97"/>
      <c r="AF1132" s="97"/>
      <c r="AG1132" s="97"/>
      <c r="AH1132" s="97"/>
    </row>
    <row r="1133" spans="1:34" ht="13.5" customHeight="1" x14ac:dyDescent="0.25">
      <c r="A1133" s="97"/>
      <c r="B1133" s="257">
        <v>56</v>
      </c>
      <c r="C1133" s="652"/>
      <c r="D1133" s="80"/>
      <c r="E1133" s="80"/>
      <c r="F1133" s="258">
        <f t="shared" ca="1" si="35"/>
        <v>0</v>
      </c>
      <c r="G1133" s="624"/>
      <c r="H1133" s="85"/>
      <c r="I1133" s="624"/>
      <c r="J1133" s="85"/>
      <c r="K1133" s="624"/>
      <c r="L1133" s="85"/>
      <c r="M1133" s="624"/>
      <c r="N1133" s="85"/>
      <c r="O1133" s="624"/>
      <c r="P1133" s="85"/>
      <c r="Q1133" s="626">
        <f t="shared" si="34"/>
        <v>0</v>
      </c>
      <c r="R1133" s="85"/>
      <c r="S1133" s="624"/>
      <c r="T1133" s="260"/>
      <c r="U1133" s="624"/>
      <c r="V1133" s="85"/>
      <c r="W1133" s="624"/>
      <c r="X1133" s="81"/>
      <c r="Y1133" s="80"/>
      <c r="Z1133" s="737">
        <f ca="1">MAX(0%,IF(Q1133&lt;&gt;0,MIN((S1133-Q1133)/Q1133/'Underwriting Risk'!$E$27,'Premium and Reserve Risk'!$Z$1076),'Premium and Reserve Risk'!$Z$1076))</f>
        <v>0.17</v>
      </c>
      <c r="AA1133" s="80"/>
      <c r="AB1133" s="80"/>
      <c r="AC1133" s="737">
        <f ca="1">MAX(0%,IF(U1133&lt;&gt;0,MIN((W1133-U1133)/U1133/'Underwriting Risk'!$E$27,'Premium and Reserve Risk'!$AC$1076),'Premium and Reserve Risk'!$AC$1076))</f>
        <v>0.2</v>
      </c>
      <c r="AD1133" s="81"/>
      <c r="AE1133" s="97"/>
      <c r="AF1133" s="97"/>
      <c r="AG1133" s="97"/>
      <c r="AH1133" s="97"/>
    </row>
    <row r="1134" spans="1:34" ht="13.5" customHeight="1" x14ac:dyDescent="0.25">
      <c r="A1134" s="97"/>
      <c r="B1134" s="257">
        <v>57</v>
      </c>
      <c r="C1134" s="652"/>
      <c r="D1134" s="80"/>
      <c r="E1134" s="80"/>
      <c r="F1134" s="258">
        <f t="shared" ca="1" si="35"/>
        <v>0</v>
      </c>
      <c r="G1134" s="624"/>
      <c r="H1134" s="85"/>
      <c r="I1134" s="624"/>
      <c r="J1134" s="85"/>
      <c r="K1134" s="624"/>
      <c r="L1134" s="85"/>
      <c r="M1134" s="624"/>
      <c r="N1134" s="85"/>
      <c r="O1134" s="624"/>
      <c r="P1134" s="85"/>
      <c r="Q1134" s="626">
        <f t="shared" si="34"/>
        <v>0</v>
      </c>
      <c r="R1134" s="85"/>
      <c r="S1134" s="624"/>
      <c r="T1134" s="260"/>
      <c r="U1134" s="624"/>
      <c r="V1134" s="85"/>
      <c r="W1134" s="624"/>
      <c r="X1134" s="81"/>
      <c r="Y1134" s="80"/>
      <c r="Z1134" s="737">
        <f ca="1">MAX(0%,IF(Q1134&lt;&gt;0,MIN((S1134-Q1134)/Q1134/'Underwriting Risk'!$E$27,'Premium and Reserve Risk'!$Z$1076),'Premium and Reserve Risk'!$Z$1076))</f>
        <v>0.17</v>
      </c>
      <c r="AA1134" s="80"/>
      <c r="AB1134" s="80"/>
      <c r="AC1134" s="737">
        <f ca="1">MAX(0%,IF(U1134&lt;&gt;0,MIN((W1134-U1134)/U1134/'Underwriting Risk'!$E$27,'Premium and Reserve Risk'!$AC$1076),'Premium and Reserve Risk'!$AC$1076))</f>
        <v>0.2</v>
      </c>
      <c r="AD1134" s="81"/>
      <c r="AE1134" s="97"/>
      <c r="AF1134" s="97"/>
      <c r="AG1134" s="97"/>
      <c r="AH1134" s="97"/>
    </row>
    <row r="1135" spans="1:34" ht="13.5" customHeight="1" x14ac:dyDescent="0.25">
      <c r="A1135" s="97"/>
      <c r="B1135" s="257">
        <v>58</v>
      </c>
      <c r="C1135" s="652"/>
      <c r="D1135" s="80"/>
      <c r="E1135" s="80"/>
      <c r="F1135" s="258">
        <f t="shared" ca="1" si="35"/>
        <v>0</v>
      </c>
      <c r="G1135" s="624"/>
      <c r="H1135" s="85"/>
      <c r="I1135" s="624"/>
      <c r="J1135" s="85"/>
      <c r="K1135" s="624"/>
      <c r="L1135" s="85"/>
      <c r="M1135" s="624"/>
      <c r="N1135" s="85"/>
      <c r="O1135" s="624"/>
      <c r="P1135" s="85"/>
      <c r="Q1135" s="626">
        <f t="shared" si="34"/>
        <v>0</v>
      </c>
      <c r="R1135" s="85"/>
      <c r="S1135" s="624"/>
      <c r="T1135" s="260"/>
      <c r="U1135" s="624"/>
      <c r="V1135" s="85"/>
      <c r="W1135" s="624"/>
      <c r="X1135" s="81"/>
      <c r="Y1135" s="80"/>
      <c r="Z1135" s="737">
        <f ca="1">MAX(0%,IF(Q1135&lt;&gt;0,MIN((S1135-Q1135)/Q1135/'Underwriting Risk'!$E$27,'Premium and Reserve Risk'!$Z$1076),'Premium and Reserve Risk'!$Z$1076))</f>
        <v>0.17</v>
      </c>
      <c r="AA1135" s="80"/>
      <c r="AB1135" s="80"/>
      <c r="AC1135" s="737">
        <f ca="1">MAX(0%,IF(U1135&lt;&gt;0,MIN((W1135-U1135)/U1135/'Underwriting Risk'!$E$27,'Premium and Reserve Risk'!$AC$1076),'Premium and Reserve Risk'!$AC$1076))</f>
        <v>0.2</v>
      </c>
      <c r="AD1135" s="81"/>
      <c r="AE1135" s="97"/>
      <c r="AF1135" s="97"/>
      <c r="AG1135" s="97"/>
      <c r="AH1135" s="97"/>
    </row>
    <row r="1136" spans="1:34" ht="13.5" customHeight="1" x14ac:dyDescent="0.25">
      <c r="A1136" s="97"/>
      <c r="B1136" s="257">
        <v>59</v>
      </c>
      <c r="C1136" s="652"/>
      <c r="D1136" s="80"/>
      <c r="E1136" s="80"/>
      <c r="F1136" s="258">
        <f t="shared" ca="1" si="35"/>
        <v>0</v>
      </c>
      <c r="G1136" s="624"/>
      <c r="H1136" s="85"/>
      <c r="I1136" s="624"/>
      <c r="J1136" s="85"/>
      <c r="K1136" s="624"/>
      <c r="L1136" s="85"/>
      <c r="M1136" s="624"/>
      <c r="N1136" s="85"/>
      <c r="O1136" s="624"/>
      <c r="P1136" s="85"/>
      <c r="Q1136" s="626">
        <f t="shared" si="34"/>
        <v>0</v>
      </c>
      <c r="R1136" s="85"/>
      <c r="S1136" s="624"/>
      <c r="T1136" s="260"/>
      <c r="U1136" s="624"/>
      <c r="V1136" s="85"/>
      <c r="W1136" s="624"/>
      <c r="X1136" s="81"/>
      <c r="Y1136" s="80"/>
      <c r="Z1136" s="737">
        <f ca="1">MAX(0%,IF(Q1136&lt;&gt;0,MIN((S1136-Q1136)/Q1136/'Underwriting Risk'!$E$27,'Premium and Reserve Risk'!$Z$1076),'Premium and Reserve Risk'!$Z$1076))</f>
        <v>0.17</v>
      </c>
      <c r="AA1136" s="80"/>
      <c r="AB1136" s="80"/>
      <c r="AC1136" s="737">
        <f ca="1">MAX(0%,IF(U1136&lt;&gt;0,MIN((W1136-U1136)/U1136/'Underwriting Risk'!$E$27,'Premium and Reserve Risk'!$AC$1076),'Premium and Reserve Risk'!$AC$1076))</f>
        <v>0.2</v>
      </c>
      <c r="AD1136" s="81"/>
      <c r="AE1136" s="97"/>
      <c r="AF1136" s="97"/>
      <c r="AG1136" s="97"/>
      <c r="AH1136" s="97"/>
    </row>
    <row r="1137" spans="1:34" ht="13.5" customHeight="1" x14ac:dyDescent="0.25">
      <c r="A1137" s="97"/>
      <c r="B1137" s="257">
        <v>60</v>
      </c>
      <c r="C1137" s="652"/>
      <c r="D1137" s="80"/>
      <c r="E1137" s="80"/>
      <c r="F1137" s="258">
        <f t="shared" ca="1" si="35"/>
        <v>0</v>
      </c>
      <c r="G1137" s="624"/>
      <c r="H1137" s="85"/>
      <c r="I1137" s="624"/>
      <c r="J1137" s="85"/>
      <c r="K1137" s="624"/>
      <c r="L1137" s="85"/>
      <c r="M1137" s="624"/>
      <c r="N1137" s="85"/>
      <c r="O1137" s="624"/>
      <c r="P1137" s="85"/>
      <c r="Q1137" s="626">
        <f t="shared" si="34"/>
        <v>0</v>
      </c>
      <c r="R1137" s="85"/>
      <c r="S1137" s="624"/>
      <c r="T1137" s="260"/>
      <c r="U1137" s="624"/>
      <c r="V1137" s="85"/>
      <c r="W1137" s="624"/>
      <c r="X1137" s="81"/>
      <c r="Y1137" s="80"/>
      <c r="Z1137" s="737">
        <f ca="1">MAX(0%,IF(Q1137&lt;&gt;0,MIN((S1137-Q1137)/Q1137/'Underwriting Risk'!$E$27,'Premium and Reserve Risk'!$Z$1076),'Premium and Reserve Risk'!$Z$1076))</f>
        <v>0.17</v>
      </c>
      <c r="AA1137" s="80"/>
      <c r="AB1137" s="80"/>
      <c r="AC1137" s="737">
        <f ca="1">MAX(0%,IF(U1137&lt;&gt;0,MIN((W1137-U1137)/U1137/'Underwriting Risk'!$E$27,'Premium and Reserve Risk'!$AC$1076),'Premium and Reserve Risk'!$AC$1076))</f>
        <v>0.2</v>
      </c>
      <c r="AD1137" s="81"/>
      <c r="AE1137" s="97"/>
      <c r="AF1137" s="97"/>
      <c r="AG1137" s="97"/>
      <c r="AH1137" s="97"/>
    </row>
    <row r="1138" spans="1:34" ht="13.5" customHeight="1" x14ac:dyDescent="0.25">
      <c r="A1138" s="97"/>
      <c r="B1138" s="257">
        <v>61</v>
      </c>
      <c r="C1138" s="652"/>
      <c r="D1138" s="80"/>
      <c r="E1138" s="80"/>
      <c r="F1138" s="258">
        <f t="shared" ca="1" si="35"/>
        <v>0</v>
      </c>
      <c r="G1138" s="624"/>
      <c r="H1138" s="85"/>
      <c r="I1138" s="624"/>
      <c r="J1138" s="85"/>
      <c r="K1138" s="624"/>
      <c r="L1138" s="85"/>
      <c r="M1138" s="624"/>
      <c r="N1138" s="85"/>
      <c r="O1138" s="624"/>
      <c r="P1138" s="85"/>
      <c r="Q1138" s="626">
        <f t="shared" si="34"/>
        <v>0</v>
      </c>
      <c r="R1138" s="85"/>
      <c r="S1138" s="624"/>
      <c r="T1138" s="260"/>
      <c r="U1138" s="624"/>
      <c r="V1138" s="85"/>
      <c r="W1138" s="624"/>
      <c r="X1138" s="81"/>
      <c r="Y1138" s="80"/>
      <c r="Z1138" s="737">
        <f ca="1">MAX(0%,IF(Q1138&lt;&gt;0,MIN((S1138-Q1138)/Q1138/'Underwriting Risk'!$E$27,'Premium and Reserve Risk'!$Z$1076),'Premium and Reserve Risk'!$Z$1076))</f>
        <v>0.17</v>
      </c>
      <c r="AA1138" s="80"/>
      <c r="AB1138" s="80"/>
      <c r="AC1138" s="737">
        <f ca="1">MAX(0%,IF(U1138&lt;&gt;0,MIN((W1138-U1138)/U1138/'Underwriting Risk'!$E$27,'Premium and Reserve Risk'!$AC$1076),'Premium and Reserve Risk'!$AC$1076))</f>
        <v>0.2</v>
      </c>
      <c r="AD1138" s="81"/>
      <c r="AE1138" s="97"/>
      <c r="AF1138" s="97"/>
      <c r="AG1138" s="97"/>
      <c r="AH1138" s="97"/>
    </row>
    <row r="1139" spans="1:34" ht="13.5" customHeight="1" x14ac:dyDescent="0.25">
      <c r="A1139" s="97"/>
      <c r="B1139" s="257">
        <v>62</v>
      </c>
      <c r="C1139" s="652"/>
      <c r="D1139" s="80"/>
      <c r="E1139" s="80"/>
      <c r="F1139" s="258">
        <f t="shared" ca="1" si="35"/>
        <v>0</v>
      </c>
      <c r="G1139" s="624"/>
      <c r="H1139" s="85"/>
      <c r="I1139" s="624"/>
      <c r="J1139" s="85"/>
      <c r="K1139" s="624"/>
      <c r="L1139" s="85"/>
      <c r="M1139" s="624"/>
      <c r="N1139" s="85"/>
      <c r="O1139" s="624"/>
      <c r="P1139" s="85"/>
      <c r="Q1139" s="626">
        <f t="shared" si="34"/>
        <v>0</v>
      </c>
      <c r="R1139" s="85"/>
      <c r="S1139" s="624"/>
      <c r="T1139" s="260"/>
      <c r="U1139" s="624"/>
      <c r="V1139" s="85"/>
      <c r="W1139" s="624"/>
      <c r="X1139" s="81"/>
      <c r="Y1139" s="80"/>
      <c r="Z1139" s="737">
        <f ca="1">MAX(0%,IF(Q1139&lt;&gt;0,MIN((S1139-Q1139)/Q1139/'Underwriting Risk'!$E$27,'Premium and Reserve Risk'!$Z$1076),'Premium and Reserve Risk'!$Z$1076))</f>
        <v>0.17</v>
      </c>
      <c r="AA1139" s="80"/>
      <c r="AB1139" s="80"/>
      <c r="AC1139" s="737">
        <f ca="1">MAX(0%,IF(U1139&lt;&gt;0,MIN((W1139-U1139)/U1139/'Underwriting Risk'!$E$27,'Premium and Reserve Risk'!$AC$1076),'Premium and Reserve Risk'!$AC$1076))</f>
        <v>0.2</v>
      </c>
      <c r="AD1139" s="81"/>
      <c r="AE1139" s="97"/>
      <c r="AF1139" s="97"/>
      <c r="AG1139" s="97"/>
      <c r="AH1139" s="97"/>
    </row>
    <row r="1140" spans="1:34" ht="13.5" customHeight="1" x14ac:dyDescent="0.25">
      <c r="A1140" s="97"/>
      <c r="B1140" s="257">
        <v>63</v>
      </c>
      <c r="C1140" s="652"/>
      <c r="D1140" s="80"/>
      <c r="E1140" s="80"/>
      <c r="F1140" s="258">
        <f t="shared" ca="1" si="35"/>
        <v>0</v>
      </c>
      <c r="G1140" s="624"/>
      <c r="H1140" s="85"/>
      <c r="I1140" s="624"/>
      <c r="J1140" s="85"/>
      <c r="K1140" s="624"/>
      <c r="L1140" s="85"/>
      <c r="M1140" s="624"/>
      <c r="N1140" s="85"/>
      <c r="O1140" s="624"/>
      <c r="P1140" s="85"/>
      <c r="Q1140" s="626">
        <f t="shared" si="34"/>
        <v>0</v>
      </c>
      <c r="R1140" s="85"/>
      <c r="S1140" s="624"/>
      <c r="T1140" s="260"/>
      <c r="U1140" s="624"/>
      <c r="V1140" s="85"/>
      <c r="W1140" s="624"/>
      <c r="X1140" s="81"/>
      <c r="Y1140" s="80"/>
      <c r="Z1140" s="737">
        <f ca="1">MAX(0%,IF(Q1140&lt;&gt;0,MIN((S1140-Q1140)/Q1140/'Underwriting Risk'!$E$27,'Premium and Reserve Risk'!$Z$1076),'Premium and Reserve Risk'!$Z$1076))</f>
        <v>0.17</v>
      </c>
      <c r="AA1140" s="80"/>
      <c r="AB1140" s="80"/>
      <c r="AC1140" s="737">
        <f ca="1">MAX(0%,IF(U1140&lt;&gt;0,MIN((W1140-U1140)/U1140/'Underwriting Risk'!$E$27,'Premium and Reserve Risk'!$AC$1076),'Premium and Reserve Risk'!$AC$1076))</f>
        <v>0.2</v>
      </c>
      <c r="AD1140" s="81"/>
      <c r="AE1140" s="97"/>
      <c r="AF1140" s="97"/>
      <c r="AG1140" s="97"/>
      <c r="AH1140" s="97"/>
    </row>
    <row r="1141" spans="1:34" ht="13.5" customHeight="1" x14ac:dyDescent="0.25">
      <c r="A1141" s="97"/>
      <c r="B1141" s="257">
        <v>64</v>
      </c>
      <c r="C1141" s="652"/>
      <c r="D1141" s="80"/>
      <c r="E1141" s="80"/>
      <c r="F1141" s="258">
        <f t="shared" ca="1" si="35"/>
        <v>0</v>
      </c>
      <c r="G1141" s="624"/>
      <c r="H1141" s="85"/>
      <c r="I1141" s="624"/>
      <c r="J1141" s="85"/>
      <c r="K1141" s="624"/>
      <c r="L1141" s="85"/>
      <c r="M1141" s="624"/>
      <c r="N1141" s="85"/>
      <c r="O1141" s="624"/>
      <c r="P1141" s="85"/>
      <c r="Q1141" s="626">
        <f t="shared" si="34"/>
        <v>0</v>
      </c>
      <c r="R1141" s="85"/>
      <c r="S1141" s="624"/>
      <c r="T1141" s="260"/>
      <c r="U1141" s="624"/>
      <c r="V1141" s="85"/>
      <c r="W1141" s="624"/>
      <c r="X1141" s="81"/>
      <c r="Y1141" s="80"/>
      <c r="Z1141" s="737">
        <f ca="1">MAX(0%,IF(Q1141&lt;&gt;0,MIN((S1141-Q1141)/Q1141/'Underwriting Risk'!$E$27,'Premium and Reserve Risk'!$Z$1076),'Premium and Reserve Risk'!$Z$1076))</f>
        <v>0.17</v>
      </c>
      <c r="AA1141" s="80"/>
      <c r="AB1141" s="80"/>
      <c r="AC1141" s="737">
        <f ca="1">MAX(0%,IF(U1141&lt;&gt;0,MIN((W1141-U1141)/U1141/'Underwriting Risk'!$E$27,'Premium and Reserve Risk'!$AC$1076),'Premium and Reserve Risk'!$AC$1076))</f>
        <v>0.2</v>
      </c>
      <c r="AD1141" s="81"/>
      <c r="AE1141" s="97"/>
      <c r="AF1141" s="97"/>
      <c r="AG1141" s="97"/>
      <c r="AH1141" s="97"/>
    </row>
    <row r="1142" spans="1:34" ht="13.5" customHeight="1" x14ac:dyDescent="0.25">
      <c r="A1142" s="97"/>
      <c r="B1142" s="257">
        <v>65</v>
      </c>
      <c r="C1142" s="652"/>
      <c r="D1142" s="80"/>
      <c r="E1142" s="80"/>
      <c r="F1142" s="258">
        <f t="shared" ca="1" si="35"/>
        <v>0</v>
      </c>
      <c r="G1142" s="624"/>
      <c r="H1142" s="85"/>
      <c r="I1142" s="624"/>
      <c r="J1142" s="85"/>
      <c r="K1142" s="624"/>
      <c r="L1142" s="85"/>
      <c r="M1142" s="624"/>
      <c r="N1142" s="85"/>
      <c r="O1142" s="624"/>
      <c r="P1142" s="85"/>
      <c r="Q1142" s="626">
        <f t="shared" si="34"/>
        <v>0</v>
      </c>
      <c r="R1142" s="85"/>
      <c r="S1142" s="624"/>
      <c r="T1142" s="260"/>
      <c r="U1142" s="624"/>
      <c r="V1142" s="85"/>
      <c r="W1142" s="624"/>
      <c r="X1142" s="81"/>
      <c r="Y1142" s="80"/>
      <c r="Z1142" s="737">
        <f ca="1">MAX(0%,IF(Q1142&lt;&gt;0,MIN((S1142-Q1142)/Q1142/'Underwriting Risk'!$E$27,'Premium and Reserve Risk'!$Z$1076),'Premium and Reserve Risk'!$Z$1076))</f>
        <v>0.17</v>
      </c>
      <c r="AA1142" s="80"/>
      <c r="AB1142" s="80"/>
      <c r="AC1142" s="737">
        <f ca="1">MAX(0%,IF(U1142&lt;&gt;0,MIN((W1142-U1142)/U1142/'Underwriting Risk'!$E$27,'Premium and Reserve Risk'!$AC$1076),'Premium and Reserve Risk'!$AC$1076))</f>
        <v>0.2</v>
      </c>
      <c r="AD1142" s="81"/>
      <c r="AE1142" s="97"/>
      <c r="AF1142" s="97"/>
      <c r="AG1142" s="97"/>
      <c r="AH1142" s="97"/>
    </row>
    <row r="1143" spans="1:34" ht="13.5" customHeight="1" x14ac:dyDescent="0.25">
      <c r="A1143" s="97"/>
      <c r="B1143" s="257">
        <v>66</v>
      </c>
      <c r="C1143" s="652"/>
      <c r="D1143" s="80"/>
      <c r="E1143" s="80"/>
      <c r="F1143" s="258">
        <f t="shared" ref="F1143:F1177" ca="1" si="36">IF(B1143&lt;=OFFSET($Z$8,10,0),0,1)</f>
        <v>0</v>
      </c>
      <c r="G1143" s="624"/>
      <c r="H1143" s="85"/>
      <c r="I1143" s="624"/>
      <c r="J1143" s="85"/>
      <c r="K1143" s="624"/>
      <c r="L1143" s="85"/>
      <c r="M1143" s="624"/>
      <c r="N1143" s="85"/>
      <c r="O1143" s="624"/>
      <c r="P1143" s="85"/>
      <c r="Q1143" s="626">
        <f t="shared" si="34"/>
        <v>0</v>
      </c>
      <c r="R1143" s="85"/>
      <c r="S1143" s="624"/>
      <c r="T1143" s="260"/>
      <c r="U1143" s="624"/>
      <c r="V1143" s="85"/>
      <c r="W1143" s="624"/>
      <c r="X1143" s="81"/>
      <c r="Y1143" s="80"/>
      <c r="Z1143" s="737">
        <f ca="1">MAX(0%,IF(Q1143&lt;&gt;0,MIN((S1143-Q1143)/Q1143/'Underwriting Risk'!$E$27,'Premium and Reserve Risk'!$Z$1076),'Premium and Reserve Risk'!$Z$1076))</f>
        <v>0.17</v>
      </c>
      <c r="AA1143" s="80"/>
      <c r="AB1143" s="80"/>
      <c r="AC1143" s="737">
        <f ca="1">MAX(0%,IF(U1143&lt;&gt;0,MIN((W1143-U1143)/U1143/'Underwriting Risk'!$E$27,'Premium and Reserve Risk'!$AC$1076),'Premium and Reserve Risk'!$AC$1076))</f>
        <v>0.2</v>
      </c>
      <c r="AD1143" s="81"/>
      <c r="AE1143" s="97"/>
      <c r="AF1143" s="97"/>
      <c r="AG1143" s="97"/>
      <c r="AH1143" s="97"/>
    </row>
    <row r="1144" spans="1:34" ht="13.5" customHeight="1" x14ac:dyDescent="0.25">
      <c r="A1144" s="97"/>
      <c r="B1144" s="257">
        <v>67</v>
      </c>
      <c r="C1144" s="652"/>
      <c r="D1144" s="80"/>
      <c r="E1144" s="80"/>
      <c r="F1144" s="258">
        <f t="shared" ca="1" si="36"/>
        <v>0</v>
      </c>
      <c r="G1144" s="624"/>
      <c r="H1144" s="85"/>
      <c r="I1144" s="624"/>
      <c r="J1144" s="85"/>
      <c r="K1144" s="624"/>
      <c r="L1144" s="85"/>
      <c r="M1144" s="624"/>
      <c r="N1144" s="85"/>
      <c r="O1144" s="624"/>
      <c r="P1144" s="85"/>
      <c r="Q1144" s="626">
        <f t="shared" si="34"/>
        <v>0</v>
      </c>
      <c r="R1144" s="85"/>
      <c r="S1144" s="624"/>
      <c r="T1144" s="260"/>
      <c r="U1144" s="624"/>
      <c r="V1144" s="85"/>
      <c r="W1144" s="624"/>
      <c r="X1144" s="81"/>
      <c r="Y1144" s="80"/>
      <c r="Z1144" s="737">
        <f ca="1">MAX(0%,IF(Q1144&lt;&gt;0,MIN((S1144-Q1144)/Q1144/'Underwriting Risk'!$E$27,'Premium and Reserve Risk'!$Z$1076),'Premium and Reserve Risk'!$Z$1076))</f>
        <v>0.17</v>
      </c>
      <c r="AA1144" s="80"/>
      <c r="AB1144" s="80"/>
      <c r="AC1144" s="737">
        <f ca="1">MAX(0%,IF(U1144&lt;&gt;0,MIN((W1144-U1144)/U1144/'Underwriting Risk'!$E$27,'Premium and Reserve Risk'!$AC$1076),'Premium and Reserve Risk'!$AC$1076))</f>
        <v>0.2</v>
      </c>
      <c r="AD1144" s="81"/>
      <c r="AE1144" s="97"/>
      <c r="AF1144" s="97"/>
      <c r="AG1144" s="97"/>
      <c r="AH1144" s="97"/>
    </row>
    <row r="1145" spans="1:34" ht="13.5" customHeight="1" x14ac:dyDescent="0.25">
      <c r="A1145" s="97"/>
      <c r="B1145" s="257">
        <v>68</v>
      </c>
      <c r="C1145" s="652"/>
      <c r="D1145" s="80"/>
      <c r="E1145" s="80"/>
      <c r="F1145" s="258">
        <f t="shared" ca="1" si="36"/>
        <v>0</v>
      </c>
      <c r="G1145" s="624"/>
      <c r="H1145" s="85"/>
      <c r="I1145" s="624"/>
      <c r="J1145" s="85"/>
      <c r="K1145" s="624"/>
      <c r="L1145" s="85"/>
      <c r="M1145" s="624"/>
      <c r="N1145" s="85"/>
      <c r="O1145" s="624"/>
      <c r="P1145" s="85"/>
      <c r="Q1145" s="626">
        <f t="shared" si="34"/>
        <v>0</v>
      </c>
      <c r="R1145" s="85"/>
      <c r="S1145" s="624"/>
      <c r="T1145" s="260"/>
      <c r="U1145" s="624"/>
      <c r="V1145" s="85"/>
      <c r="W1145" s="624"/>
      <c r="X1145" s="81"/>
      <c r="Y1145" s="80"/>
      <c r="Z1145" s="737">
        <f ca="1">MAX(0%,IF(Q1145&lt;&gt;0,MIN((S1145-Q1145)/Q1145/'Underwriting Risk'!$E$27,'Premium and Reserve Risk'!$Z$1076),'Premium and Reserve Risk'!$Z$1076))</f>
        <v>0.17</v>
      </c>
      <c r="AA1145" s="80"/>
      <c r="AB1145" s="80"/>
      <c r="AC1145" s="737">
        <f ca="1">MAX(0%,IF(U1145&lt;&gt;0,MIN((W1145-U1145)/U1145/'Underwriting Risk'!$E$27,'Premium and Reserve Risk'!$AC$1076),'Premium and Reserve Risk'!$AC$1076))</f>
        <v>0.2</v>
      </c>
      <c r="AD1145" s="81"/>
      <c r="AE1145" s="97"/>
      <c r="AF1145" s="97"/>
      <c r="AG1145" s="97"/>
      <c r="AH1145" s="97"/>
    </row>
    <row r="1146" spans="1:34" ht="13.5" customHeight="1" x14ac:dyDescent="0.25">
      <c r="A1146" s="97"/>
      <c r="B1146" s="257">
        <v>69</v>
      </c>
      <c r="C1146" s="652"/>
      <c r="D1146" s="80"/>
      <c r="E1146" s="80"/>
      <c r="F1146" s="258">
        <f t="shared" ca="1" si="36"/>
        <v>0</v>
      </c>
      <c r="G1146" s="624"/>
      <c r="H1146" s="85"/>
      <c r="I1146" s="624"/>
      <c r="J1146" s="85"/>
      <c r="K1146" s="624"/>
      <c r="L1146" s="85"/>
      <c r="M1146" s="624"/>
      <c r="N1146" s="85"/>
      <c r="O1146" s="624"/>
      <c r="P1146" s="85"/>
      <c r="Q1146" s="626">
        <f t="shared" si="34"/>
        <v>0</v>
      </c>
      <c r="R1146" s="85"/>
      <c r="S1146" s="624"/>
      <c r="T1146" s="260"/>
      <c r="U1146" s="624"/>
      <c r="V1146" s="85"/>
      <c r="W1146" s="624"/>
      <c r="X1146" s="81"/>
      <c r="Y1146" s="80"/>
      <c r="Z1146" s="737">
        <f ca="1">MAX(0%,IF(Q1146&lt;&gt;0,MIN((S1146-Q1146)/Q1146/'Underwriting Risk'!$E$27,'Premium and Reserve Risk'!$Z$1076),'Premium and Reserve Risk'!$Z$1076))</f>
        <v>0.17</v>
      </c>
      <c r="AA1146" s="80"/>
      <c r="AB1146" s="80"/>
      <c r="AC1146" s="737">
        <f ca="1">MAX(0%,IF(U1146&lt;&gt;0,MIN((W1146-U1146)/U1146/'Underwriting Risk'!$E$27,'Premium and Reserve Risk'!$AC$1076),'Premium and Reserve Risk'!$AC$1076))</f>
        <v>0.2</v>
      </c>
      <c r="AD1146" s="81"/>
      <c r="AE1146" s="97"/>
      <c r="AF1146" s="97"/>
      <c r="AG1146" s="97"/>
      <c r="AH1146" s="97"/>
    </row>
    <row r="1147" spans="1:34" ht="13.5" customHeight="1" x14ac:dyDescent="0.25">
      <c r="A1147" s="97"/>
      <c r="B1147" s="257">
        <v>70</v>
      </c>
      <c r="C1147" s="652"/>
      <c r="D1147" s="80"/>
      <c r="E1147" s="80"/>
      <c r="F1147" s="258">
        <f t="shared" ca="1" si="36"/>
        <v>0</v>
      </c>
      <c r="G1147" s="624"/>
      <c r="H1147" s="85"/>
      <c r="I1147" s="624"/>
      <c r="J1147" s="85"/>
      <c r="K1147" s="624"/>
      <c r="L1147" s="85"/>
      <c r="M1147" s="624"/>
      <c r="N1147" s="85"/>
      <c r="O1147" s="624"/>
      <c r="P1147" s="85"/>
      <c r="Q1147" s="626">
        <f t="shared" si="34"/>
        <v>0</v>
      </c>
      <c r="R1147" s="85"/>
      <c r="S1147" s="624"/>
      <c r="T1147" s="260"/>
      <c r="U1147" s="624"/>
      <c r="V1147" s="85"/>
      <c r="W1147" s="624"/>
      <c r="X1147" s="81"/>
      <c r="Y1147" s="80"/>
      <c r="Z1147" s="737">
        <f ca="1">MAX(0%,IF(Q1147&lt;&gt;0,MIN((S1147-Q1147)/Q1147/'Underwriting Risk'!$E$27,'Premium and Reserve Risk'!$Z$1076),'Premium and Reserve Risk'!$Z$1076))</f>
        <v>0.17</v>
      </c>
      <c r="AA1147" s="80"/>
      <c r="AB1147" s="80"/>
      <c r="AC1147" s="737">
        <f ca="1">MAX(0%,IF(U1147&lt;&gt;0,MIN((W1147-U1147)/U1147/'Underwriting Risk'!$E$27,'Premium and Reserve Risk'!$AC$1076),'Premium and Reserve Risk'!$AC$1076))</f>
        <v>0.2</v>
      </c>
      <c r="AD1147" s="81"/>
      <c r="AE1147" s="97"/>
      <c r="AF1147" s="97"/>
      <c r="AG1147" s="97"/>
      <c r="AH1147" s="97"/>
    </row>
    <row r="1148" spans="1:34" ht="13.5" customHeight="1" x14ac:dyDescent="0.25">
      <c r="A1148" s="97"/>
      <c r="B1148" s="257">
        <v>71</v>
      </c>
      <c r="C1148" s="652"/>
      <c r="D1148" s="80"/>
      <c r="E1148" s="80"/>
      <c r="F1148" s="258">
        <f t="shared" ca="1" si="36"/>
        <v>0</v>
      </c>
      <c r="G1148" s="624"/>
      <c r="H1148" s="85"/>
      <c r="I1148" s="624"/>
      <c r="J1148" s="85"/>
      <c r="K1148" s="624"/>
      <c r="L1148" s="85"/>
      <c r="M1148" s="624"/>
      <c r="N1148" s="85"/>
      <c r="O1148" s="624"/>
      <c r="P1148" s="85"/>
      <c r="Q1148" s="626">
        <f t="shared" si="34"/>
        <v>0</v>
      </c>
      <c r="R1148" s="85"/>
      <c r="S1148" s="624"/>
      <c r="T1148" s="260"/>
      <c r="U1148" s="624"/>
      <c r="V1148" s="85"/>
      <c r="W1148" s="624"/>
      <c r="X1148" s="81"/>
      <c r="Y1148" s="80"/>
      <c r="Z1148" s="737">
        <f ca="1">MAX(0%,IF(Q1148&lt;&gt;0,MIN((S1148-Q1148)/Q1148/'Underwriting Risk'!$E$27,'Premium and Reserve Risk'!$Z$1076),'Premium and Reserve Risk'!$Z$1076))</f>
        <v>0.17</v>
      </c>
      <c r="AA1148" s="80"/>
      <c r="AB1148" s="80"/>
      <c r="AC1148" s="737">
        <f ca="1">MAX(0%,IF(U1148&lt;&gt;0,MIN((W1148-U1148)/U1148/'Underwriting Risk'!$E$27,'Premium and Reserve Risk'!$AC$1076),'Premium and Reserve Risk'!$AC$1076))</f>
        <v>0.2</v>
      </c>
      <c r="AD1148" s="81"/>
      <c r="AE1148" s="97"/>
      <c r="AF1148" s="97"/>
      <c r="AG1148" s="97"/>
      <c r="AH1148" s="97"/>
    </row>
    <row r="1149" spans="1:34" ht="13.5" customHeight="1" x14ac:dyDescent="0.25">
      <c r="A1149" s="97"/>
      <c r="B1149" s="257">
        <v>72</v>
      </c>
      <c r="C1149" s="652"/>
      <c r="D1149" s="80"/>
      <c r="E1149" s="80"/>
      <c r="F1149" s="258">
        <f t="shared" ca="1" si="36"/>
        <v>0</v>
      </c>
      <c r="G1149" s="624"/>
      <c r="H1149" s="85"/>
      <c r="I1149" s="624"/>
      <c r="J1149" s="85"/>
      <c r="K1149" s="624"/>
      <c r="L1149" s="85"/>
      <c r="M1149" s="624"/>
      <c r="N1149" s="85"/>
      <c r="O1149" s="624"/>
      <c r="P1149" s="85"/>
      <c r="Q1149" s="626">
        <f t="shared" si="34"/>
        <v>0</v>
      </c>
      <c r="R1149" s="85"/>
      <c r="S1149" s="624"/>
      <c r="T1149" s="260"/>
      <c r="U1149" s="624"/>
      <c r="V1149" s="85"/>
      <c r="W1149" s="624"/>
      <c r="X1149" s="81"/>
      <c r="Y1149" s="80"/>
      <c r="Z1149" s="737">
        <f ca="1">MAX(0%,IF(Q1149&lt;&gt;0,MIN((S1149-Q1149)/Q1149/'Underwriting Risk'!$E$27,'Premium and Reserve Risk'!$Z$1076),'Premium and Reserve Risk'!$Z$1076))</f>
        <v>0.17</v>
      </c>
      <c r="AA1149" s="80"/>
      <c r="AB1149" s="80"/>
      <c r="AC1149" s="737">
        <f ca="1">MAX(0%,IF(U1149&lt;&gt;0,MIN((W1149-U1149)/U1149/'Underwriting Risk'!$E$27,'Premium and Reserve Risk'!$AC$1076),'Premium and Reserve Risk'!$AC$1076))</f>
        <v>0.2</v>
      </c>
      <c r="AD1149" s="81"/>
      <c r="AE1149" s="97"/>
      <c r="AF1149" s="97"/>
      <c r="AG1149" s="97"/>
      <c r="AH1149" s="97"/>
    </row>
    <row r="1150" spans="1:34" ht="13.5" customHeight="1" x14ac:dyDescent="0.25">
      <c r="A1150" s="97"/>
      <c r="B1150" s="257">
        <v>73</v>
      </c>
      <c r="C1150" s="652"/>
      <c r="D1150" s="80"/>
      <c r="E1150" s="80"/>
      <c r="F1150" s="258">
        <f t="shared" ca="1" si="36"/>
        <v>0</v>
      </c>
      <c r="G1150" s="624"/>
      <c r="H1150" s="85"/>
      <c r="I1150" s="624"/>
      <c r="J1150" s="85"/>
      <c r="K1150" s="624"/>
      <c r="L1150" s="85"/>
      <c r="M1150" s="624"/>
      <c r="N1150" s="85"/>
      <c r="O1150" s="624"/>
      <c r="P1150" s="85"/>
      <c r="Q1150" s="626">
        <f t="shared" si="34"/>
        <v>0</v>
      </c>
      <c r="R1150" s="85"/>
      <c r="S1150" s="624"/>
      <c r="T1150" s="260"/>
      <c r="U1150" s="624"/>
      <c r="V1150" s="85"/>
      <c r="W1150" s="624"/>
      <c r="X1150" s="81"/>
      <c r="Y1150" s="80"/>
      <c r="Z1150" s="737">
        <f ca="1">MAX(0%,IF(Q1150&lt;&gt;0,MIN((S1150-Q1150)/Q1150/'Underwriting Risk'!$E$27,'Premium and Reserve Risk'!$Z$1076),'Premium and Reserve Risk'!$Z$1076))</f>
        <v>0.17</v>
      </c>
      <c r="AA1150" s="80"/>
      <c r="AB1150" s="80"/>
      <c r="AC1150" s="737">
        <f ca="1">MAX(0%,IF(U1150&lt;&gt;0,MIN((W1150-U1150)/U1150/'Underwriting Risk'!$E$27,'Premium and Reserve Risk'!$AC$1076),'Premium and Reserve Risk'!$AC$1076))</f>
        <v>0.2</v>
      </c>
      <c r="AD1150" s="81"/>
      <c r="AE1150" s="97"/>
      <c r="AF1150" s="97"/>
      <c r="AG1150" s="97"/>
      <c r="AH1150" s="97"/>
    </row>
    <row r="1151" spans="1:34" ht="13.5" customHeight="1" x14ac:dyDescent="0.25">
      <c r="A1151" s="97"/>
      <c r="B1151" s="257">
        <v>74</v>
      </c>
      <c r="C1151" s="652"/>
      <c r="D1151" s="80"/>
      <c r="E1151" s="80"/>
      <c r="F1151" s="258">
        <f t="shared" ca="1" si="36"/>
        <v>0</v>
      </c>
      <c r="G1151" s="624"/>
      <c r="H1151" s="85"/>
      <c r="I1151" s="624"/>
      <c r="J1151" s="85"/>
      <c r="K1151" s="624"/>
      <c r="L1151" s="85"/>
      <c r="M1151" s="624"/>
      <c r="N1151" s="85"/>
      <c r="O1151" s="624"/>
      <c r="P1151" s="85"/>
      <c r="Q1151" s="626">
        <f t="shared" si="34"/>
        <v>0</v>
      </c>
      <c r="R1151" s="85"/>
      <c r="S1151" s="624"/>
      <c r="T1151" s="260"/>
      <c r="U1151" s="624"/>
      <c r="V1151" s="85"/>
      <c r="W1151" s="624"/>
      <c r="X1151" s="81"/>
      <c r="Y1151" s="80"/>
      <c r="Z1151" s="737">
        <f ca="1">MAX(0%,IF(Q1151&lt;&gt;0,MIN((S1151-Q1151)/Q1151/'Underwriting Risk'!$E$27,'Premium and Reserve Risk'!$Z$1076),'Premium and Reserve Risk'!$Z$1076))</f>
        <v>0.17</v>
      </c>
      <c r="AA1151" s="80"/>
      <c r="AB1151" s="80"/>
      <c r="AC1151" s="737">
        <f ca="1">MAX(0%,IF(U1151&lt;&gt;0,MIN((W1151-U1151)/U1151/'Underwriting Risk'!$E$27,'Premium and Reserve Risk'!$AC$1076),'Premium and Reserve Risk'!$AC$1076))</f>
        <v>0.2</v>
      </c>
      <c r="AD1151" s="81"/>
      <c r="AE1151" s="97"/>
      <c r="AF1151" s="97"/>
      <c r="AG1151" s="97"/>
      <c r="AH1151" s="97"/>
    </row>
    <row r="1152" spans="1:34" ht="13.5" customHeight="1" x14ac:dyDescent="0.25">
      <c r="A1152" s="97"/>
      <c r="B1152" s="257">
        <v>75</v>
      </c>
      <c r="C1152" s="652"/>
      <c r="D1152" s="80"/>
      <c r="E1152" s="80"/>
      <c r="F1152" s="258">
        <f t="shared" ca="1" si="36"/>
        <v>0</v>
      </c>
      <c r="G1152" s="624"/>
      <c r="H1152" s="85"/>
      <c r="I1152" s="624"/>
      <c r="J1152" s="85"/>
      <c r="K1152" s="624"/>
      <c r="L1152" s="85"/>
      <c r="M1152" s="624"/>
      <c r="N1152" s="85"/>
      <c r="O1152" s="624"/>
      <c r="P1152" s="85"/>
      <c r="Q1152" s="626">
        <f t="shared" si="34"/>
        <v>0</v>
      </c>
      <c r="R1152" s="85"/>
      <c r="S1152" s="624"/>
      <c r="T1152" s="260"/>
      <c r="U1152" s="624"/>
      <c r="V1152" s="85"/>
      <c r="W1152" s="624"/>
      <c r="X1152" s="81"/>
      <c r="Y1152" s="80"/>
      <c r="Z1152" s="737">
        <f ca="1">MAX(0%,IF(Q1152&lt;&gt;0,MIN((S1152-Q1152)/Q1152/'Underwriting Risk'!$E$27,'Premium and Reserve Risk'!$Z$1076),'Premium and Reserve Risk'!$Z$1076))</f>
        <v>0.17</v>
      </c>
      <c r="AA1152" s="80"/>
      <c r="AB1152" s="80"/>
      <c r="AC1152" s="737">
        <f ca="1">MAX(0%,IF(U1152&lt;&gt;0,MIN((W1152-U1152)/U1152/'Underwriting Risk'!$E$27,'Premium and Reserve Risk'!$AC$1076),'Premium and Reserve Risk'!$AC$1076))</f>
        <v>0.2</v>
      </c>
      <c r="AD1152" s="81"/>
      <c r="AE1152" s="97"/>
      <c r="AF1152" s="97"/>
      <c r="AG1152" s="97"/>
      <c r="AH1152" s="97"/>
    </row>
    <row r="1153" spans="1:34" ht="13.5" customHeight="1" x14ac:dyDescent="0.25">
      <c r="A1153" s="97"/>
      <c r="B1153" s="257">
        <v>76</v>
      </c>
      <c r="C1153" s="652"/>
      <c r="D1153" s="80"/>
      <c r="E1153" s="80"/>
      <c r="F1153" s="258">
        <f t="shared" ca="1" si="36"/>
        <v>0</v>
      </c>
      <c r="G1153" s="624"/>
      <c r="H1153" s="85"/>
      <c r="I1153" s="624"/>
      <c r="J1153" s="85"/>
      <c r="K1153" s="624"/>
      <c r="L1153" s="85"/>
      <c r="M1153" s="624"/>
      <c r="N1153" s="85"/>
      <c r="O1153" s="624"/>
      <c r="P1153" s="85"/>
      <c r="Q1153" s="626">
        <f t="shared" si="34"/>
        <v>0</v>
      </c>
      <c r="R1153" s="85"/>
      <c r="S1153" s="624"/>
      <c r="T1153" s="260"/>
      <c r="U1153" s="624"/>
      <c r="V1153" s="85"/>
      <c r="W1153" s="624"/>
      <c r="X1153" s="81"/>
      <c r="Y1153" s="80"/>
      <c r="Z1153" s="737">
        <f ca="1">MAX(0%,IF(Q1153&lt;&gt;0,MIN((S1153-Q1153)/Q1153/'Underwriting Risk'!$E$27,'Premium and Reserve Risk'!$Z$1076),'Premium and Reserve Risk'!$Z$1076))</f>
        <v>0.17</v>
      </c>
      <c r="AA1153" s="80"/>
      <c r="AB1153" s="80"/>
      <c r="AC1153" s="737">
        <f ca="1">MAX(0%,IF(U1153&lt;&gt;0,MIN((W1153-U1153)/U1153/'Underwriting Risk'!$E$27,'Premium and Reserve Risk'!$AC$1076),'Premium and Reserve Risk'!$AC$1076))</f>
        <v>0.2</v>
      </c>
      <c r="AD1153" s="81"/>
      <c r="AE1153" s="97"/>
      <c r="AF1153" s="97"/>
      <c r="AG1153" s="97"/>
      <c r="AH1153" s="97"/>
    </row>
    <row r="1154" spans="1:34" ht="13.5" customHeight="1" x14ac:dyDescent="0.25">
      <c r="A1154" s="97"/>
      <c r="B1154" s="257">
        <v>77</v>
      </c>
      <c r="C1154" s="652"/>
      <c r="D1154" s="80"/>
      <c r="E1154" s="80"/>
      <c r="F1154" s="258">
        <f t="shared" ca="1" si="36"/>
        <v>0</v>
      </c>
      <c r="G1154" s="624"/>
      <c r="H1154" s="85"/>
      <c r="I1154" s="624"/>
      <c r="J1154" s="85"/>
      <c r="K1154" s="624"/>
      <c r="L1154" s="85"/>
      <c r="M1154" s="624"/>
      <c r="N1154" s="85"/>
      <c r="O1154" s="624"/>
      <c r="P1154" s="85"/>
      <c r="Q1154" s="626">
        <f t="shared" si="34"/>
        <v>0</v>
      </c>
      <c r="R1154" s="85"/>
      <c r="S1154" s="624"/>
      <c r="T1154" s="260"/>
      <c r="U1154" s="624"/>
      <c r="V1154" s="85"/>
      <c r="W1154" s="624"/>
      <c r="X1154" s="81"/>
      <c r="Y1154" s="80"/>
      <c r="Z1154" s="737">
        <f ca="1">MAX(0%,IF(Q1154&lt;&gt;0,MIN((S1154-Q1154)/Q1154/'Underwriting Risk'!$E$27,'Premium and Reserve Risk'!$Z$1076),'Premium and Reserve Risk'!$Z$1076))</f>
        <v>0.17</v>
      </c>
      <c r="AA1154" s="80"/>
      <c r="AB1154" s="80"/>
      <c r="AC1154" s="737">
        <f ca="1">MAX(0%,IF(U1154&lt;&gt;0,MIN((W1154-U1154)/U1154/'Underwriting Risk'!$E$27,'Premium and Reserve Risk'!$AC$1076),'Premium and Reserve Risk'!$AC$1076))</f>
        <v>0.2</v>
      </c>
      <c r="AD1154" s="81"/>
      <c r="AE1154" s="97"/>
      <c r="AF1154" s="97"/>
      <c r="AG1154" s="97"/>
      <c r="AH1154" s="97"/>
    </row>
    <row r="1155" spans="1:34" ht="13.5" customHeight="1" x14ac:dyDescent="0.25">
      <c r="A1155" s="97"/>
      <c r="B1155" s="257">
        <v>78</v>
      </c>
      <c r="C1155" s="652"/>
      <c r="D1155" s="80"/>
      <c r="E1155" s="80"/>
      <c r="F1155" s="258">
        <f t="shared" ca="1" si="36"/>
        <v>0</v>
      </c>
      <c r="G1155" s="624"/>
      <c r="H1155" s="85"/>
      <c r="I1155" s="624"/>
      <c r="J1155" s="85"/>
      <c r="K1155" s="624"/>
      <c r="L1155" s="85"/>
      <c r="M1155" s="624"/>
      <c r="N1155" s="85"/>
      <c r="O1155" s="624"/>
      <c r="P1155" s="85"/>
      <c r="Q1155" s="626">
        <f t="shared" si="34"/>
        <v>0</v>
      </c>
      <c r="R1155" s="85"/>
      <c r="S1155" s="624"/>
      <c r="T1155" s="260"/>
      <c r="U1155" s="624"/>
      <c r="V1155" s="85"/>
      <c r="W1155" s="624"/>
      <c r="X1155" s="81"/>
      <c r="Y1155" s="80"/>
      <c r="Z1155" s="737">
        <f ca="1">MAX(0%,IF(Q1155&lt;&gt;0,MIN((S1155-Q1155)/Q1155/'Underwriting Risk'!$E$27,'Premium and Reserve Risk'!$Z$1076),'Premium and Reserve Risk'!$Z$1076))</f>
        <v>0.17</v>
      </c>
      <c r="AA1155" s="80"/>
      <c r="AB1155" s="80"/>
      <c r="AC1155" s="737">
        <f ca="1">MAX(0%,IF(U1155&lt;&gt;0,MIN((W1155-U1155)/U1155/'Underwriting Risk'!$E$27,'Premium and Reserve Risk'!$AC$1076),'Premium and Reserve Risk'!$AC$1076))</f>
        <v>0.2</v>
      </c>
      <c r="AD1155" s="81"/>
      <c r="AE1155" s="97"/>
      <c r="AF1155" s="97"/>
      <c r="AG1155" s="97"/>
      <c r="AH1155" s="97"/>
    </row>
    <row r="1156" spans="1:34" ht="13.5" customHeight="1" x14ac:dyDescent="0.25">
      <c r="A1156" s="97"/>
      <c r="B1156" s="257">
        <v>79</v>
      </c>
      <c r="C1156" s="652"/>
      <c r="D1156" s="80"/>
      <c r="E1156" s="80"/>
      <c r="F1156" s="258">
        <f t="shared" ca="1" si="36"/>
        <v>0</v>
      </c>
      <c r="G1156" s="624"/>
      <c r="H1156" s="85"/>
      <c r="I1156" s="624"/>
      <c r="J1156" s="85"/>
      <c r="K1156" s="624"/>
      <c r="L1156" s="85"/>
      <c r="M1156" s="624"/>
      <c r="N1156" s="85"/>
      <c r="O1156" s="624"/>
      <c r="P1156" s="85"/>
      <c r="Q1156" s="626">
        <f t="shared" si="34"/>
        <v>0</v>
      </c>
      <c r="R1156" s="85"/>
      <c r="S1156" s="624"/>
      <c r="T1156" s="260"/>
      <c r="U1156" s="624"/>
      <c r="V1156" s="85"/>
      <c r="W1156" s="624"/>
      <c r="X1156" s="81"/>
      <c r="Y1156" s="80"/>
      <c r="Z1156" s="737">
        <f ca="1">MAX(0%,IF(Q1156&lt;&gt;0,MIN((S1156-Q1156)/Q1156/'Underwriting Risk'!$E$27,'Premium and Reserve Risk'!$Z$1076),'Premium and Reserve Risk'!$Z$1076))</f>
        <v>0.17</v>
      </c>
      <c r="AA1156" s="80"/>
      <c r="AB1156" s="80"/>
      <c r="AC1156" s="737">
        <f ca="1">MAX(0%,IF(U1156&lt;&gt;0,MIN((W1156-U1156)/U1156/'Underwriting Risk'!$E$27,'Premium and Reserve Risk'!$AC$1076),'Premium and Reserve Risk'!$AC$1076))</f>
        <v>0.2</v>
      </c>
      <c r="AD1156" s="81"/>
      <c r="AE1156" s="97"/>
      <c r="AF1156" s="97"/>
      <c r="AG1156" s="97"/>
      <c r="AH1156" s="97"/>
    </row>
    <row r="1157" spans="1:34" ht="13.5" customHeight="1" x14ac:dyDescent="0.25">
      <c r="A1157" s="97"/>
      <c r="B1157" s="257">
        <v>80</v>
      </c>
      <c r="C1157" s="652"/>
      <c r="D1157" s="80"/>
      <c r="E1157" s="80"/>
      <c r="F1157" s="258">
        <f t="shared" ca="1" si="36"/>
        <v>0</v>
      </c>
      <c r="G1157" s="624"/>
      <c r="H1157" s="85"/>
      <c r="I1157" s="624"/>
      <c r="J1157" s="85"/>
      <c r="K1157" s="624"/>
      <c r="L1157" s="85"/>
      <c r="M1157" s="624"/>
      <c r="N1157" s="85"/>
      <c r="O1157" s="624"/>
      <c r="P1157" s="85"/>
      <c r="Q1157" s="626">
        <f t="shared" si="34"/>
        <v>0</v>
      </c>
      <c r="R1157" s="85"/>
      <c r="S1157" s="624"/>
      <c r="T1157" s="260"/>
      <c r="U1157" s="624"/>
      <c r="V1157" s="85"/>
      <c r="W1157" s="624"/>
      <c r="X1157" s="81"/>
      <c r="Y1157" s="80"/>
      <c r="Z1157" s="737">
        <f ca="1">MAX(0%,IF(Q1157&lt;&gt;0,MIN((S1157-Q1157)/Q1157/'Underwriting Risk'!$E$27,'Premium and Reserve Risk'!$Z$1076),'Premium and Reserve Risk'!$Z$1076))</f>
        <v>0.17</v>
      </c>
      <c r="AA1157" s="80"/>
      <c r="AB1157" s="80"/>
      <c r="AC1157" s="737">
        <f ca="1">MAX(0%,IF(U1157&lt;&gt;0,MIN((W1157-U1157)/U1157/'Underwriting Risk'!$E$27,'Premium and Reserve Risk'!$AC$1076),'Premium and Reserve Risk'!$AC$1076))</f>
        <v>0.2</v>
      </c>
      <c r="AD1157" s="81"/>
      <c r="AE1157" s="97"/>
      <c r="AF1157" s="97"/>
      <c r="AG1157" s="97"/>
      <c r="AH1157" s="97"/>
    </row>
    <row r="1158" spans="1:34" ht="13.5" customHeight="1" x14ac:dyDescent="0.25">
      <c r="A1158" s="97"/>
      <c r="B1158" s="257">
        <v>81</v>
      </c>
      <c r="C1158" s="652"/>
      <c r="D1158" s="80"/>
      <c r="E1158" s="80"/>
      <c r="F1158" s="258">
        <f t="shared" ca="1" si="36"/>
        <v>0</v>
      </c>
      <c r="G1158" s="624"/>
      <c r="H1158" s="85"/>
      <c r="I1158" s="624"/>
      <c r="J1158" s="85"/>
      <c r="K1158" s="624"/>
      <c r="L1158" s="85"/>
      <c r="M1158" s="624"/>
      <c r="N1158" s="85"/>
      <c r="O1158" s="624"/>
      <c r="P1158" s="85"/>
      <c r="Q1158" s="626">
        <f t="shared" si="34"/>
        <v>0</v>
      </c>
      <c r="R1158" s="85"/>
      <c r="S1158" s="624"/>
      <c r="T1158" s="260"/>
      <c r="U1158" s="624"/>
      <c r="V1158" s="85"/>
      <c r="W1158" s="624"/>
      <c r="X1158" s="81"/>
      <c r="Y1158" s="80"/>
      <c r="Z1158" s="737">
        <f ca="1">MAX(0%,IF(Q1158&lt;&gt;0,MIN((S1158-Q1158)/Q1158/'Underwriting Risk'!$E$27,'Premium and Reserve Risk'!$Z$1076),'Premium and Reserve Risk'!$Z$1076))</f>
        <v>0.17</v>
      </c>
      <c r="AA1158" s="80"/>
      <c r="AB1158" s="80"/>
      <c r="AC1158" s="737">
        <f ca="1">MAX(0%,IF(U1158&lt;&gt;0,MIN((W1158-U1158)/U1158/'Underwriting Risk'!$E$27,'Premium and Reserve Risk'!$AC$1076),'Premium and Reserve Risk'!$AC$1076))</f>
        <v>0.2</v>
      </c>
      <c r="AD1158" s="81"/>
      <c r="AE1158" s="97"/>
      <c r="AF1158" s="97"/>
      <c r="AG1158" s="97"/>
      <c r="AH1158" s="97"/>
    </row>
    <row r="1159" spans="1:34" ht="13.5" customHeight="1" x14ac:dyDescent="0.25">
      <c r="A1159" s="97"/>
      <c r="B1159" s="257">
        <v>82</v>
      </c>
      <c r="C1159" s="652"/>
      <c r="D1159" s="80"/>
      <c r="E1159" s="80"/>
      <c r="F1159" s="258">
        <f t="shared" ca="1" si="36"/>
        <v>0</v>
      </c>
      <c r="G1159" s="624"/>
      <c r="H1159" s="85"/>
      <c r="I1159" s="624"/>
      <c r="J1159" s="85"/>
      <c r="K1159" s="624"/>
      <c r="L1159" s="85"/>
      <c r="M1159" s="624"/>
      <c r="N1159" s="85"/>
      <c r="O1159" s="624"/>
      <c r="P1159" s="85"/>
      <c r="Q1159" s="626">
        <f t="shared" si="34"/>
        <v>0</v>
      </c>
      <c r="R1159" s="85"/>
      <c r="S1159" s="624"/>
      <c r="T1159" s="260"/>
      <c r="U1159" s="624"/>
      <c r="V1159" s="85"/>
      <c r="W1159" s="624"/>
      <c r="X1159" s="81"/>
      <c r="Y1159" s="80"/>
      <c r="Z1159" s="737">
        <f ca="1">MAX(0%,IF(Q1159&lt;&gt;0,MIN((S1159-Q1159)/Q1159/'Underwriting Risk'!$E$27,'Premium and Reserve Risk'!$Z$1076),'Premium and Reserve Risk'!$Z$1076))</f>
        <v>0.17</v>
      </c>
      <c r="AA1159" s="80"/>
      <c r="AB1159" s="80"/>
      <c r="AC1159" s="737">
        <f ca="1">MAX(0%,IF(U1159&lt;&gt;0,MIN((W1159-U1159)/U1159/'Underwriting Risk'!$E$27,'Premium and Reserve Risk'!$AC$1076),'Premium and Reserve Risk'!$AC$1076))</f>
        <v>0.2</v>
      </c>
      <c r="AD1159" s="81"/>
      <c r="AE1159" s="97"/>
      <c r="AF1159" s="97"/>
      <c r="AG1159" s="97"/>
      <c r="AH1159" s="97"/>
    </row>
    <row r="1160" spans="1:34" ht="13.5" customHeight="1" x14ac:dyDescent="0.25">
      <c r="A1160" s="97"/>
      <c r="B1160" s="257">
        <v>83</v>
      </c>
      <c r="C1160" s="652"/>
      <c r="D1160" s="80"/>
      <c r="E1160" s="80"/>
      <c r="F1160" s="258">
        <f t="shared" ca="1" si="36"/>
        <v>0</v>
      </c>
      <c r="G1160" s="624"/>
      <c r="H1160" s="85"/>
      <c r="I1160" s="624"/>
      <c r="J1160" s="85"/>
      <c r="K1160" s="624"/>
      <c r="L1160" s="85"/>
      <c r="M1160" s="624"/>
      <c r="N1160" s="85"/>
      <c r="O1160" s="624"/>
      <c r="P1160" s="85"/>
      <c r="Q1160" s="626">
        <f t="shared" si="34"/>
        <v>0</v>
      </c>
      <c r="R1160" s="85"/>
      <c r="S1160" s="624"/>
      <c r="T1160" s="260"/>
      <c r="U1160" s="624"/>
      <c r="V1160" s="85"/>
      <c r="W1160" s="624"/>
      <c r="X1160" s="81"/>
      <c r="Y1160" s="80"/>
      <c r="Z1160" s="737">
        <f ca="1">MAX(0%,IF(Q1160&lt;&gt;0,MIN((S1160-Q1160)/Q1160/'Underwriting Risk'!$E$27,'Premium and Reserve Risk'!$Z$1076),'Premium and Reserve Risk'!$Z$1076))</f>
        <v>0.17</v>
      </c>
      <c r="AA1160" s="80"/>
      <c r="AB1160" s="80"/>
      <c r="AC1160" s="737">
        <f ca="1">MAX(0%,IF(U1160&lt;&gt;0,MIN((W1160-U1160)/U1160/'Underwriting Risk'!$E$27,'Premium and Reserve Risk'!$AC$1076),'Premium and Reserve Risk'!$AC$1076))</f>
        <v>0.2</v>
      </c>
      <c r="AD1160" s="81"/>
      <c r="AE1160" s="97"/>
      <c r="AF1160" s="97"/>
      <c r="AG1160" s="97"/>
      <c r="AH1160" s="97"/>
    </row>
    <row r="1161" spans="1:34" ht="13.5" customHeight="1" x14ac:dyDescent="0.25">
      <c r="A1161" s="97"/>
      <c r="B1161" s="257">
        <v>84</v>
      </c>
      <c r="C1161" s="652"/>
      <c r="D1161" s="80"/>
      <c r="E1161" s="80"/>
      <c r="F1161" s="258">
        <f t="shared" ca="1" si="36"/>
        <v>0</v>
      </c>
      <c r="G1161" s="624"/>
      <c r="H1161" s="85"/>
      <c r="I1161" s="624"/>
      <c r="J1161" s="85"/>
      <c r="K1161" s="624"/>
      <c r="L1161" s="85"/>
      <c r="M1161" s="624"/>
      <c r="N1161" s="85"/>
      <c r="O1161" s="624"/>
      <c r="P1161" s="85"/>
      <c r="Q1161" s="626">
        <f t="shared" si="34"/>
        <v>0</v>
      </c>
      <c r="R1161" s="85"/>
      <c r="S1161" s="624"/>
      <c r="T1161" s="260"/>
      <c r="U1161" s="624"/>
      <c r="V1161" s="85"/>
      <c r="W1161" s="624"/>
      <c r="X1161" s="81"/>
      <c r="Y1161" s="80"/>
      <c r="Z1161" s="737">
        <f ca="1">MAX(0%,IF(Q1161&lt;&gt;0,MIN((S1161-Q1161)/Q1161/'Underwriting Risk'!$E$27,'Premium and Reserve Risk'!$Z$1076),'Premium and Reserve Risk'!$Z$1076))</f>
        <v>0.17</v>
      </c>
      <c r="AA1161" s="80"/>
      <c r="AB1161" s="80"/>
      <c r="AC1161" s="737">
        <f ca="1">MAX(0%,IF(U1161&lt;&gt;0,MIN((W1161-U1161)/U1161/'Underwriting Risk'!$E$27,'Premium and Reserve Risk'!$AC$1076),'Premium and Reserve Risk'!$AC$1076))</f>
        <v>0.2</v>
      </c>
      <c r="AD1161" s="81"/>
      <c r="AE1161" s="97"/>
      <c r="AF1161" s="97"/>
      <c r="AG1161" s="97"/>
      <c r="AH1161" s="97"/>
    </row>
    <row r="1162" spans="1:34" ht="13.5" customHeight="1" x14ac:dyDescent="0.25">
      <c r="A1162" s="97"/>
      <c r="B1162" s="257">
        <v>85</v>
      </c>
      <c r="C1162" s="652"/>
      <c r="D1162" s="80"/>
      <c r="E1162" s="80"/>
      <c r="F1162" s="258">
        <f t="shared" ca="1" si="36"/>
        <v>0</v>
      </c>
      <c r="G1162" s="624"/>
      <c r="H1162" s="85"/>
      <c r="I1162" s="624"/>
      <c r="J1162" s="85"/>
      <c r="K1162" s="624"/>
      <c r="L1162" s="85"/>
      <c r="M1162" s="624"/>
      <c r="N1162" s="85"/>
      <c r="O1162" s="624"/>
      <c r="P1162" s="85"/>
      <c r="Q1162" s="626">
        <f t="shared" si="34"/>
        <v>0</v>
      </c>
      <c r="R1162" s="85"/>
      <c r="S1162" s="624"/>
      <c r="T1162" s="260"/>
      <c r="U1162" s="624"/>
      <c r="V1162" s="85"/>
      <c r="W1162" s="624"/>
      <c r="X1162" s="81"/>
      <c r="Y1162" s="80"/>
      <c r="Z1162" s="737">
        <f ca="1">MAX(0%,IF(Q1162&lt;&gt;0,MIN((S1162-Q1162)/Q1162/'Underwriting Risk'!$E$27,'Premium and Reserve Risk'!$Z$1076),'Premium and Reserve Risk'!$Z$1076))</f>
        <v>0.17</v>
      </c>
      <c r="AA1162" s="80"/>
      <c r="AB1162" s="80"/>
      <c r="AC1162" s="737">
        <f ca="1">MAX(0%,IF(U1162&lt;&gt;0,MIN((W1162-U1162)/U1162/'Underwriting Risk'!$E$27,'Premium and Reserve Risk'!$AC$1076),'Premium and Reserve Risk'!$AC$1076))</f>
        <v>0.2</v>
      </c>
      <c r="AD1162" s="81"/>
      <c r="AE1162" s="97"/>
      <c r="AF1162" s="97"/>
      <c r="AG1162" s="97"/>
      <c r="AH1162" s="97"/>
    </row>
    <row r="1163" spans="1:34" ht="13.5" customHeight="1" x14ac:dyDescent="0.25">
      <c r="A1163" s="97"/>
      <c r="B1163" s="257">
        <v>86</v>
      </c>
      <c r="C1163" s="652"/>
      <c r="D1163" s="80"/>
      <c r="E1163" s="80"/>
      <c r="F1163" s="258">
        <f t="shared" ca="1" si="36"/>
        <v>0</v>
      </c>
      <c r="G1163" s="624"/>
      <c r="H1163" s="85"/>
      <c r="I1163" s="624"/>
      <c r="J1163" s="85"/>
      <c r="K1163" s="624"/>
      <c r="L1163" s="85"/>
      <c r="M1163" s="624"/>
      <c r="N1163" s="85"/>
      <c r="O1163" s="624"/>
      <c r="P1163" s="85"/>
      <c r="Q1163" s="626">
        <f t="shared" si="34"/>
        <v>0</v>
      </c>
      <c r="R1163" s="85"/>
      <c r="S1163" s="624"/>
      <c r="T1163" s="260"/>
      <c r="U1163" s="624"/>
      <c r="V1163" s="85"/>
      <c r="W1163" s="624"/>
      <c r="X1163" s="81"/>
      <c r="Y1163" s="80"/>
      <c r="Z1163" s="737">
        <f ca="1">MAX(0%,IF(Q1163&lt;&gt;0,MIN((S1163-Q1163)/Q1163/'Underwriting Risk'!$E$27,'Premium and Reserve Risk'!$Z$1076),'Premium and Reserve Risk'!$Z$1076))</f>
        <v>0.17</v>
      </c>
      <c r="AA1163" s="80"/>
      <c r="AB1163" s="80"/>
      <c r="AC1163" s="737">
        <f ca="1">MAX(0%,IF(U1163&lt;&gt;0,MIN((W1163-U1163)/U1163/'Underwriting Risk'!$E$27,'Premium and Reserve Risk'!$AC$1076),'Premium and Reserve Risk'!$AC$1076))</f>
        <v>0.2</v>
      </c>
      <c r="AD1163" s="81"/>
      <c r="AE1163" s="97"/>
      <c r="AF1163" s="97"/>
      <c r="AG1163" s="97"/>
      <c r="AH1163" s="97"/>
    </row>
    <row r="1164" spans="1:34" ht="13.5" customHeight="1" x14ac:dyDescent="0.25">
      <c r="A1164" s="97"/>
      <c r="B1164" s="257">
        <v>87</v>
      </c>
      <c r="C1164" s="652"/>
      <c r="D1164" s="80"/>
      <c r="E1164" s="80"/>
      <c r="F1164" s="258">
        <f t="shared" ca="1" si="36"/>
        <v>0</v>
      </c>
      <c r="G1164" s="624"/>
      <c r="H1164" s="85"/>
      <c r="I1164" s="624"/>
      <c r="J1164" s="85"/>
      <c r="K1164" s="624"/>
      <c r="L1164" s="85"/>
      <c r="M1164" s="624"/>
      <c r="N1164" s="85"/>
      <c r="O1164" s="624"/>
      <c r="P1164" s="85"/>
      <c r="Q1164" s="626">
        <f t="shared" si="34"/>
        <v>0</v>
      </c>
      <c r="R1164" s="85"/>
      <c r="S1164" s="624"/>
      <c r="T1164" s="260"/>
      <c r="U1164" s="624"/>
      <c r="V1164" s="85"/>
      <c r="W1164" s="624"/>
      <c r="X1164" s="81"/>
      <c r="Y1164" s="80"/>
      <c r="Z1164" s="737">
        <f ca="1">MAX(0%,IF(Q1164&lt;&gt;0,MIN((S1164-Q1164)/Q1164/'Underwriting Risk'!$E$27,'Premium and Reserve Risk'!$Z$1076),'Premium and Reserve Risk'!$Z$1076))</f>
        <v>0.17</v>
      </c>
      <c r="AA1164" s="80"/>
      <c r="AB1164" s="80"/>
      <c r="AC1164" s="737">
        <f ca="1">MAX(0%,IF(U1164&lt;&gt;0,MIN((W1164-U1164)/U1164/'Underwriting Risk'!$E$27,'Premium and Reserve Risk'!$AC$1076),'Premium and Reserve Risk'!$AC$1076))</f>
        <v>0.2</v>
      </c>
      <c r="AD1164" s="81"/>
      <c r="AE1164" s="97"/>
      <c r="AF1164" s="97"/>
      <c r="AG1164" s="97"/>
      <c r="AH1164" s="97"/>
    </row>
    <row r="1165" spans="1:34" ht="13.5" customHeight="1" x14ac:dyDescent="0.25">
      <c r="A1165" s="97"/>
      <c r="B1165" s="257">
        <v>88</v>
      </c>
      <c r="C1165" s="652"/>
      <c r="D1165" s="80"/>
      <c r="E1165" s="80"/>
      <c r="F1165" s="258">
        <f t="shared" ca="1" si="36"/>
        <v>0</v>
      </c>
      <c r="G1165" s="624"/>
      <c r="H1165" s="85"/>
      <c r="I1165" s="624"/>
      <c r="J1165" s="85"/>
      <c r="K1165" s="624"/>
      <c r="L1165" s="85"/>
      <c r="M1165" s="624"/>
      <c r="N1165" s="85"/>
      <c r="O1165" s="624"/>
      <c r="P1165" s="85"/>
      <c r="Q1165" s="626">
        <f t="shared" si="34"/>
        <v>0</v>
      </c>
      <c r="R1165" s="85"/>
      <c r="S1165" s="624"/>
      <c r="T1165" s="260"/>
      <c r="U1165" s="624"/>
      <c r="V1165" s="85"/>
      <c r="W1165" s="624"/>
      <c r="X1165" s="81"/>
      <c r="Y1165" s="80"/>
      <c r="Z1165" s="737">
        <f ca="1">MAX(0%,IF(Q1165&lt;&gt;0,MIN((S1165-Q1165)/Q1165/'Underwriting Risk'!$E$27,'Premium and Reserve Risk'!$Z$1076),'Premium and Reserve Risk'!$Z$1076))</f>
        <v>0.17</v>
      </c>
      <c r="AA1165" s="80"/>
      <c r="AB1165" s="80"/>
      <c r="AC1165" s="737">
        <f ca="1">MAX(0%,IF(U1165&lt;&gt;0,MIN((W1165-U1165)/U1165/'Underwriting Risk'!$E$27,'Premium and Reserve Risk'!$AC$1076),'Premium and Reserve Risk'!$AC$1076))</f>
        <v>0.2</v>
      </c>
      <c r="AD1165" s="81"/>
      <c r="AE1165" s="97"/>
      <c r="AF1165" s="97"/>
      <c r="AG1165" s="97"/>
      <c r="AH1165" s="97"/>
    </row>
    <row r="1166" spans="1:34" ht="13.5" customHeight="1" x14ac:dyDescent="0.25">
      <c r="A1166" s="97"/>
      <c r="B1166" s="257">
        <v>89</v>
      </c>
      <c r="C1166" s="652"/>
      <c r="D1166" s="80"/>
      <c r="E1166" s="80"/>
      <c r="F1166" s="258">
        <f t="shared" ca="1" si="36"/>
        <v>0</v>
      </c>
      <c r="G1166" s="624"/>
      <c r="H1166" s="85"/>
      <c r="I1166" s="624"/>
      <c r="J1166" s="85"/>
      <c r="K1166" s="624"/>
      <c r="L1166" s="85"/>
      <c r="M1166" s="624"/>
      <c r="N1166" s="85"/>
      <c r="O1166" s="624"/>
      <c r="P1166" s="85"/>
      <c r="Q1166" s="626">
        <f t="shared" si="34"/>
        <v>0</v>
      </c>
      <c r="R1166" s="85"/>
      <c r="S1166" s="624"/>
      <c r="T1166" s="260"/>
      <c r="U1166" s="624"/>
      <c r="V1166" s="85"/>
      <c r="W1166" s="624"/>
      <c r="X1166" s="81"/>
      <c r="Y1166" s="80"/>
      <c r="Z1166" s="737">
        <f ca="1">MAX(0%,IF(Q1166&lt;&gt;0,MIN((S1166-Q1166)/Q1166/'Underwriting Risk'!$E$27,'Premium and Reserve Risk'!$Z$1076),'Premium and Reserve Risk'!$Z$1076))</f>
        <v>0.17</v>
      </c>
      <c r="AA1166" s="80"/>
      <c r="AB1166" s="80"/>
      <c r="AC1166" s="737">
        <f ca="1">MAX(0%,IF(U1166&lt;&gt;0,MIN((W1166-U1166)/U1166/'Underwriting Risk'!$E$27,'Premium and Reserve Risk'!$AC$1076),'Premium and Reserve Risk'!$AC$1076))</f>
        <v>0.2</v>
      </c>
      <c r="AD1166" s="81"/>
      <c r="AE1166" s="97"/>
      <c r="AF1166" s="97"/>
      <c r="AG1166" s="97"/>
      <c r="AH1166" s="97"/>
    </row>
    <row r="1167" spans="1:34" ht="13.5" customHeight="1" x14ac:dyDescent="0.25">
      <c r="A1167" s="97"/>
      <c r="B1167" s="257">
        <v>90</v>
      </c>
      <c r="C1167" s="652"/>
      <c r="D1167" s="80"/>
      <c r="E1167" s="80"/>
      <c r="F1167" s="258">
        <f t="shared" ca="1" si="36"/>
        <v>0</v>
      </c>
      <c r="G1167" s="624"/>
      <c r="H1167" s="85"/>
      <c r="I1167" s="624"/>
      <c r="J1167" s="85"/>
      <c r="K1167" s="624"/>
      <c r="L1167" s="85"/>
      <c r="M1167" s="624"/>
      <c r="N1167" s="85"/>
      <c r="O1167" s="624"/>
      <c r="P1167" s="85"/>
      <c r="Q1167" s="626">
        <f t="shared" si="34"/>
        <v>0</v>
      </c>
      <c r="R1167" s="85"/>
      <c r="S1167" s="624"/>
      <c r="T1167" s="260"/>
      <c r="U1167" s="624"/>
      <c r="V1167" s="85"/>
      <c r="W1167" s="624"/>
      <c r="X1167" s="81"/>
      <c r="Y1167" s="80"/>
      <c r="Z1167" s="737">
        <f ca="1">MAX(0%,IF(Q1167&lt;&gt;0,MIN((S1167-Q1167)/Q1167/'Underwriting Risk'!$E$27,'Premium and Reserve Risk'!$Z$1076),'Premium and Reserve Risk'!$Z$1076))</f>
        <v>0.17</v>
      </c>
      <c r="AA1167" s="80"/>
      <c r="AB1167" s="80"/>
      <c r="AC1167" s="737">
        <f ca="1">MAX(0%,IF(U1167&lt;&gt;0,MIN((W1167-U1167)/U1167/'Underwriting Risk'!$E$27,'Premium and Reserve Risk'!$AC$1076),'Premium and Reserve Risk'!$AC$1076))</f>
        <v>0.2</v>
      </c>
      <c r="AD1167" s="81"/>
      <c r="AE1167" s="97"/>
      <c r="AF1167" s="97"/>
      <c r="AG1167" s="97"/>
      <c r="AH1167" s="97"/>
    </row>
    <row r="1168" spans="1:34" ht="13.5" customHeight="1" x14ac:dyDescent="0.25">
      <c r="A1168" s="97"/>
      <c r="B1168" s="257">
        <v>91</v>
      </c>
      <c r="C1168" s="652"/>
      <c r="D1168" s="80"/>
      <c r="E1168" s="80"/>
      <c r="F1168" s="258">
        <f t="shared" ca="1" si="36"/>
        <v>0</v>
      </c>
      <c r="G1168" s="624"/>
      <c r="H1168" s="85"/>
      <c r="I1168" s="624"/>
      <c r="J1168" s="85"/>
      <c r="K1168" s="624"/>
      <c r="L1168" s="85"/>
      <c r="M1168" s="624"/>
      <c r="N1168" s="85"/>
      <c r="O1168" s="624"/>
      <c r="P1168" s="85"/>
      <c r="Q1168" s="626">
        <f t="shared" si="34"/>
        <v>0</v>
      </c>
      <c r="R1168" s="85"/>
      <c r="S1168" s="624"/>
      <c r="T1168" s="260"/>
      <c r="U1168" s="624"/>
      <c r="V1168" s="85"/>
      <c r="W1168" s="624"/>
      <c r="X1168" s="81"/>
      <c r="Y1168" s="80"/>
      <c r="Z1168" s="737">
        <f ca="1">MAX(0%,IF(Q1168&lt;&gt;0,MIN((S1168-Q1168)/Q1168/'Underwriting Risk'!$E$27,'Premium and Reserve Risk'!$Z$1076),'Premium and Reserve Risk'!$Z$1076))</f>
        <v>0.17</v>
      </c>
      <c r="AA1168" s="80"/>
      <c r="AB1168" s="80"/>
      <c r="AC1168" s="737">
        <f ca="1">MAX(0%,IF(U1168&lt;&gt;0,MIN((W1168-U1168)/U1168/'Underwriting Risk'!$E$27,'Premium and Reserve Risk'!$AC$1076),'Premium and Reserve Risk'!$AC$1076))</f>
        <v>0.2</v>
      </c>
      <c r="AD1168" s="81"/>
      <c r="AE1168" s="97"/>
      <c r="AF1168" s="97"/>
      <c r="AG1168" s="97"/>
      <c r="AH1168" s="97"/>
    </row>
    <row r="1169" spans="1:34" ht="13.5" customHeight="1" x14ac:dyDescent="0.25">
      <c r="A1169" s="97"/>
      <c r="B1169" s="257">
        <v>92</v>
      </c>
      <c r="C1169" s="652"/>
      <c r="D1169" s="80"/>
      <c r="E1169" s="80"/>
      <c r="F1169" s="258">
        <f t="shared" ca="1" si="36"/>
        <v>0</v>
      </c>
      <c r="G1169" s="624"/>
      <c r="H1169" s="85"/>
      <c r="I1169" s="624"/>
      <c r="J1169" s="85"/>
      <c r="K1169" s="624"/>
      <c r="L1169" s="85"/>
      <c r="M1169" s="624"/>
      <c r="N1169" s="85"/>
      <c r="O1169" s="624"/>
      <c r="P1169" s="85"/>
      <c r="Q1169" s="626">
        <f t="shared" si="34"/>
        <v>0</v>
      </c>
      <c r="R1169" s="85"/>
      <c r="S1169" s="624"/>
      <c r="T1169" s="260"/>
      <c r="U1169" s="624"/>
      <c r="V1169" s="85"/>
      <c r="W1169" s="624"/>
      <c r="X1169" s="81"/>
      <c r="Y1169" s="80"/>
      <c r="Z1169" s="737">
        <f ca="1">MAX(0%,IF(Q1169&lt;&gt;0,MIN((S1169-Q1169)/Q1169/'Underwriting Risk'!$E$27,'Premium and Reserve Risk'!$Z$1076),'Premium and Reserve Risk'!$Z$1076))</f>
        <v>0.17</v>
      </c>
      <c r="AA1169" s="80"/>
      <c r="AB1169" s="80"/>
      <c r="AC1169" s="737">
        <f ca="1">MAX(0%,IF(U1169&lt;&gt;0,MIN((W1169-U1169)/U1169/'Underwriting Risk'!$E$27,'Premium and Reserve Risk'!$AC$1076),'Premium and Reserve Risk'!$AC$1076))</f>
        <v>0.2</v>
      </c>
      <c r="AD1169" s="81"/>
      <c r="AE1169" s="97"/>
      <c r="AF1169" s="97"/>
      <c r="AG1169" s="97"/>
      <c r="AH1169" s="97"/>
    </row>
    <row r="1170" spans="1:34" ht="13.5" customHeight="1" x14ac:dyDescent="0.25">
      <c r="A1170" s="97"/>
      <c r="B1170" s="257">
        <v>93</v>
      </c>
      <c r="C1170" s="652"/>
      <c r="D1170" s="80"/>
      <c r="E1170" s="80"/>
      <c r="F1170" s="258">
        <f t="shared" ca="1" si="36"/>
        <v>0</v>
      </c>
      <c r="G1170" s="624"/>
      <c r="H1170" s="85"/>
      <c r="I1170" s="624"/>
      <c r="J1170" s="85"/>
      <c r="K1170" s="624"/>
      <c r="L1170" s="85"/>
      <c r="M1170" s="624"/>
      <c r="N1170" s="85"/>
      <c r="O1170" s="624"/>
      <c r="P1170" s="85"/>
      <c r="Q1170" s="626">
        <f t="shared" si="34"/>
        <v>0</v>
      </c>
      <c r="R1170" s="85"/>
      <c r="S1170" s="624"/>
      <c r="T1170" s="260"/>
      <c r="U1170" s="624"/>
      <c r="V1170" s="85"/>
      <c r="W1170" s="624"/>
      <c r="X1170" s="81"/>
      <c r="Y1170" s="80"/>
      <c r="Z1170" s="737">
        <f ca="1">MAX(0%,IF(Q1170&lt;&gt;0,MIN((S1170-Q1170)/Q1170/'Underwriting Risk'!$E$27,'Premium and Reserve Risk'!$Z$1076),'Premium and Reserve Risk'!$Z$1076))</f>
        <v>0.17</v>
      </c>
      <c r="AA1170" s="80"/>
      <c r="AB1170" s="80"/>
      <c r="AC1170" s="737">
        <f ca="1">MAX(0%,IF(U1170&lt;&gt;0,MIN((W1170-U1170)/U1170/'Underwriting Risk'!$E$27,'Premium and Reserve Risk'!$AC$1076),'Premium and Reserve Risk'!$AC$1076))</f>
        <v>0.2</v>
      </c>
      <c r="AD1170" s="81"/>
      <c r="AE1170" s="97"/>
      <c r="AF1170" s="97"/>
      <c r="AG1170" s="97"/>
      <c r="AH1170" s="97"/>
    </row>
    <row r="1171" spans="1:34" ht="13.5" customHeight="1" x14ac:dyDescent="0.25">
      <c r="A1171" s="97"/>
      <c r="B1171" s="257">
        <v>94</v>
      </c>
      <c r="C1171" s="652"/>
      <c r="D1171" s="80"/>
      <c r="E1171" s="80"/>
      <c r="F1171" s="258">
        <f t="shared" ca="1" si="36"/>
        <v>0</v>
      </c>
      <c r="G1171" s="624"/>
      <c r="H1171" s="85"/>
      <c r="I1171" s="624"/>
      <c r="J1171" s="85"/>
      <c r="K1171" s="624"/>
      <c r="L1171" s="85"/>
      <c r="M1171" s="624"/>
      <c r="N1171" s="85"/>
      <c r="O1171" s="624"/>
      <c r="P1171" s="85"/>
      <c r="Q1171" s="626">
        <f t="shared" si="34"/>
        <v>0</v>
      </c>
      <c r="R1171" s="85"/>
      <c r="S1171" s="624"/>
      <c r="T1171" s="260"/>
      <c r="U1171" s="624"/>
      <c r="V1171" s="85"/>
      <c r="W1171" s="624"/>
      <c r="X1171" s="81"/>
      <c r="Y1171" s="80"/>
      <c r="Z1171" s="737">
        <f ca="1">MAX(0%,IF(Q1171&lt;&gt;0,MIN((S1171-Q1171)/Q1171/'Underwriting Risk'!$E$27,'Premium and Reserve Risk'!$Z$1076),'Premium and Reserve Risk'!$Z$1076))</f>
        <v>0.17</v>
      </c>
      <c r="AA1171" s="80"/>
      <c r="AB1171" s="80"/>
      <c r="AC1171" s="737">
        <f ca="1">MAX(0%,IF(U1171&lt;&gt;0,MIN((W1171-U1171)/U1171/'Underwriting Risk'!$E$27,'Premium and Reserve Risk'!$AC$1076),'Premium and Reserve Risk'!$AC$1076))</f>
        <v>0.2</v>
      </c>
      <c r="AD1171" s="81"/>
      <c r="AE1171" s="97"/>
      <c r="AF1171" s="97"/>
      <c r="AG1171" s="97"/>
      <c r="AH1171" s="97"/>
    </row>
    <row r="1172" spans="1:34" ht="13.5" customHeight="1" x14ac:dyDescent="0.25">
      <c r="A1172" s="97"/>
      <c r="B1172" s="257">
        <v>95</v>
      </c>
      <c r="C1172" s="652"/>
      <c r="D1172" s="80"/>
      <c r="E1172" s="80"/>
      <c r="F1172" s="258">
        <f t="shared" ca="1" si="36"/>
        <v>0</v>
      </c>
      <c r="G1172" s="624"/>
      <c r="H1172" s="85"/>
      <c r="I1172" s="624"/>
      <c r="J1172" s="85"/>
      <c r="K1172" s="624"/>
      <c r="L1172" s="85"/>
      <c r="M1172" s="624"/>
      <c r="N1172" s="85"/>
      <c r="O1172" s="624"/>
      <c r="P1172" s="85"/>
      <c r="Q1172" s="626">
        <f t="shared" si="34"/>
        <v>0</v>
      </c>
      <c r="R1172" s="85"/>
      <c r="S1172" s="624"/>
      <c r="T1172" s="260"/>
      <c r="U1172" s="624"/>
      <c r="V1172" s="85"/>
      <c r="W1172" s="624"/>
      <c r="X1172" s="81"/>
      <c r="Y1172" s="80"/>
      <c r="Z1172" s="737">
        <f ca="1">MAX(0%,IF(Q1172&lt;&gt;0,MIN((S1172-Q1172)/Q1172/'Underwriting Risk'!$E$27,'Premium and Reserve Risk'!$Z$1076),'Premium and Reserve Risk'!$Z$1076))</f>
        <v>0.17</v>
      </c>
      <c r="AA1172" s="80"/>
      <c r="AB1172" s="80"/>
      <c r="AC1172" s="737">
        <f ca="1">MAX(0%,IF(U1172&lt;&gt;0,MIN((W1172-U1172)/U1172/'Underwriting Risk'!$E$27,'Premium and Reserve Risk'!$AC$1076),'Premium and Reserve Risk'!$AC$1076))</f>
        <v>0.2</v>
      </c>
      <c r="AD1172" s="81"/>
      <c r="AE1172" s="97"/>
      <c r="AF1172" s="97"/>
      <c r="AG1172" s="97"/>
      <c r="AH1172" s="97"/>
    </row>
    <row r="1173" spans="1:34" ht="13.5" customHeight="1" x14ac:dyDescent="0.25">
      <c r="A1173" s="97"/>
      <c r="B1173" s="257">
        <v>96</v>
      </c>
      <c r="C1173" s="652"/>
      <c r="D1173" s="80"/>
      <c r="E1173" s="80"/>
      <c r="F1173" s="258">
        <f t="shared" ca="1" si="36"/>
        <v>0</v>
      </c>
      <c r="G1173" s="624"/>
      <c r="H1173" s="85"/>
      <c r="I1173" s="624"/>
      <c r="J1173" s="85"/>
      <c r="K1173" s="624"/>
      <c r="L1173" s="85"/>
      <c r="M1173" s="624"/>
      <c r="N1173" s="85"/>
      <c r="O1173" s="624"/>
      <c r="P1173" s="85"/>
      <c r="Q1173" s="626">
        <f t="shared" si="34"/>
        <v>0</v>
      </c>
      <c r="R1173" s="85"/>
      <c r="S1173" s="624"/>
      <c r="T1173" s="260"/>
      <c r="U1173" s="624"/>
      <c r="V1173" s="85"/>
      <c r="W1173" s="624"/>
      <c r="X1173" s="81"/>
      <c r="Y1173" s="80"/>
      <c r="Z1173" s="737">
        <f ca="1">MAX(0%,IF(Q1173&lt;&gt;0,MIN((S1173-Q1173)/Q1173/'Underwriting Risk'!$E$27,'Premium and Reserve Risk'!$Z$1076),'Premium and Reserve Risk'!$Z$1076))</f>
        <v>0.17</v>
      </c>
      <c r="AA1173" s="80"/>
      <c r="AB1173" s="80"/>
      <c r="AC1173" s="737">
        <f ca="1">MAX(0%,IF(U1173&lt;&gt;0,MIN((W1173-U1173)/U1173/'Underwriting Risk'!$E$27,'Premium and Reserve Risk'!$AC$1076),'Premium and Reserve Risk'!$AC$1076))</f>
        <v>0.2</v>
      </c>
      <c r="AD1173" s="81"/>
      <c r="AE1173" s="97"/>
      <c r="AF1173" s="97"/>
      <c r="AG1173" s="97"/>
      <c r="AH1173" s="97"/>
    </row>
    <row r="1174" spans="1:34" ht="13.5" customHeight="1" x14ac:dyDescent="0.25">
      <c r="A1174" s="97"/>
      <c r="B1174" s="257">
        <v>97</v>
      </c>
      <c r="C1174" s="652"/>
      <c r="D1174" s="80"/>
      <c r="E1174" s="80"/>
      <c r="F1174" s="258">
        <f t="shared" ca="1" si="36"/>
        <v>0</v>
      </c>
      <c r="G1174" s="624"/>
      <c r="H1174" s="85"/>
      <c r="I1174" s="624"/>
      <c r="J1174" s="85"/>
      <c r="K1174" s="624"/>
      <c r="L1174" s="85"/>
      <c r="M1174" s="624"/>
      <c r="N1174" s="85"/>
      <c r="O1174" s="624"/>
      <c r="P1174" s="85"/>
      <c r="Q1174" s="626">
        <f t="shared" si="34"/>
        <v>0</v>
      </c>
      <c r="R1174" s="85"/>
      <c r="S1174" s="624"/>
      <c r="T1174" s="260"/>
      <c r="U1174" s="624"/>
      <c r="V1174" s="85"/>
      <c r="W1174" s="624"/>
      <c r="X1174" s="81"/>
      <c r="Y1174" s="80"/>
      <c r="Z1174" s="737">
        <f ca="1">MAX(0%,IF(Q1174&lt;&gt;0,MIN((S1174-Q1174)/Q1174/'Underwriting Risk'!$E$27,'Premium and Reserve Risk'!$Z$1076),'Premium and Reserve Risk'!$Z$1076))</f>
        <v>0.17</v>
      </c>
      <c r="AA1174" s="80"/>
      <c r="AB1174" s="80"/>
      <c r="AC1174" s="737">
        <f ca="1">MAX(0%,IF(U1174&lt;&gt;0,MIN((W1174-U1174)/U1174/'Underwriting Risk'!$E$27,'Premium and Reserve Risk'!$AC$1076),'Premium and Reserve Risk'!$AC$1076))</f>
        <v>0.2</v>
      </c>
      <c r="AD1174" s="81"/>
      <c r="AE1174" s="97"/>
      <c r="AF1174" s="97"/>
      <c r="AG1174" s="97"/>
      <c r="AH1174" s="97"/>
    </row>
    <row r="1175" spans="1:34" ht="13.5" customHeight="1" x14ac:dyDescent="0.25">
      <c r="A1175" s="97"/>
      <c r="B1175" s="257">
        <v>98</v>
      </c>
      <c r="C1175" s="652"/>
      <c r="D1175" s="80"/>
      <c r="E1175" s="80"/>
      <c r="F1175" s="258">
        <f t="shared" ca="1" si="36"/>
        <v>0</v>
      </c>
      <c r="G1175" s="624"/>
      <c r="H1175" s="85"/>
      <c r="I1175" s="624"/>
      <c r="J1175" s="85"/>
      <c r="K1175" s="624"/>
      <c r="L1175" s="85"/>
      <c r="M1175" s="624"/>
      <c r="N1175" s="85"/>
      <c r="O1175" s="624"/>
      <c r="P1175" s="85"/>
      <c r="Q1175" s="626">
        <f t="shared" si="34"/>
        <v>0</v>
      </c>
      <c r="R1175" s="85"/>
      <c r="S1175" s="624"/>
      <c r="T1175" s="260"/>
      <c r="U1175" s="624"/>
      <c r="V1175" s="85"/>
      <c r="W1175" s="624"/>
      <c r="X1175" s="81"/>
      <c r="Y1175" s="80"/>
      <c r="Z1175" s="737">
        <f ca="1">MAX(0%,IF(Q1175&lt;&gt;0,MIN((S1175-Q1175)/Q1175/'Underwriting Risk'!$E$27,'Premium and Reserve Risk'!$Z$1076),'Premium and Reserve Risk'!$Z$1076))</f>
        <v>0.17</v>
      </c>
      <c r="AA1175" s="80"/>
      <c r="AB1175" s="80"/>
      <c r="AC1175" s="737">
        <f ca="1">MAX(0%,IF(U1175&lt;&gt;0,MIN((W1175-U1175)/U1175/'Underwriting Risk'!$E$27,'Premium and Reserve Risk'!$AC$1076),'Premium and Reserve Risk'!$AC$1076))</f>
        <v>0.2</v>
      </c>
      <c r="AD1175" s="81"/>
      <c r="AE1175" s="97"/>
      <c r="AF1175" s="97"/>
      <c r="AG1175" s="97"/>
      <c r="AH1175" s="97"/>
    </row>
    <row r="1176" spans="1:34" ht="13.5" customHeight="1" x14ac:dyDescent="0.25">
      <c r="A1176" s="97"/>
      <c r="B1176" s="257">
        <v>99</v>
      </c>
      <c r="C1176" s="652"/>
      <c r="D1176" s="80"/>
      <c r="E1176" s="80"/>
      <c r="F1176" s="258">
        <f t="shared" ca="1" si="36"/>
        <v>0</v>
      </c>
      <c r="G1176" s="624"/>
      <c r="H1176" s="85"/>
      <c r="I1176" s="624"/>
      <c r="J1176" s="85"/>
      <c r="K1176" s="624"/>
      <c r="L1176" s="85"/>
      <c r="M1176" s="624"/>
      <c r="N1176" s="85"/>
      <c r="O1176" s="624"/>
      <c r="P1176" s="85"/>
      <c r="Q1176" s="626">
        <f t="shared" si="34"/>
        <v>0</v>
      </c>
      <c r="R1176" s="85"/>
      <c r="S1176" s="624"/>
      <c r="T1176" s="260"/>
      <c r="U1176" s="624"/>
      <c r="V1176" s="85"/>
      <c r="W1176" s="624"/>
      <c r="X1176" s="81"/>
      <c r="Y1176" s="80"/>
      <c r="Z1176" s="737">
        <f ca="1">MAX(0%,IF(Q1176&lt;&gt;0,MIN((S1176-Q1176)/Q1176/'Underwriting Risk'!$E$27,'Premium and Reserve Risk'!$Z$1076),'Premium and Reserve Risk'!$Z$1076))</f>
        <v>0.17</v>
      </c>
      <c r="AA1176" s="80"/>
      <c r="AB1176" s="80"/>
      <c r="AC1176" s="737">
        <f ca="1">MAX(0%,IF(U1176&lt;&gt;0,MIN((W1176-U1176)/U1176/'Underwriting Risk'!$E$27,'Premium and Reserve Risk'!$AC$1076),'Premium and Reserve Risk'!$AC$1076))</f>
        <v>0.2</v>
      </c>
      <c r="AD1176" s="81"/>
      <c r="AE1176" s="97"/>
      <c r="AF1176" s="97"/>
      <c r="AG1176" s="97"/>
      <c r="AH1176" s="97"/>
    </row>
    <row r="1177" spans="1:34" ht="13.5" customHeight="1" x14ac:dyDescent="0.25">
      <c r="A1177" s="97"/>
      <c r="B1177" s="257">
        <v>100</v>
      </c>
      <c r="C1177" s="652"/>
      <c r="D1177" s="80"/>
      <c r="E1177" s="80"/>
      <c r="F1177" s="258">
        <f t="shared" ca="1" si="36"/>
        <v>0</v>
      </c>
      <c r="G1177" s="624"/>
      <c r="H1177" s="85"/>
      <c r="I1177" s="624"/>
      <c r="J1177" s="85"/>
      <c r="K1177" s="624"/>
      <c r="L1177" s="85"/>
      <c r="M1177" s="624"/>
      <c r="N1177" s="85"/>
      <c r="O1177" s="624"/>
      <c r="P1177" s="85"/>
      <c r="Q1177" s="626">
        <f t="shared" si="34"/>
        <v>0</v>
      </c>
      <c r="R1177" s="85"/>
      <c r="S1177" s="624"/>
      <c r="T1177" s="260"/>
      <c r="U1177" s="624"/>
      <c r="V1177" s="85"/>
      <c r="W1177" s="624"/>
      <c r="X1177" s="81"/>
      <c r="Y1177" s="80"/>
      <c r="Z1177" s="737">
        <f ca="1">MAX(0%,IF(Q1177&lt;&gt;0,MIN((S1177-Q1177)/Q1177/'Underwriting Risk'!$E$27,'Premium and Reserve Risk'!$Z$1076),'Premium and Reserve Risk'!$Z$1076))</f>
        <v>0.17</v>
      </c>
      <c r="AA1177" s="80"/>
      <c r="AB1177" s="80"/>
      <c r="AC1177" s="737">
        <f ca="1">MAX(0%,IF(U1177&lt;&gt;0,MIN((W1177-U1177)/U1177/'Underwriting Risk'!$E$27,'Premium and Reserve Risk'!$AC$1076),'Premium and Reserve Risk'!$AC$1076))</f>
        <v>0.2</v>
      </c>
      <c r="AD1177" s="81"/>
      <c r="AE1177" s="97"/>
      <c r="AF1177" s="97"/>
      <c r="AG1177" s="97"/>
      <c r="AH1177" s="97"/>
    </row>
    <row r="1178" spans="1:34" ht="6" customHeight="1" thickBot="1" x14ac:dyDescent="0.3">
      <c r="A1178" s="97"/>
      <c r="B1178" s="110"/>
      <c r="C1178" s="93"/>
      <c r="D1178" s="93"/>
      <c r="E1178" s="93"/>
      <c r="F1178" s="261">
        <f ca="1">IF(OFFSET($Z$8,10,0)=0,1,0)</f>
        <v>0</v>
      </c>
      <c r="G1178" s="134"/>
      <c r="H1178" s="134"/>
      <c r="I1178" s="134"/>
      <c r="J1178" s="134"/>
      <c r="K1178" s="134"/>
      <c r="L1178" s="134"/>
      <c r="M1178" s="134"/>
      <c r="N1178" s="134"/>
      <c r="O1178" s="134"/>
      <c r="P1178" s="134"/>
      <c r="Q1178" s="134"/>
      <c r="R1178" s="134"/>
      <c r="S1178" s="134"/>
      <c r="T1178" s="134"/>
      <c r="U1178" s="134"/>
      <c r="V1178" s="134"/>
      <c r="W1178" s="134"/>
      <c r="X1178" s="94"/>
      <c r="Y1178" s="93"/>
      <c r="Z1178" s="93"/>
      <c r="AA1178" s="93"/>
      <c r="AB1178" s="93"/>
      <c r="AC1178" s="93"/>
      <c r="AD1178" s="94"/>
      <c r="AE1178" s="97"/>
      <c r="AF1178" s="97"/>
      <c r="AG1178" s="97"/>
      <c r="AH1178" s="97"/>
    </row>
    <row r="1179" spans="1:34" ht="16.5" thickBot="1" x14ac:dyDescent="0.3">
      <c r="A1179" s="97"/>
      <c r="B1179" s="53"/>
      <c r="C1179" s="53"/>
      <c r="D1179" s="53"/>
      <c r="E1179" s="53"/>
      <c r="F1179" s="53"/>
      <c r="G1179" s="109"/>
      <c r="H1179" s="109"/>
      <c r="I1179" s="109"/>
      <c r="J1179" s="109"/>
      <c r="K1179" s="109"/>
      <c r="L1179" s="109"/>
      <c r="M1179" s="109"/>
      <c r="N1179" s="109"/>
      <c r="O1179" s="109"/>
      <c r="P1179" s="109"/>
      <c r="Q1179" s="109"/>
      <c r="R1179" s="109"/>
      <c r="S1179" s="109"/>
      <c r="T1179" s="109"/>
      <c r="U1179" s="109"/>
      <c r="V1179" s="109"/>
      <c r="W1179" s="109"/>
      <c r="X1179" s="53"/>
      <c r="Y1179" s="53"/>
      <c r="Z1179" s="53"/>
      <c r="AA1179" s="53"/>
      <c r="AB1179" s="53"/>
      <c r="AC1179" s="53"/>
      <c r="AD1179" s="53"/>
      <c r="AE1179" s="97"/>
      <c r="AF1179" s="97"/>
      <c r="AG1179" s="97"/>
      <c r="AH1179" s="97"/>
    </row>
    <row r="1180" spans="1:34" ht="31.5" x14ac:dyDescent="0.25">
      <c r="A1180" s="97"/>
      <c r="B1180" s="187">
        <v>27</v>
      </c>
      <c r="C1180" s="187" t="str">
        <f ca="1">RIGHT(OFFSET($B$8,B1180-16,0),LEN(OFFSET($B$8,B1180-16,0))-5)</f>
        <v>Non-prop. reinsurance - Property</v>
      </c>
      <c r="D1180" s="68"/>
      <c r="E1180" s="68"/>
      <c r="F1180" s="68"/>
      <c r="G1180" s="68"/>
      <c r="H1180" s="68"/>
      <c r="I1180" s="68"/>
      <c r="J1180" s="68"/>
      <c r="K1180" s="68"/>
      <c r="L1180" s="68"/>
      <c r="M1180" s="68"/>
      <c r="N1180" s="68"/>
      <c r="O1180" s="68"/>
      <c r="P1180" s="68"/>
      <c r="Q1180" s="68"/>
      <c r="R1180" s="68"/>
      <c r="S1180" s="68"/>
      <c r="T1180" s="68"/>
      <c r="U1180" s="68"/>
      <c r="V1180" s="68"/>
      <c r="W1180" s="68"/>
      <c r="X1180" s="251"/>
      <c r="Y1180" s="68"/>
      <c r="Z1180" s="250" t="s">
        <v>458</v>
      </c>
      <c r="AA1180" s="736"/>
      <c r="AB1180" s="736"/>
      <c r="AC1180" s="250" t="s">
        <v>459</v>
      </c>
      <c r="AD1180" s="251"/>
      <c r="AE1180" s="97"/>
      <c r="AF1180" s="97"/>
      <c r="AG1180" s="97"/>
      <c r="AH1180" s="97"/>
    </row>
    <row r="1181" spans="1:34" ht="129.75" thickBot="1" x14ac:dyDescent="0.3">
      <c r="A1181" s="97"/>
      <c r="B1181" s="252"/>
      <c r="C1181" s="253" t="s">
        <v>460</v>
      </c>
      <c r="D1181" s="237"/>
      <c r="E1181" s="237"/>
      <c r="F1181" s="254">
        <f ca="1">IF(OFFSET($Z$8,11,0)=0,1,0)</f>
        <v>0</v>
      </c>
      <c r="G1181" s="792" t="s">
        <v>1130</v>
      </c>
      <c r="H1181" s="793"/>
      <c r="I1181" s="791" t="s">
        <v>438</v>
      </c>
      <c r="J1181" s="791"/>
      <c r="K1181" s="791" t="s">
        <v>439</v>
      </c>
      <c r="L1181" s="791"/>
      <c r="M1181" s="791" t="s">
        <v>1131</v>
      </c>
      <c r="N1181" s="791"/>
      <c r="O1181" s="791" t="s">
        <v>1132</v>
      </c>
      <c r="P1181" s="363"/>
      <c r="Q1181" s="237" t="s">
        <v>440</v>
      </c>
      <c r="R1181" s="237"/>
      <c r="S1181" s="237" t="s">
        <v>461</v>
      </c>
      <c r="T1181" s="237"/>
      <c r="U1181" s="237" t="s">
        <v>463</v>
      </c>
      <c r="V1181" s="237"/>
      <c r="W1181" s="237" t="s">
        <v>464</v>
      </c>
      <c r="X1181" s="238"/>
      <c r="Y1181" s="237"/>
      <c r="Z1181" s="255">
        <f ca="1">OFFSET('Underwriting Risk'!$K$55,'Premium and Reserve Risk'!B1180-16,0)</f>
        <v>0.17</v>
      </c>
      <c r="AA1181" s="237"/>
      <c r="AB1181" s="237"/>
      <c r="AC1181" s="255">
        <f ca="1">OFFSET('Underwriting Risk'!$M$55,'Premium and Reserve Risk'!B1180-16,0)</f>
        <v>0.2</v>
      </c>
      <c r="AD1181" s="238"/>
      <c r="AE1181" s="97"/>
      <c r="AF1181" s="97"/>
      <c r="AG1181" s="97"/>
      <c r="AH1181" s="97"/>
    </row>
    <row r="1182" spans="1:34" ht="6" customHeight="1" x14ac:dyDescent="0.25">
      <c r="A1182" s="97"/>
      <c r="B1182" s="106"/>
      <c r="C1182" s="80"/>
      <c r="D1182" s="80"/>
      <c r="E1182" s="80"/>
      <c r="F1182" s="256">
        <f ca="1">IF(OFFSET($Z$8,11,0)=0,1,0)</f>
        <v>0</v>
      </c>
      <c r="G1182" s="85"/>
      <c r="H1182" s="85"/>
      <c r="I1182" s="85"/>
      <c r="J1182" s="85"/>
      <c r="K1182" s="85"/>
      <c r="L1182" s="85"/>
      <c r="M1182" s="85"/>
      <c r="N1182" s="85"/>
      <c r="O1182" s="85"/>
      <c r="P1182" s="85"/>
      <c r="Q1182" s="85"/>
      <c r="R1182" s="85"/>
      <c r="S1182" s="85"/>
      <c r="T1182" s="85"/>
      <c r="U1182" s="85"/>
      <c r="V1182" s="85"/>
      <c r="W1182" s="85"/>
      <c r="X1182" s="81"/>
      <c r="Y1182" s="80"/>
      <c r="Z1182" s="80"/>
      <c r="AA1182" s="80"/>
      <c r="AB1182" s="80"/>
      <c r="AC1182" s="80"/>
      <c r="AD1182" s="81"/>
      <c r="AE1182" s="97"/>
      <c r="AF1182" s="97"/>
      <c r="AG1182" s="97"/>
      <c r="AH1182" s="97"/>
    </row>
    <row r="1183" spans="1:34" ht="13.5" customHeight="1" x14ac:dyDescent="0.25">
      <c r="A1183" s="97"/>
      <c r="B1183" s="257">
        <v>1</v>
      </c>
      <c r="C1183" s="652"/>
      <c r="D1183" s="80"/>
      <c r="E1183" s="80"/>
      <c r="F1183" s="258">
        <f ca="1">IF(B1183&lt;=OFFSET($Z$8,11,0),0,1)</f>
        <v>0</v>
      </c>
      <c r="G1183" s="624"/>
      <c r="H1183" s="85"/>
      <c r="I1183" s="624"/>
      <c r="J1183" s="85"/>
      <c r="K1183" s="624"/>
      <c r="L1183" s="85"/>
      <c r="M1183" s="624"/>
      <c r="N1183" s="85"/>
      <c r="O1183" s="624"/>
      <c r="P1183" s="85"/>
      <c r="Q1183" s="626">
        <f t="shared" ref="Q1183:Q1281" si="37">MAX(G1183,I1183)+K1183+M1183+0.3*O1183</f>
        <v>0</v>
      </c>
      <c r="R1183" s="85"/>
      <c r="S1183" s="624"/>
      <c r="T1183" s="260"/>
      <c r="U1183" s="624"/>
      <c r="V1183" s="85"/>
      <c r="W1183" s="624"/>
      <c r="X1183" s="81"/>
      <c r="Y1183" s="80"/>
      <c r="Z1183" s="737">
        <f ca="1">MAX(0%,IF(Q1183&lt;&gt;0,MIN((S1183-Q1183)/Q1183/'Underwriting Risk'!$E$27,'Premium and Reserve Risk'!$Z$1181),'Premium and Reserve Risk'!$Z$1181))</f>
        <v>0.17</v>
      </c>
      <c r="AA1183" s="80"/>
      <c r="AB1183" s="80"/>
      <c r="AC1183" s="737">
        <f ca="1">MAX(0%,IF(U1183&lt;&gt;0,MIN((W1183-U1183)/U1183/'Underwriting Risk'!$E$27,'Premium and Reserve Risk'!$AC$1181),'Premium and Reserve Risk'!$AC$1181))</f>
        <v>0.2</v>
      </c>
      <c r="AD1183" s="81"/>
      <c r="AE1183" s="97"/>
      <c r="AF1183" s="97"/>
      <c r="AG1183" s="97"/>
      <c r="AH1183" s="97"/>
    </row>
    <row r="1184" spans="1:34" ht="13.5" customHeight="1" x14ac:dyDescent="0.25">
      <c r="A1184" s="97"/>
      <c r="B1184" s="257">
        <v>2</v>
      </c>
      <c r="C1184" s="652"/>
      <c r="D1184" s="80"/>
      <c r="E1184" s="80"/>
      <c r="F1184" s="258">
        <f t="shared" ref="F1184:F1247" ca="1" si="38">IF(B1184&lt;=OFFSET($Z$8,11,0),0,1)</f>
        <v>0</v>
      </c>
      <c r="G1184" s="624"/>
      <c r="H1184" s="85"/>
      <c r="I1184" s="624"/>
      <c r="J1184" s="85"/>
      <c r="K1184" s="624"/>
      <c r="L1184" s="85"/>
      <c r="M1184" s="624"/>
      <c r="N1184" s="85"/>
      <c r="O1184" s="624"/>
      <c r="P1184" s="85"/>
      <c r="Q1184" s="626">
        <f t="shared" si="37"/>
        <v>0</v>
      </c>
      <c r="R1184" s="85"/>
      <c r="S1184" s="624"/>
      <c r="T1184" s="260"/>
      <c r="U1184" s="624"/>
      <c r="V1184" s="85"/>
      <c r="W1184" s="624"/>
      <c r="X1184" s="81"/>
      <c r="Y1184" s="80"/>
      <c r="Z1184" s="737">
        <f ca="1">MAX(0%,IF(Q1184&lt;&gt;0,MIN((S1184-Q1184)/Q1184/'Underwriting Risk'!$E$27,'Premium and Reserve Risk'!$Z$1181),'Premium and Reserve Risk'!$Z$1181))</f>
        <v>0.17</v>
      </c>
      <c r="AA1184" s="80"/>
      <c r="AB1184" s="80"/>
      <c r="AC1184" s="737">
        <f ca="1">MAX(0%,IF(U1184&lt;&gt;0,MIN((W1184-U1184)/U1184/'Underwriting Risk'!$E$27,'Premium and Reserve Risk'!$AC$1181),'Premium and Reserve Risk'!$AC$1181))</f>
        <v>0.2</v>
      </c>
      <c r="AD1184" s="81"/>
      <c r="AE1184" s="97"/>
      <c r="AF1184" s="97"/>
      <c r="AG1184" s="97"/>
      <c r="AH1184" s="97"/>
    </row>
    <row r="1185" spans="1:34" ht="13.5" customHeight="1" x14ac:dyDescent="0.25">
      <c r="A1185" s="97"/>
      <c r="B1185" s="257">
        <v>3</v>
      </c>
      <c r="C1185" s="652"/>
      <c r="D1185" s="80"/>
      <c r="E1185" s="80"/>
      <c r="F1185" s="258">
        <f t="shared" ca="1" si="38"/>
        <v>0</v>
      </c>
      <c r="G1185" s="624"/>
      <c r="H1185" s="85"/>
      <c r="I1185" s="624"/>
      <c r="J1185" s="85"/>
      <c r="K1185" s="624"/>
      <c r="L1185" s="85"/>
      <c r="M1185" s="624"/>
      <c r="N1185" s="85"/>
      <c r="O1185" s="624"/>
      <c r="P1185" s="85"/>
      <c r="Q1185" s="626">
        <f t="shared" si="37"/>
        <v>0</v>
      </c>
      <c r="R1185" s="85"/>
      <c r="S1185" s="624"/>
      <c r="T1185" s="260"/>
      <c r="U1185" s="624"/>
      <c r="V1185" s="85"/>
      <c r="W1185" s="624"/>
      <c r="X1185" s="81"/>
      <c r="Y1185" s="80"/>
      <c r="Z1185" s="737">
        <f ca="1">MAX(0%,IF(Q1185&lt;&gt;0,MIN((S1185-Q1185)/Q1185/'Underwriting Risk'!$E$27,'Premium and Reserve Risk'!$Z$1181),'Premium and Reserve Risk'!$Z$1181))</f>
        <v>0.17</v>
      </c>
      <c r="AA1185" s="80"/>
      <c r="AB1185" s="80"/>
      <c r="AC1185" s="737">
        <f ca="1">MAX(0%,IF(U1185&lt;&gt;0,MIN((W1185-U1185)/U1185/'Underwriting Risk'!$E$27,'Premium and Reserve Risk'!$AC$1181),'Premium and Reserve Risk'!$AC$1181))</f>
        <v>0.2</v>
      </c>
      <c r="AD1185" s="81"/>
      <c r="AE1185" s="97"/>
      <c r="AF1185" s="97"/>
      <c r="AG1185" s="97"/>
      <c r="AH1185" s="97"/>
    </row>
    <row r="1186" spans="1:34" ht="13.5" customHeight="1" x14ac:dyDescent="0.25">
      <c r="A1186" s="97"/>
      <c r="B1186" s="257">
        <v>4</v>
      </c>
      <c r="C1186" s="652"/>
      <c r="D1186" s="80"/>
      <c r="E1186" s="80"/>
      <c r="F1186" s="258">
        <f t="shared" ca="1" si="38"/>
        <v>0</v>
      </c>
      <c r="G1186" s="624"/>
      <c r="H1186" s="85"/>
      <c r="I1186" s="624"/>
      <c r="J1186" s="85"/>
      <c r="K1186" s="624"/>
      <c r="L1186" s="85"/>
      <c r="M1186" s="624"/>
      <c r="N1186" s="85"/>
      <c r="O1186" s="624"/>
      <c r="P1186" s="85"/>
      <c r="Q1186" s="626">
        <f t="shared" si="37"/>
        <v>0</v>
      </c>
      <c r="R1186" s="85"/>
      <c r="S1186" s="624"/>
      <c r="T1186" s="260"/>
      <c r="U1186" s="624"/>
      <c r="V1186" s="85"/>
      <c r="W1186" s="624"/>
      <c r="X1186" s="81"/>
      <c r="Y1186" s="80"/>
      <c r="Z1186" s="737">
        <f ca="1">MAX(0%,IF(Q1186&lt;&gt;0,MIN((S1186-Q1186)/Q1186/'Underwriting Risk'!$E$27,'Premium and Reserve Risk'!$Z$1181),'Premium and Reserve Risk'!$Z$1181))</f>
        <v>0.17</v>
      </c>
      <c r="AA1186" s="80"/>
      <c r="AB1186" s="80"/>
      <c r="AC1186" s="737">
        <f ca="1">MAX(0%,IF(U1186&lt;&gt;0,MIN((W1186-U1186)/U1186/'Underwriting Risk'!$E$27,'Premium and Reserve Risk'!$AC$1181),'Premium and Reserve Risk'!$AC$1181))</f>
        <v>0.2</v>
      </c>
      <c r="AD1186" s="81"/>
      <c r="AE1186" s="97"/>
      <c r="AF1186" s="97"/>
      <c r="AG1186" s="97"/>
      <c r="AH1186" s="97"/>
    </row>
    <row r="1187" spans="1:34" ht="13.5" customHeight="1" x14ac:dyDescent="0.25">
      <c r="A1187" s="97"/>
      <c r="B1187" s="257">
        <v>5</v>
      </c>
      <c r="C1187" s="652"/>
      <c r="D1187" s="80"/>
      <c r="E1187" s="80"/>
      <c r="F1187" s="258">
        <f t="shared" ca="1" si="38"/>
        <v>0</v>
      </c>
      <c r="G1187" s="624"/>
      <c r="H1187" s="85"/>
      <c r="I1187" s="624"/>
      <c r="J1187" s="85"/>
      <c r="K1187" s="624"/>
      <c r="L1187" s="85"/>
      <c r="M1187" s="624"/>
      <c r="N1187" s="85"/>
      <c r="O1187" s="624"/>
      <c r="P1187" s="85"/>
      <c r="Q1187" s="626">
        <f t="shared" si="37"/>
        <v>0</v>
      </c>
      <c r="R1187" s="85"/>
      <c r="S1187" s="624"/>
      <c r="T1187" s="260"/>
      <c r="U1187" s="624"/>
      <c r="V1187" s="85"/>
      <c r="W1187" s="624"/>
      <c r="X1187" s="81"/>
      <c r="Y1187" s="80"/>
      <c r="Z1187" s="737">
        <f ca="1">MAX(0%,IF(Q1187&lt;&gt;0,MIN((S1187-Q1187)/Q1187/'Underwriting Risk'!$E$27,'Premium and Reserve Risk'!$Z$1181),'Premium and Reserve Risk'!$Z$1181))</f>
        <v>0.17</v>
      </c>
      <c r="AA1187" s="80"/>
      <c r="AB1187" s="80"/>
      <c r="AC1187" s="737">
        <f ca="1">MAX(0%,IF(U1187&lt;&gt;0,MIN((W1187-U1187)/U1187/'Underwriting Risk'!$E$27,'Premium and Reserve Risk'!$AC$1181),'Premium and Reserve Risk'!$AC$1181))</f>
        <v>0.2</v>
      </c>
      <c r="AD1187" s="81"/>
      <c r="AE1187" s="97"/>
      <c r="AF1187" s="97"/>
      <c r="AG1187" s="97"/>
      <c r="AH1187" s="97"/>
    </row>
    <row r="1188" spans="1:34" ht="13.5" customHeight="1" x14ac:dyDescent="0.25">
      <c r="A1188" s="97"/>
      <c r="B1188" s="257">
        <v>6</v>
      </c>
      <c r="C1188" s="652"/>
      <c r="D1188" s="80"/>
      <c r="E1188" s="80"/>
      <c r="F1188" s="258">
        <f t="shared" ca="1" si="38"/>
        <v>0</v>
      </c>
      <c r="G1188" s="624"/>
      <c r="H1188" s="85"/>
      <c r="I1188" s="624"/>
      <c r="J1188" s="85"/>
      <c r="K1188" s="624"/>
      <c r="L1188" s="85"/>
      <c r="M1188" s="624"/>
      <c r="N1188" s="85"/>
      <c r="O1188" s="624"/>
      <c r="P1188" s="85"/>
      <c r="Q1188" s="626">
        <f t="shared" si="37"/>
        <v>0</v>
      </c>
      <c r="R1188" s="85"/>
      <c r="S1188" s="624"/>
      <c r="T1188" s="260"/>
      <c r="U1188" s="624"/>
      <c r="V1188" s="85"/>
      <c r="W1188" s="624"/>
      <c r="X1188" s="81"/>
      <c r="Y1188" s="80"/>
      <c r="Z1188" s="737">
        <f ca="1">MAX(0%,IF(Q1188&lt;&gt;0,MIN((S1188-Q1188)/Q1188/'Underwriting Risk'!$E$27,'Premium and Reserve Risk'!$Z$1181),'Premium and Reserve Risk'!$Z$1181))</f>
        <v>0.17</v>
      </c>
      <c r="AA1188" s="80"/>
      <c r="AB1188" s="80"/>
      <c r="AC1188" s="737">
        <f ca="1">MAX(0%,IF(U1188&lt;&gt;0,MIN((W1188-U1188)/U1188/'Underwriting Risk'!$E$27,'Premium and Reserve Risk'!$AC$1181),'Premium and Reserve Risk'!$AC$1181))</f>
        <v>0.2</v>
      </c>
      <c r="AD1188" s="81"/>
      <c r="AE1188" s="97"/>
      <c r="AF1188" s="97"/>
      <c r="AG1188" s="97"/>
      <c r="AH1188" s="97"/>
    </row>
    <row r="1189" spans="1:34" ht="13.5" customHeight="1" x14ac:dyDescent="0.25">
      <c r="A1189" s="97"/>
      <c r="B1189" s="257">
        <v>7</v>
      </c>
      <c r="C1189" s="652"/>
      <c r="D1189" s="80"/>
      <c r="E1189" s="80"/>
      <c r="F1189" s="258">
        <f t="shared" ca="1" si="38"/>
        <v>0</v>
      </c>
      <c r="G1189" s="624"/>
      <c r="H1189" s="85"/>
      <c r="I1189" s="624"/>
      <c r="J1189" s="85"/>
      <c r="K1189" s="624"/>
      <c r="L1189" s="85"/>
      <c r="M1189" s="624"/>
      <c r="N1189" s="85"/>
      <c r="O1189" s="624"/>
      <c r="P1189" s="85"/>
      <c r="Q1189" s="626">
        <f t="shared" si="37"/>
        <v>0</v>
      </c>
      <c r="R1189" s="85"/>
      <c r="S1189" s="624"/>
      <c r="T1189" s="260"/>
      <c r="U1189" s="624"/>
      <c r="V1189" s="85"/>
      <c r="W1189" s="624"/>
      <c r="X1189" s="81"/>
      <c r="Y1189" s="80"/>
      <c r="Z1189" s="737">
        <f ca="1">MAX(0%,IF(Q1189&lt;&gt;0,MIN((S1189-Q1189)/Q1189/'Underwriting Risk'!$E$27,'Premium and Reserve Risk'!$Z$1181),'Premium and Reserve Risk'!$Z$1181))</f>
        <v>0.17</v>
      </c>
      <c r="AA1189" s="80"/>
      <c r="AB1189" s="80"/>
      <c r="AC1189" s="737">
        <f ca="1">MAX(0%,IF(U1189&lt;&gt;0,MIN((W1189-U1189)/U1189/'Underwriting Risk'!$E$27,'Premium and Reserve Risk'!$AC$1181),'Premium and Reserve Risk'!$AC$1181))</f>
        <v>0.2</v>
      </c>
      <c r="AD1189" s="81"/>
      <c r="AE1189" s="97"/>
      <c r="AF1189" s="97"/>
      <c r="AG1189" s="97"/>
      <c r="AH1189" s="97"/>
    </row>
    <row r="1190" spans="1:34" ht="13.5" customHeight="1" x14ac:dyDescent="0.25">
      <c r="A1190" s="97"/>
      <c r="B1190" s="257">
        <v>8</v>
      </c>
      <c r="C1190" s="652"/>
      <c r="D1190" s="80"/>
      <c r="E1190" s="80"/>
      <c r="F1190" s="258">
        <f t="shared" ca="1" si="38"/>
        <v>0</v>
      </c>
      <c r="G1190" s="624"/>
      <c r="H1190" s="85"/>
      <c r="I1190" s="624"/>
      <c r="J1190" s="85"/>
      <c r="K1190" s="624"/>
      <c r="L1190" s="85"/>
      <c r="M1190" s="624"/>
      <c r="N1190" s="85"/>
      <c r="O1190" s="624"/>
      <c r="P1190" s="85"/>
      <c r="Q1190" s="626">
        <f t="shared" si="37"/>
        <v>0</v>
      </c>
      <c r="R1190" s="85"/>
      <c r="S1190" s="624"/>
      <c r="T1190" s="260"/>
      <c r="U1190" s="624"/>
      <c r="V1190" s="85"/>
      <c r="W1190" s="624"/>
      <c r="X1190" s="81"/>
      <c r="Y1190" s="80"/>
      <c r="Z1190" s="737">
        <f ca="1">MAX(0%,IF(Q1190&lt;&gt;0,MIN((S1190-Q1190)/Q1190/'Underwriting Risk'!$E$27,'Premium and Reserve Risk'!$Z$1181),'Premium and Reserve Risk'!$Z$1181))</f>
        <v>0.17</v>
      </c>
      <c r="AA1190" s="80"/>
      <c r="AB1190" s="80"/>
      <c r="AC1190" s="737">
        <f ca="1">MAX(0%,IF(U1190&lt;&gt;0,MIN((W1190-U1190)/U1190/'Underwriting Risk'!$E$27,'Premium and Reserve Risk'!$AC$1181),'Premium and Reserve Risk'!$AC$1181))</f>
        <v>0.2</v>
      </c>
      <c r="AD1190" s="81"/>
      <c r="AE1190" s="97"/>
      <c r="AF1190" s="97"/>
      <c r="AG1190" s="97"/>
      <c r="AH1190" s="97"/>
    </row>
    <row r="1191" spans="1:34" ht="13.5" customHeight="1" x14ac:dyDescent="0.25">
      <c r="A1191" s="97"/>
      <c r="B1191" s="257">
        <v>9</v>
      </c>
      <c r="C1191" s="652"/>
      <c r="D1191" s="80"/>
      <c r="E1191" s="80"/>
      <c r="F1191" s="258">
        <f t="shared" ca="1" si="38"/>
        <v>0</v>
      </c>
      <c r="G1191" s="624"/>
      <c r="H1191" s="85"/>
      <c r="I1191" s="624"/>
      <c r="J1191" s="85"/>
      <c r="K1191" s="624"/>
      <c r="L1191" s="85"/>
      <c r="M1191" s="624"/>
      <c r="N1191" s="85"/>
      <c r="O1191" s="624"/>
      <c r="P1191" s="85"/>
      <c r="Q1191" s="626">
        <f t="shared" si="37"/>
        <v>0</v>
      </c>
      <c r="R1191" s="85"/>
      <c r="S1191" s="624"/>
      <c r="T1191" s="260"/>
      <c r="U1191" s="624"/>
      <c r="V1191" s="85"/>
      <c r="W1191" s="624"/>
      <c r="X1191" s="81"/>
      <c r="Y1191" s="80"/>
      <c r="Z1191" s="737">
        <f ca="1">MAX(0%,IF(Q1191&lt;&gt;0,MIN((S1191-Q1191)/Q1191/'Underwriting Risk'!$E$27,'Premium and Reserve Risk'!$Z$1181),'Premium and Reserve Risk'!$Z$1181))</f>
        <v>0.17</v>
      </c>
      <c r="AA1191" s="80"/>
      <c r="AB1191" s="80"/>
      <c r="AC1191" s="737">
        <f ca="1">MAX(0%,IF(U1191&lt;&gt;0,MIN((W1191-U1191)/U1191/'Underwriting Risk'!$E$27,'Premium and Reserve Risk'!$AC$1181),'Premium and Reserve Risk'!$AC$1181))</f>
        <v>0.2</v>
      </c>
      <c r="AD1191" s="81"/>
      <c r="AE1191" s="97"/>
      <c r="AF1191" s="97"/>
      <c r="AG1191" s="97"/>
      <c r="AH1191" s="97"/>
    </row>
    <row r="1192" spans="1:34" ht="13.5" customHeight="1" x14ac:dyDescent="0.25">
      <c r="A1192" s="97"/>
      <c r="B1192" s="257">
        <v>10</v>
      </c>
      <c r="C1192" s="652"/>
      <c r="D1192" s="80"/>
      <c r="E1192" s="80"/>
      <c r="F1192" s="258">
        <f t="shared" ca="1" si="38"/>
        <v>0</v>
      </c>
      <c r="G1192" s="624"/>
      <c r="H1192" s="85"/>
      <c r="I1192" s="624"/>
      <c r="J1192" s="85"/>
      <c r="K1192" s="624"/>
      <c r="L1192" s="85"/>
      <c r="M1192" s="624"/>
      <c r="N1192" s="85"/>
      <c r="O1192" s="624"/>
      <c r="P1192" s="85"/>
      <c r="Q1192" s="626">
        <f t="shared" si="37"/>
        <v>0</v>
      </c>
      <c r="R1192" s="85"/>
      <c r="S1192" s="624"/>
      <c r="T1192" s="260"/>
      <c r="U1192" s="624"/>
      <c r="V1192" s="85"/>
      <c r="W1192" s="624"/>
      <c r="X1192" s="81"/>
      <c r="Y1192" s="80"/>
      <c r="Z1192" s="737">
        <f ca="1">MAX(0%,IF(Q1192&lt;&gt;0,MIN((S1192-Q1192)/Q1192/'Underwriting Risk'!$E$27,'Premium and Reserve Risk'!$Z$1181),'Premium and Reserve Risk'!$Z$1181))</f>
        <v>0.17</v>
      </c>
      <c r="AA1192" s="80"/>
      <c r="AB1192" s="80"/>
      <c r="AC1192" s="737">
        <f ca="1">MAX(0%,IF(U1192&lt;&gt;0,MIN((W1192-U1192)/U1192/'Underwriting Risk'!$E$27,'Premium and Reserve Risk'!$AC$1181),'Premium and Reserve Risk'!$AC$1181))</f>
        <v>0.2</v>
      </c>
      <c r="AD1192" s="81"/>
      <c r="AE1192" s="97"/>
      <c r="AF1192" s="97"/>
      <c r="AG1192" s="97"/>
      <c r="AH1192" s="97"/>
    </row>
    <row r="1193" spans="1:34" ht="13.5" customHeight="1" x14ac:dyDescent="0.25">
      <c r="A1193" s="97"/>
      <c r="B1193" s="257">
        <v>11</v>
      </c>
      <c r="C1193" s="652"/>
      <c r="D1193" s="80"/>
      <c r="E1193" s="80"/>
      <c r="F1193" s="258">
        <f t="shared" ca="1" si="38"/>
        <v>0</v>
      </c>
      <c r="G1193" s="624"/>
      <c r="H1193" s="85"/>
      <c r="I1193" s="624"/>
      <c r="J1193" s="85"/>
      <c r="K1193" s="624"/>
      <c r="L1193" s="85"/>
      <c r="M1193" s="624"/>
      <c r="N1193" s="85"/>
      <c r="O1193" s="624"/>
      <c r="P1193" s="85"/>
      <c r="Q1193" s="626">
        <f t="shared" si="37"/>
        <v>0</v>
      </c>
      <c r="R1193" s="85"/>
      <c r="S1193" s="624"/>
      <c r="T1193" s="260"/>
      <c r="U1193" s="624"/>
      <c r="V1193" s="85"/>
      <c r="W1193" s="624"/>
      <c r="X1193" s="81"/>
      <c r="Y1193" s="80"/>
      <c r="Z1193" s="737">
        <f ca="1">MAX(0%,IF(Q1193&lt;&gt;0,MIN((S1193-Q1193)/Q1193/'Underwriting Risk'!$E$27,'Premium and Reserve Risk'!$Z$1181),'Premium and Reserve Risk'!$Z$1181))</f>
        <v>0.17</v>
      </c>
      <c r="AA1193" s="80"/>
      <c r="AB1193" s="80"/>
      <c r="AC1193" s="737">
        <f ca="1">MAX(0%,IF(U1193&lt;&gt;0,MIN((W1193-U1193)/U1193/'Underwriting Risk'!$E$27,'Premium and Reserve Risk'!$AC$1181),'Premium and Reserve Risk'!$AC$1181))</f>
        <v>0.2</v>
      </c>
      <c r="AD1193" s="81"/>
      <c r="AE1193" s="97"/>
      <c r="AF1193" s="97"/>
      <c r="AG1193" s="97"/>
      <c r="AH1193" s="97"/>
    </row>
    <row r="1194" spans="1:34" ht="13.5" customHeight="1" x14ac:dyDescent="0.25">
      <c r="A1194" s="97"/>
      <c r="B1194" s="257">
        <v>12</v>
      </c>
      <c r="C1194" s="652"/>
      <c r="D1194" s="80"/>
      <c r="E1194" s="80"/>
      <c r="F1194" s="258">
        <f t="shared" ca="1" si="38"/>
        <v>0</v>
      </c>
      <c r="G1194" s="624"/>
      <c r="H1194" s="85"/>
      <c r="I1194" s="624"/>
      <c r="J1194" s="85"/>
      <c r="K1194" s="624"/>
      <c r="L1194" s="85"/>
      <c r="M1194" s="624"/>
      <c r="N1194" s="85"/>
      <c r="O1194" s="624"/>
      <c r="P1194" s="85"/>
      <c r="Q1194" s="626">
        <f t="shared" si="37"/>
        <v>0</v>
      </c>
      <c r="R1194" s="85"/>
      <c r="S1194" s="624"/>
      <c r="T1194" s="260"/>
      <c r="U1194" s="624"/>
      <c r="V1194" s="85"/>
      <c r="W1194" s="624"/>
      <c r="X1194" s="81"/>
      <c r="Y1194" s="80"/>
      <c r="Z1194" s="737">
        <f ca="1">MAX(0%,IF(Q1194&lt;&gt;0,MIN((S1194-Q1194)/Q1194/'Underwriting Risk'!$E$27,'Premium and Reserve Risk'!$Z$1181),'Premium and Reserve Risk'!$Z$1181))</f>
        <v>0.17</v>
      </c>
      <c r="AA1194" s="80"/>
      <c r="AB1194" s="80"/>
      <c r="AC1194" s="737">
        <f ca="1">MAX(0%,IF(U1194&lt;&gt;0,MIN((W1194-U1194)/U1194/'Underwriting Risk'!$E$27,'Premium and Reserve Risk'!$AC$1181),'Premium and Reserve Risk'!$AC$1181))</f>
        <v>0.2</v>
      </c>
      <c r="AD1194" s="81"/>
      <c r="AE1194" s="97"/>
      <c r="AF1194" s="97"/>
      <c r="AG1194" s="97"/>
      <c r="AH1194" s="97"/>
    </row>
    <row r="1195" spans="1:34" ht="13.5" customHeight="1" x14ac:dyDescent="0.25">
      <c r="A1195" s="97"/>
      <c r="B1195" s="257">
        <v>13</v>
      </c>
      <c r="C1195" s="652"/>
      <c r="D1195" s="80"/>
      <c r="E1195" s="80"/>
      <c r="F1195" s="258">
        <f t="shared" ca="1" si="38"/>
        <v>0</v>
      </c>
      <c r="G1195" s="624"/>
      <c r="H1195" s="85"/>
      <c r="I1195" s="624"/>
      <c r="J1195" s="85"/>
      <c r="K1195" s="624"/>
      <c r="L1195" s="85"/>
      <c r="M1195" s="624"/>
      <c r="N1195" s="85"/>
      <c r="O1195" s="624"/>
      <c r="P1195" s="85"/>
      <c r="Q1195" s="626">
        <f t="shared" si="37"/>
        <v>0</v>
      </c>
      <c r="R1195" s="85"/>
      <c r="S1195" s="624"/>
      <c r="T1195" s="260"/>
      <c r="U1195" s="624"/>
      <c r="V1195" s="85"/>
      <c r="W1195" s="624"/>
      <c r="X1195" s="81"/>
      <c r="Y1195" s="80"/>
      <c r="Z1195" s="737">
        <f ca="1">MAX(0%,IF(Q1195&lt;&gt;0,MIN((S1195-Q1195)/Q1195/'Underwriting Risk'!$E$27,'Premium and Reserve Risk'!$Z$1181),'Premium and Reserve Risk'!$Z$1181))</f>
        <v>0.17</v>
      </c>
      <c r="AA1195" s="80"/>
      <c r="AB1195" s="80"/>
      <c r="AC1195" s="737">
        <f ca="1">MAX(0%,IF(U1195&lt;&gt;0,MIN((W1195-U1195)/U1195/'Underwriting Risk'!$E$27,'Premium and Reserve Risk'!$AC$1181),'Premium and Reserve Risk'!$AC$1181))</f>
        <v>0.2</v>
      </c>
      <c r="AD1195" s="81"/>
      <c r="AE1195" s="97"/>
      <c r="AF1195" s="97"/>
      <c r="AG1195" s="97"/>
      <c r="AH1195" s="97"/>
    </row>
    <row r="1196" spans="1:34" ht="13.5" customHeight="1" x14ac:dyDescent="0.25">
      <c r="A1196" s="97"/>
      <c r="B1196" s="257">
        <v>14</v>
      </c>
      <c r="C1196" s="652"/>
      <c r="D1196" s="80"/>
      <c r="E1196" s="80"/>
      <c r="F1196" s="258">
        <f t="shared" ca="1" si="38"/>
        <v>0</v>
      </c>
      <c r="G1196" s="624"/>
      <c r="H1196" s="85"/>
      <c r="I1196" s="624"/>
      <c r="J1196" s="85"/>
      <c r="K1196" s="624"/>
      <c r="L1196" s="85"/>
      <c r="M1196" s="624"/>
      <c r="N1196" s="85"/>
      <c r="O1196" s="624"/>
      <c r="P1196" s="85"/>
      <c r="Q1196" s="626">
        <f t="shared" si="37"/>
        <v>0</v>
      </c>
      <c r="R1196" s="85"/>
      <c r="S1196" s="624"/>
      <c r="T1196" s="260"/>
      <c r="U1196" s="624"/>
      <c r="V1196" s="85"/>
      <c r="W1196" s="624"/>
      <c r="X1196" s="81"/>
      <c r="Y1196" s="80"/>
      <c r="Z1196" s="737">
        <f ca="1">MAX(0%,IF(Q1196&lt;&gt;0,MIN((S1196-Q1196)/Q1196/'Underwriting Risk'!$E$27,'Premium and Reserve Risk'!$Z$1181),'Premium and Reserve Risk'!$Z$1181))</f>
        <v>0.17</v>
      </c>
      <c r="AA1196" s="80"/>
      <c r="AB1196" s="80"/>
      <c r="AC1196" s="737">
        <f ca="1">MAX(0%,IF(U1196&lt;&gt;0,MIN((W1196-U1196)/U1196/'Underwriting Risk'!$E$27,'Premium and Reserve Risk'!$AC$1181),'Premium and Reserve Risk'!$AC$1181))</f>
        <v>0.2</v>
      </c>
      <c r="AD1196" s="81"/>
      <c r="AE1196" s="97"/>
      <c r="AF1196" s="97"/>
      <c r="AG1196" s="97"/>
      <c r="AH1196" s="97"/>
    </row>
    <row r="1197" spans="1:34" ht="13.5" customHeight="1" x14ac:dyDescent="0.25">
      <c r="A1197" s="97"/>
      <c r="B1197" s="257">
        <v>15</v>
      </c>
      <c r="C1197" s="652"/>
      <c r="D1197" s="80"/>
      <c r="E1197" s="80"/>
      <c r="F1197" s="258">
        <f t="shared" ca="1" si="38"/>
        <v>0</v>
      </c>
      <c r="G1197" s="624"/>
      <c r="H1197" s="85"/>
      <c r="I1197" s="624"/>
      <c r="J1197" s="85"/>
      <c r="K1197" s="624"/>
      <c r="L1197" s="85"/>
      <c r="M1197" s="624"/>
      <c r="N1197" s="85"/>
      <c r="O1197" s="624"/>
      <c r="P1197" s="85"/>
      <c r="Q1197" s="626">
        <f t="shared" si="37"/>
        <v>0</v>
      </c>
      <c r="R1197" s="85"/>
      <c r="S1197" s="624"/>
      <c r="T1197" s="260"/>
      <c r="U1197" s="624"/>
      <c r="V1197" s="85"/>
      <c r="W1197" s="624"/>
      <c r="X1197" s="81"/>
      <c r="Y1197" s="80"/>
      <c r="Z1197" s="737">
        <f ca="1">MAX(0%,IF(Q1197&lt;&gt;0,MIN((S1197-Q1197)/Q1197/'Underwriting Risk'!$E$27,'Premium and Reserve Risk'!$Z$1181),'Premium and Reserve Risk'!$Z$1181))</f>
        <v>0.17</v>
      </c>
      <c r="AA1197" s="80"/>
      <c r="AB1197" s="80"/>
      <c r="AC1197" s="737">
        <f ca="1">MAX(0%,IF(U1197&lt;&gt;0,MIN((W1197-U1197)/U1197/'Underwriting Risk'!$E$27,'Premium and Reserve Risk'!$AC$1181),'Premium and Reserve Risk'!$AC$1181))</f>
        <v>0.2</v>
      </c>
      <c r="AD1197" s="81"/>
      <c r="AE1197" s="97"/>
      <c r="AF1197" s="97"/>
      <c r="AG1197" s="97"/>
      <c r="AH1197" s="97"/>
    </row>
    <row r="1198" spans="1:34" ht="13.5" customHeight="1" x14ac:dyDescent="0.25">
      <c r="A1198" s="97"/>
      <c r="B1198" s="257">
        <v>16</v>
      </c>
      <c r="C1198" s="652"/>
      <c r="D1198" s="80"/>
      <c r="E1198" s="80"/>
      <c r="F1198" s="258">
        <f t="shared" ca="1" si="38"/>
        <v>0</v>
      </c>
      <c r="G1198" s="624"/>
      <c r="H1198" s="85"/>
      <c r="I1198" s="624"/>
      <c r="J1198" s="85"/>
      <c r="K1198" s="624"/>
      <c r="L1198" s="85"/>
      <c r="M1198" s="624"/>
      <c r="N1198" s="85"/>
      <c r="O1198" s="624"/>
      <c r="P1198" s="85"/>
      <c r="Q1198" s="626">
        <f t="shared" si="37"/>
        <v>0</v>
      </c>
      <c r="R1198" s="85"/>
      <c r="S1198" s="624"/>
      <c r="T1198" s="260"/>
      <c r="U1198" s="624"/>
      <c r="V1198" s="85"/>
      <c r="W1198" s="624"/>
      <c r="X1198" s="81"/>
      <c r="Y1198" s="80"/>
      <c r="Z1198" s="737">
        <f ca="1">MAX(0%,IF(Q1198&lt;&gt;0,MIN((S1198-Q1198)/Q1198/'Underwriting Risk'!$E$27,'Premium and Reserve Risk'!$Z$1181),'Premium and Reserve Risk'!$Z$1181))</f>
        <v>0.17</v>
      </c>
      <c r="AA1198" s="80"/>
      <c r="AB1198" s="80"/>
      <c r="AC1198" s="737">
        <f ca="1">MAX(0%,IF(U1198&lt;&gt;0,MIN((W1198-U1198)/U1198/'Underwriting Risk'!$E$27,'Premium and Reserve Risk'!$AC$1181),'Premium and Reserve Risk'!$AC$1181))</f>
        <v>0.2</v>
      </c>
      <c r="AD1198" s="81"/>
      <c r="AE1198" s="97"/>
      <c r="AF1198" s="97"/>
      <c r="AG1198" s="97"/>
      <c r="AH1198" s="97"/>
    </row>
    <row r="1199" spans="1:34" ht="13.5" customHeight="1" x14ac:dyDescent="0.25">
      <c r="A1199" s="97"/>
      <c r="B1199" s="257">
        <v>17</v>
      </c>
      <c r="C1199" s="652"/>
      <c r="D1199" s="80"/>
      <c r="E1199" s="80"/>
      <c r="F1199" s="258">
        <f t="shared" ca="1" si="38"/>
        <v>0</v>
      </c>
      <c r="G1199" s="624"/>
      <c r="H1199" s="85"/>
      <c r="I1199" s="624"/>
      <c r="J1199" s="85"/>
      <c r="K1199" s="624"/>
      <c r="L1199" s="85"/>
      <c r="M1199" s="624"/>
      <c r="N1199" s="85"/>
      <c r="O1199" s="624"/>
      <c r="P1199" s="85"/>
      <c r="Q1199" s="626">
        <f t="shared" si="37"/>
        <v>0</v>
      </c>
      <c r="R1199" s="85"/>
      <c r="S1199" s="624"/>
      <c r="T1199" s="260"/>
      <c r="U1199" s="624"/>
      <c r="V1199" s="85"/>
      <c r="W1199" s="624"/>
      <c r="X1199" s="81"/>
      <c r="Y1199" s="80"/>
      <c r="Z1199" s="737">
        <f ca="1">MAX(0%,IF(Q1199&lt;&gt;0,MIN((S1199-Q1199)/Q1199/'Underwriting Risk'!$E$27,'Premium and Reserve Risk'!$Z$1181),'Premium and Reserve Risk'!$Z$1181))</f>
        <v>0.17</v>
      </c>
      <c r="AA1199" s="80"/>
      <c r="AB1199" s="80"/>
      <c r="AC1199" s="737">
        <f ca="1">MAX(0%,IF(U1199&lt;&gt;0,MIN((W1199-U1199)/U1199/'Underwriting Risk'!$E$27,'Premium and Reserve Risk'!$AC$1181),'Premium and Reserve Risk'!$AC$1181))</f>
        <v>0.2</v>
      </c>
      <c r="AD1199" s="81"/>
      <c r="AE1199" s="97"/>
      <c r="AF1199" s="97"/>
      <c r="AG1199" s="97"/>
      <c r="AH1199" s="97"/>
    </row>
    <row r="1200" spans="1:34" ht="13.5" customHeight="1" x14ac:dyDescent="0.25">
      <c r="A1200" s="97"/>
      <c r="B1200" s="257">
        <v>18</v>
      </c>
      <c r="C1200" s="652"/>
      <c r="D1200" s="80"/>
      <c r="E1200" s="80"/>
      <c r="F1200" s="258">
        <f t="shared" ca="1" si="38"/>
        <v>0</v>
      </c>
      <c r="G1200" s="624"/>
      <c r="H1200" s="85"/>
      <c r="I1200" s="624"/>
      <c r="J1200" s="85"/>
      <c r="K1200" s="624"/>
      <c r="L1200" s="85"/>
      <c r="M1200" s="624"/>
      <c r="N1200" s="85"/>
      <c r="O1200" s="624"/>
      <c r="P1200" s="85"/>
      <c r="Q1200" s="626">
        <f t="shared" si="37"/>
        <v>0</v>
      </c>
      <c r="R1200" s="85"/>
      <c r="S1200" s="624"/>
      <c r="T1200" s="260"/>
      <c r="U1200" s="624"/>
      <c r="V1200" s="85"/>
      <c r="W1200" s="624"/>
      <c r="X1200" s="81"/>
      <c r="Y1200" s="80"/>
      <c r="Z1200" s="737">
        <f ca="1">MAX(0%,IF(Q1200&lt;&gt;0,MIN((S1200-Q1200)/Q1200/'Underwriting Risk'!$E$27,'Premium and Reserve Risk'!$Z$1181),'Premium and Reserve Risk'!$Z$1181))</f>
        <v>0.17</v>
      </c>
      <c r="AA1200" s="80"/>
      <c r="AB1200" s="80"/>
      <c r="AC1200" s="737">
        <f ca="1">MAX(0%,IF(U1200&lt;&gt;0,MIN((W1200-U1200)/U1200/'Underwriting Risk'!$E$27,'Premium and Reserve Risk'!$AC$1181),'Premium and Reserve Risk'!$AC$1181))</f>
        <v>0.2</v>
      </c>
      <c r="AD1200" s="81"/>
      <c r="AE1200" s="97"/>
      <c r="AF1200" s="97"/>
      <c r="AG1200" s="97"/>
      <c r="AH1200" s="97"/>
    </row>
    <row r="1201" spans="1:34" ht="13.5" customHeight="1" x14ac:dyDescent="0.25">
      <c r="A1201" s="97"/>
      <c r="B1201" s="257">
        <v>19</v>
      </c>
      <c r="C1201" s="652"/>
      <c r="D1201" s="80"/>
      <c r="E1201" s="80"/>
      <c r="F1201" s="258">
        <f t="shared" ca="1" si="38"/>
        <v>0</v>
      </c>
      <c r="G1201" s="624"/>
      <c r="H1201" s="85"/>
      <c r="I1201" s="624"/>
      <c r="J1201" s="85"/>
      <c r="K1201" s="624"/>
      <c r="L1201" s="85"/>
      <c r="M1201" s="624"/>
      <c r="N1201" s="85"/>
      <c r="O1201" s="624"/>
      <c r="P1201" s="85"/>
      <c r="Q1201" s="626">
        <f t="shared" si="37"/>
        <v>0</v>
      </c>
      <c r="R1201" s="85"/>
      <c r="S1201" s="624"/>
      <c r="T1201" s="260"/>
      <c r="U1201" s="624"/>
      <c r="V1201" s="85"/>
      <c r="W1201" s="624"/>
      <c r="X1201" s="81"/>
      <c r="Y1201" s="80"/>
      <c r="Z1201" s="737">
        <f ca="1">MAX(0%,IF(Q1201&lt;&gt;0,MIN((S1201-Q1201)/Q1201/'Underwriting Risk'!$E$27,'Premium and Reserve Risk'!$Z$1181),'Premium and Reserve Risk'!$Z$1181))</f>
        <v>0.17</v>
      </c>
      <c r="AA1201" s="80"/>
      <c r="AB1201" s="80"/>
      <c r="AC1201" s="737">
        <f ca="1">MAX(0%,IF(U1201&lt;&gt;0,MIN((W1201-U1201)/U1201/'Underwriting Risk'!$E$27,'Premium and Reserve Risk'!$AC$1181),'Premium and Reserve Risk'!$AC$1181))</f>
        <v>0.2</v>
      </c>
      <c r="AD1201" s="81"/>
      <c r="AE1201" s="97"/>
      <c r="AF1201" s="97"/>
      <c r="AG1201" s="97"/>
      <c r="AH1201" s="97"/>
    </row>
    <row r="1202" spans="1:34" ht="13.5" customHeight="1" x14ac:dyDescent="0.25">
      <c r="A1202" s="97"/>
      <c r="B1202" s="257">
        <v>20</v>
      </c>
      <c r="C1202" s="652"/>
      <c r="D1202" s="80"/>
      <c r="E1202" s="80"/>
      <c r="F1202" s="258">
        <f t="shared" ca="1" si="38"/>
        <v>0</v>
      </c>
      <c r="G1202" s="624"/>
      <c r="H1202" s="85"/>
      <c r="I1202" s="624"/>
      <c r="J1202" s="85"/>
      <c r="K1202" s="624"/>
      <c r="L1202" s="85"/>
      <c r="M1202" s="624"/>
      <c r="N1202" s="85"/>
      <c r="O1202" s="624"/>
      <c r="P1202" s="85"/>
      <c r="Q1202" s="626">
        <f t="shared" si="37"/>
        <v>0</v>
      </c>
      <c r="R1202" s="85"/>
      <c r="S1202" s="624"/>
      <c r="T1202" s="260"/>
      <c r="U1202" s="624"/>
      <c r="V1202" s="85"/>
      <c r="W1202" s="624"/>
      <c r="X1202" s="81"/>
      <c r="Y1202" s="80"/>
      <c r="Z1202" s="737">
        <f ca="1">MAX(0%,IF(Q1202&lt;&gt;0,MIN((S1202-Q1202)/Q1202/'Underwriting Risk'!$E$27,'Premium and Reserve Risk'!$Z$1181),'Premium and Reserve Risk'!$Z$1181))</f>
        <v>0.17</v>
      </c>
      <c r="AA1202" s="80"/>
      <c r="AB1202" s="80"/>
      <c r="AC1202" s="737">
        <f ca="1">MAX(0%,IF(U1202&lt;&gt;0,MIN((W1202-U1202)/U1202/'Underwriting Risk'!$E$27,'Premium and Reserve Risk'!$AC$1181),'Premium and Reserve Risk'!$AC$1181))</f>
        <v>0.2</v>
      </c>
      <c r="AD1202" s="81"/>
      <c r="AE1202" s="97"/>
      <c r="AF1202" s="97"/>
      <c r="AG1202" s="97"/>
      <c r="AH1202" s="97"/>
    </row>
    <row r="1203" spans="1:34" ht="13.5" customHeight="1" x14ac:dyDescent="0.25">
      <c r="A1203" s="97"/>
      <c r="B1203" s="257">
        <v>21</v>
      </c>
      <c r="C1203" s="652"/>
      <c r="D1203" s="80"/>
      <c r="E1203" s="80"/>
      <c r="F1203" s="258">
        <f t="shared" ca="1" si="38"/>
        <v>0</v>
      </c>
      <c r="G1203" s="624"/>
      <c r="H1203" s="85"/>
      <c r="I1203" s="624"/>
      <c r="J1203" s="85"/>
      <c r="K1203" s="624"/>
      <c r="L1203" s="85"/>
      <c r="M1203" s="624"/>
      <c r="N1203" s="85"/>
      <c r="O1203" s="624"/>
      <c r="P1203" s="85"/>
      <c r="Q1203" s="626">
        <f t="shared" si="37"/>
        <v>0</v>
      </c>
      <c r="R1203" s="85"/>
      <c r="S1203" s="624"/>
      <c r="T1203" s="260"/>
      <c r="U1203" s="624"/>
      <c r="V1203" s="85"/>
      <c r="W1203" s="624"/>
      <c r="X1203" s="81"/>
      <c r="Y1203" s="80"/>
      <c r="Z1203" s="737">
        <f ca="1">MAX(0%,IF(Q1203&lt;&gt;0,MIN((S1203-Q1203)/Q1203/'Underwriting Risk'!$E$27,'Premium and Reserve Risk'!$Z$1181),'Premium and Reserve Risk'!$Z$1181))</f>
        <v>0.17</v>
      </c>
      <c r="AA1203" s="80"/>
      <c r="AB1203" s="80"/>
      <c r="AC1203" s="737">
        <f ca="1">MAX(0%,IF(U1203&lt;&gt;0,MIN((W1203-U1203)/U1203/'Underwriting Risk'!$E$27,'Premium and Reserve Risk'!$AC$1181),'Premium and Reserve Risk'!$AC$1181))</f>
        <v>0.2</v>
      </c>
      <c r="AD1203" s="81"/>
      <c r="AE1203" s="97"/>
      <c r="AF1203" s="97"/>
      <c r="AG1203" s="97"/>
      <c r="AH1203" s="97"/>
    </row>
    <row r="1204" spans="1:34" ht="13.5" customHeight="1" x14ac:dyDescent="0.25">
      <c r="A1204" s="97"/>
      <c r="B1204" s="257">
        <v>22</v>
      </c>
      <c r="C1204" s="652"/>
      <c r="D1204" s="80"/>
      <c r="E1204" s="80"/>
      <c r="F1204" s="258">
        <f t="shared" ca="1" si="38"/>
        <v>0</v>
      </c>
      <c r="G1204" s="624"/>
      <c r="H1204" s="85"/>
      <c r="I1204" s="624"/>
      <c r="J1204" s="85"/>
      <c r="K1204" s="624"/>
      <c r="L1204" s="85"/>
      <c r="M1204" s="624"/>
      <c r="N1204" s="85"/>
      <c r="O1204" s="624"/>
      <c r="P1204" s="85"/>
      <c r="Q1204" s="626">
        <f t="shared" si="37"/>
        <v>0</v>
      </c>
      <c r="R1204" s="85"/>
      <c r="S1204" s="624"/>
      <c r="T1204" s="260"/>
      <c r="U1204" s="624"/>
      <c r="V1204" s="85"/>
      <c r="W1204" s="624"/>
      <c r="X1204" s="81"/>
      <c r="Y1204" s="80"/>
      <c r="Z1204" s="737">
        <f ca="1">MAX(0%,IF(Q1204&lt;&gt;0,MIN((S1204-Q1204)/Q1204/'Underwriting Risk'!$E$27,'Premium and Reserve Risk'!$Z$1181),'Premium and Reserve Risk'!$Z$1181))</f>
        <v>0.17</v>
      </c>
      <c r="AA1204" s="80"/>
      <c r="AB1204" s="80"/>
      <c r="AC1204" s="737">
        <f ca="1">MAX(0%,IF(U1204&lt;&gt;0,MIN((W1204-U1204)/U1204/'Underwriting Risk'!$E$27,'Premium and Reserve Risk'!$AC$1181),'Premium and Reserve Risk'!$AC$1181))</f>
        <v>0.2</v>
      </c>
      <c r="AD1204" s="81"/>
      <c r="AE1204" s="97"/>
      <c r="AF1204" s="97"/>
      <c r="AG1204" s="97"/>
      <c r="AH1204" s="97"/>
    </row>
    <row r="1205" spans="1:34" ht="13.5" customHeight="1" x14ac:dyDescent="0.25">
      <c r="A1205" s="97"/>
      <c r="B1205" s="257">
        <v>23</v>
      </c>
      <c r="C1205" s="652"/>
      <c r="D1205" s="80"/>
      <c r="E1205" s="80"/>
      <c r="F1205" s="258">
        <f t="shared" ca="1" si="38"/>
        <v>0</v>
      </c>
      <c r="G1205" s="624"/>
      <c r="H1205" s="85"/>
      <c r="I1205" s="624"/>
      <c r="J1205" s="85"/>
      <c r="K1205" s="624"/>
      <c r="L1205" s="85"/>
      <c r="M1205" s="624"/>
      <c r="N1205" s="85"/>
      <c r="O1205" s="624"/>
      <c r="P1205" s="85"/>
      <c r="Q1205" s="626">
        <f t="shared" si="37"/>
        <v>0</v>
      </c>
      <c r="R1205" s="85"/>
      <c r="S1205" s="624"/>
      <c r="T1205" s="260"/>
      <c r="U1205" s="624"/>
      <c r="V1205" s="85"/>
      <c r="W1205" s="624"/>
      <c r="X1205" s="81"/>
      <c r="Y1205" s="80"/>
      <c r="Z1205" s="737">
        <f ca="1">MAX(0%,IF(Q1205&lt;&gt;0,MIN((S1205-Q1205)/Q1205/'Underwriting Risk'!$E$27,'Premium and Reserve Risk'!$Z$1181),'Premium and Reserve Risk'!$Z$1181))</f>
        <v>0.17</v>
      </c>
      <c r="AA1205" s="80"/>
      <c r="AB1205" s="80"/>
      <c r="AC1205" s="737">
        <f ca="1">MAX(0%,IF(U1205&lt;&gt;0,MIN((W1205-U1205)/U1205/'Underwriting Risk'!$E$27,'Premium and Reserve Risk'!$AC$1181),'Premium and Reserve Risk'!$AC$1181))</f>
        <v>0.2</v>
      </c>
      <c r="AD1205" s="81"/>
      <c r="AE1205" s="97"/>
      <c r="AF1205" s="97"/>
      <c r="AG1205" s="97"/>
      <c r="AH1205" s="97"/>
    </row>
    <row r="1206" spans="1:34" ht="13.5" customHeight="1" x14ac:dyDescent="0.25">
      <c r="A1206" s="97"/>
      <c r="B1206" s="257">
        <v>24</v>
      </c>
      <c r="C1206" s="652"/>
      <c r="D1206" s="80"/>
      <c r="E1206" s="80"/>
      <c r="F1206" s="258">
        <f t="shared" ca="1" si="38"/>
        <v>0</v>
      </c>
      <c r="G1206" s="624"/>
      <c r="H1206" s="85"/>
      <c r="I1206" s="624"/>
      <c r="J1206" s="85"/>
      <c r="K1206" s="624"/>
      <c r="L1206" s="85"/>
      <c r="M1206" s="624"/>
      <c r="N1206" s="85"/>
      <c r="O1206" s="624"/>
      <c r="P1206" s="85"/>
      <c r="Q1206" s="626">
        <f t="shared" si="37"/>
        <v>0</v>
      </c>
      <c r="R1206" s="85"/>
      <c r="S1206" s="624"/>
      <c r="T1206" s="260"/>
      <c r="U1206" s="624"/>
      <c r="V1206" s="85"/>
      <c r="W1206" s="624"/>
      <c r="X1206" s="81"/>
      <c r="Y1206" s="80"/>
      <c r="Z1206" s="737">
        <f ca="1">MAX(0%,IF(Q1206&lt;&gt;0,MIN((S1206-Q1206)/Q1206/'Underwriting Risk'!$E$27,'Premium and Reserve Risk'!$Z$1181),'Premium and Reserve Risk'!$Z$1181))</f>
        <v>0.17</v>
      </c>
      <c r="AA1206" s="80"/>
      <c r="AB1206" s="80"/>
      <c r="AC1206" s="737">
        <f ca="1">MAX(0%,IF(U1206&lt;&gt;0,MIN((W1206-U1206)/U1206/'Underwriting Risk'!$E$27,'Premium and Reserve Risk'!$AC$1181),'Premium and Reserve Risk'!$AC$1181))</f>
        <v>0.2</v>
      </c>
      <c r="AD1206" s="81"/>
      <c r="AE1206" s="97"/>
      <c r="AF1206" s="97"/>
      <c r="AG1206" s="97"/>
      <c r="AH1206" s="97"/>
    </row>
    <row r="1207" spans="1:34" ht="13.5" customHeight="1" x14ac:dyDescent="0.25">
      <c r="A1207" s="97"/>
      <c r="B1207" s="257">
        <v>25</v>
      </c>
      <c r="C1207" s="652"/>
      <c r="D1207" s="80"/>
      <c r="E1207" s="80"/>
      <c r="F1207" s="258">
        <f t="shared" ca="1" si="38"/>
        <v>0</v>
      </c>
      <c r="G1207" s="624"/>
      <c r="H1207" s="85"/>
      <c r="I1207" s="624"/>
      <c r="J1207" s="85"/>
      <c r="K1207" s="624"/>
      <c r="L1207" s="85"/>
      <c r="M1207" s="624"/>
      <c r="N1207" s="85"/>
      <c r="O1207" s="624"/>
      <c r="P1207" s="85"/>
      <c r="Q1207" s="626">
        <f t="shared" si="37"/>
        <v>0</v>
      </c>
      <c r="R1207" s="85"/>
      <c r="S1207" s="624"/>
      <c r="T1207" s="260"/>
      <c r="U1207" s="624"/>
      <c r="V1207" s="85"/>
      <c r="W1207" s="624"/>
      <c r="X1207" s="81"/>
      <c r="Y1207" s="80"/>
      <c r="Z1207" s="737">
        <f ca="1">MAX(0%,IF(Q1207&lt;&gt;0,MIN((S1207-Q1207)/Q1207/'Underwriting Risk'!$E$27,'Premium and Reserve Risk'!$Z$1181),'Premium and Reserve Risk'!$Z$1181))</f>
        <v>0.17</v>
      </c>
      <c r="AA1207" s="80"/>
      <c r="AB1207" s="80"/>
      <c r="AC1207" s="737">
        <f ca="1">MAX(0%,IF(U1207&lt;&gt;0,MIN((W1207-U1207)/U1207/'Underwriting Risk'!$E$27,'Premium and Reserve Risk'!$AC$1181),'Premium and Reserve Risk'!$AC$1181))</f>
        <v>0.2</v>
      </c>
      <c r="AD1207" s="81"/>
      <c r="AE1207" s="97"/>
      <c r="AF1207" s="97"/>
      <c r="AG1207" s="97"/>
      <c r="AH1207" s="97"/>
    </row>
    <row r="1208" spans="1:34" ht="13.5" customHeight="1" x14ac:dyDescent="0.25">
      <c r="A1208" s="97"/>
      <c r="B1208" s="257">
        <v>26</v>
      </c>
      <c r="C1208" s="652"/>
      <c r="D1208" s="80"/>
      <c r="E1208" s="80"/>
      <c r="F1208" s="258">
        <f t="shared" ca="1" si="38"/>
        <v>0</v>
      </c>
      <c r="G1208" s="624"/>
      <c r="H1208" s="85"/>
      <c r="I1208" s="624"/>
      <c r="J1208" s="85"/>
      <c r="K1208" s="624"/>
      <c r="L1208" s="85"/>
      <c r="M1208" s="624"/>
      <c r="N1208" s="85"/>
      <c r="O1208" s="624"/>
      <c r="P1208" s="85"/>
      <c r="Q1208" s="626">
        <f t="shared" si="37"/>
        <v>0</v>
      </c>
      <c r="R1208" s="85"/>
      <c r="S1208" s="624"/>
      <c r="T1208" s="260"/>
      <c r="U1208" s="624"/>
      <c r="V1208" s="85"/>
      <c r="W1208" s="624"/>
      <c r="X1208" s="81"/>
      <c r="Y1208" s="80"/>
      <c r="Z1208" s="737">
        <f ca="1">MAX(0%,IF(Q1208&lt;&gt;0,MIN((S1208-Q1208)/Q1208/'Underwriting Risk'!$E$27,'Premium and Reserve Risk'!$Z$1181),'Premium and Reserve Risk'!$Z$1181))</f>
        <v>0.17</v>
      </c>
      <c r="AA1208" s="80"/>
      <c r="AB1208" s="80"/>
      <c r="AC1208" s="737">
        <f ca="1">MAX(0%,IF(U1208&lt;&gt;0,MIN((W1208-U1208)/U1208/'Underwriting Risk'!$E$27,'Premium and Reserve Risk'!$AC$1181),'Premium and Reserve Risk'!$AC$1181))</f>
        <v>0.2</v>
      </c>
      <c r="AD1208" s="81"/>
      <c r="AE1208" s="97"/>
      <c r="AF1208" s="97"/>
      <c r="AG1208" s="97"/>
      <c r="AH1208" s="97"/>
    </row>
    <row r="1209" spans="1:34" ht="13.5" customHeight="1" x14ac:dyDescent="0.25">
      <c r="A1209" s="97"/>
      <c r="B1209" s="257">
        <v>27</v>
      </c>
      <c r="C1209" s="652"/>
      <c r="D1209" s="80"/>
      <c r="E1209" s="80"/>
      <c r="F1209" s="258">
        <f t="shared" ca="1" si="38"/>
        <v>0</v>
      </c>
      <c r="G1209" s="624"/>
      <c r="H1209" s="85"/>
      <c r="I1209" s="624"/>
      <c r="J1209" s="85"/>
      <c r="K1209" s="624"/>
      <c r="L1209" s="85"/>
      <c r="M1209" s="624"/>
      <c r="N1209" s="85"/>
      <c r="O1209" s="624"/>
      <c r="P1209" s="85"/>
      <c r="Q1209" s="626">
        <f t="shared" si="37"/>
        <v>0</v>
      </c>
      <c r="R1209" s="85"/>
      <c r="S1209" s="624"/>
      <c r="T1209" s="260"/>
      <c r="U1209" s="624"/>
      <c r="V1209" s="85"/>
      <c r="W1209" s="624"/>
      <c r="X1209" s="81"/>
      <c r="Y1209" s="80"/>
      <c r="Z1209" s="737">
        <f ca="1">MAX(0%,IF(Q1209&lt;&gt;0,MIN((S1209-Q1209)/Q1209/'Underwriting Risk'!$E$27,'Premium and Reserve Risk'!$Z$1181),'Premium and Reserve Risk'!$Z$1181))</f>
        <v>0.17</v>
      </c>
      <c r="AA1209" s="80"/>
      <c r="AB1209" s="80"/>
      <c r="AC1209" s="737">
        <f ca="1">MAX(0%,IF(U1209&lt;&gt;0,MIN((W1209-U1209)/U1209/'Underwriting Risk'!$E$27,'Premium and Reserve Risk'!$AC$1181),'Premium and Reserve Risk'!$AC$1181))</f>
        <v>0.2</v>
      </c>
      <c r="AD1209" s="81"/>
      <c r="AE1209" s="97"/>
      <c r="AF1209" s="97"/>
      <c r="AG1209" s="97"/>
      <c r="AH1209" s="97"/>
    </row>
    <row r="1210" spans="1:34" ht="13.5" customHeight="1" x14ac:dyDescent="0.25">
      <c r="A1210" s="97"/>
      <c r="B1210" s="257">
        <v>28</v>
      </c>
      <c r="C1210" s="652"/>
      <c r="D1210" s="80"/>
      <c r="E1210" s="80"/>
      <c r="F1210" s="258">
        <f t="shared" ca="1" si="38"/>
        <v>0</v>
      </c>
      <c r="G1210" s="624"/>
      <c r="H1210" s="85"/>
      <c r="I1210" s="624"/>
      <c r="J1210" s="85"/>
      <c r="K1210" s="624"/>
      <c r="L1210" s="85"/>
      <c r="M1210" s="624"/>
      <c r="N1210" s="85"/>
      <c r="O1210" s="624"/>
      <c r="P1210" s="85"/>
      <c r="Q1210" s="626">
        <f t="shared" si="37"/>
        <v>0</v>
      </c>
      <c r="R1210" s="85"/>
      <c r="S1210" s="624"/>
      <c r="T1210" s="260"/>
      <c r="U1210" s="624"/>
      <c r="V1210" s="85"/>
      <c r="W1210" s="624"/>
      <c r="X1210" s="81"/>
      <c r="Y1210" s="80"/>
      <c r="Z1210" s="737">
        <f ca="1">MAX(0%,IF(Q1210&lt;&gt;0,MIN((S1210-Q1210)/Q1210/'Underwriting Risk'!$E$27,'Premium and Reserve Risk'!$Z$1181),'Premium and Reserve Risk'!$Z$1181))</f>
        <v>0.17</v>
      </c>
      <c r="AA1210" s="80"/>
      <c r="AB1210" s="80"/>
      <c r="AC1210" s="737">
        <f ca="1">MAX(0%,IF(U1210&lt;&gt;0,MIN((W1210-U1210)/U1210/'Underwriting Risk'!$E$27,'Premium and Reserve Risk'!$AC$1181),'Premium and Reserve Risk'!$AC$1181))</f>
        <v>0.2</v>
      </c>
      <c r="AD1210" s="81"/>
      <c r="AE1210" s="97"/>
      <c r="AF1210" s="97"/>
      <c r="AG1210" s="97"/>
      <c r="AH1210" s="97"/>
    </row>
    <row r="1211" spans="1:34" ht="13.5" customHeight="1" x14ac:dyDescent="0.25">
      <c r="A1211" s="97"/>
      <c r="B1211" s="257">
        <v>29</v>
      </c>
      <c r="C1211" s="652"/>
      <c r="D1211" s="80"/>
      <c r="E1211" s="80"/>
      <c r="F1211" s="258">
        <f t="shared" ca="1" si="38"/>
        <v>0</v>
      </c>
      <c r="G1211" s="624"/>
      <c r="H1211" s="85"/>
      <c r="I1211" s="624"/>
      <c r="J1211" s="85"/>
      <c r="K1211" s="624"/>
      <c r="L1211" s="85"/>
      <c r="M1211" s="624"/>
      <c r="N1211" s="85"/>
      <c r="O1211" s="624"/>
      <c r="P1211" s="85"/>
      <c r="Q1211" s="626">
        <f t="shared" si="37"/>
        <v>0</v>
      </c>
      <c r="R1211" s="85"/>
      <c r="S1211" s="624"/>
      <c r="T1211" s="260"/>
      <c r="U1211" s="624"/>
      <c r="V1211" s="85"/>
      <c r="W1211" s="624"/>
      <c r="X1211" s="81"/>
      <c r="Y1211" s="80"/>
      <c r="Z1211" s="737">
        <f ca="1">MAX(0%,IF(Q1211&lt;&gt;0,MIN((S1211-Q1211)/Q1211/'Underwriting Risk'!$E$27,'Premium and Reserve Risk'!$Z$1181),'Premium and Reserve Risk'!$Z$1181))</f>
        <v>0.17</v>
      </c>
      <c r="AA1211" s="80"/>
      <c r="AB1211" s="80"/>
      <c r="AC1211" s="737">
        <f ca="1">MAX(0%,IF(U1211&lt;&gt;0,MIN((W1211-U1211)/U1211/'Underwriting Risk'!$E$27,'Premium and Reserve Risk'!$AC$1181),'Premium and Reserve Risk'!$AC$1181))</f>
        <v>0.2</v>
      </c>
      <c r="AD1211" s="81"/>
      <c r="AE1211" s="97"/>
      <c r="AF1211" s="97"/>
      <c r="AG1211" s="97"/>
      <c r="AH1211" s="97"/>
    </row>
    <row r="1212" spans="1:34" ht="13.5" customHeight="1" x14ac:dyDescent="0.25">
      <c r="A1212" s="97"/>
      <c r="B1212" s="257">
        <v>30</v>
      </c>
      <c r="C1212" s="652"/>
      <c r="D1212" s="80"/>
      <c r="E1212" s="80"/>
      <c r="F1212" s="258">
        <f t="shared" ca="1" si="38"/>
        <v>0</v>
      </c>
      <c r="G1212" s="624"/>
      <c r="H1212" s="85"/>
      <c r="I1212" s="624"/>
      <c r="J1212" s="85"/>
      <c r="K1212" s="624"/>
      <c r="L1212" s="85"/>
      <c r="M1212" s="624"/>
      <c r="N1212" s="85"/>
      <c r="O1212" s="624"/>
      <c r="P1212" s="85"/>
      <c r="Q1212" s="626">
        <f t="shared" si="37"/>
        <v>0</v>
      </c>
      <c r="R1212" s="85"/>
      <c r="S1212" s="624"/>
      <c r="T1212" s="260"/>
      <c r="U1212" s="624"/>
      <c r="V1212" s="85"/>
      <c r="W1212" s="624"/>
      <c r="X1212" s="81"/>
      <c r="Y1212" s="80"/>
      <c r="Z1212" s="737">
        <f ca="1">MAX(0%,IF(Q1212&lt;&gt;0,MIN((S1212-Q1212)/Q1212/'Underwriting Risk'!$E$27,'Premium and Reserve Risk'!$Z$1181),'Premium and Reserve Risk'!$Z$1181))</f>
        <v>0.17</v>
      </c>
      <c r="AA1212" s="80"/>
      <c r="AB1212" s="80"/>
      <c r="AC1212" s="737">
        <f ca="1">MAX(0%,IF(U1212&lt;&gt;0,MIN((W1212-U1212)/U1212/'Underwriting Risk'!$E$27,'Premium and Reserve Risk'!$AC$1181),'Premium and Reserve Risk'!$AC$1181))</f>
        <v>0.2</v>
      </c>
      <c r="AD1212" s="81"/>
      <c r="AE1212" s="97"/>
      <c r="AF1212" s="97"/>
      <c r="AG1212" s="97"/>
      <c r="AH1212" s="97"/>
    </row>
    <row r="1213" spans="1:34" ht="13.5" customHeight="1" x14ac:dyDescent="0.25">
      <c r="A1213" s="97"/>
      <c r="B1213" s="257">
        <v>31</v>
      </c>
      <c r="C1213" s="652"/>
      <c r="D1213" s="80"/>
      <c r="E1213" s="80"/>
      <c r="F1213" s="258">
        <f t="shared" ca="1" si="38"/>
        <v>0</v>
      </c>
      <c r="G1213" s="624"/>
      <c r="H1213" s="85"/>
      <c r="I1213" s="624"/>
      <c r="J1213" s="85"/>
      <c r="K1213" s="624"/>
      <c r="L1213" s="85"/>
      <c r="M1213" s="624"/>
      <c r="N1213" s="85"/>
      <c r="O1213" s="624"/>
      <c r="P1213" s="85"/>
      <c r="Q1213" s="626">
        <f t="shared" si="37"/>
        <v>0</v>
      </c>
      <c r="R1213" s="85"/>
      <c r="S1213" s="624"/>
      <c r="T1213" s="260"/>
      <c r="U1213" s="624"/>
      <c r="V1213" s="85"/>
      <c r="W1213" s="624"/>
      <c r="X1213" s="81"/>
      <c r="Y1213" s="80"/>
      <c r="Z1213" s="737">
        <f ca="1">MAX(0%,IF(Q1213&lt;&gt;0,MIN((S1213-Q1213)/Q1213/'Underwriting Risk'!$E$27,'Premium and Reserve Risk'!$Z$1181),'Premium and Reserve Risk'!$Z$1181))</f>
        <v>0.17</v>
      </c>
      <c r="AA1213" s="80"/>
      <c r="AB1213" s="80"/>
      <c r="AC1213" s="737">
        <f ca="1">MAX(0%,IF(U1213&lt;&gt;0,MIN((W1213-U1213)/U1213/'Underwriting Risk'!$E$27,'Premium and Reserve Risk'!$AC$1181),'Premium and Reserve Risk'!$AC$1181))</f>
        <v>0.2</v>
      </c>
      <c r="AD1213" s="81"/>
      <c r="AE1213" s="97"/>
      <c r="AF1213" s="97"/>
      <c r="AG1213" s="97"/>
      <c r="AH1213" s="97"/>
    </row>
    <row r="1214" spans="1:34" ht="13.5" customHeight="1" x14ac:dyDescent="0.25">
      <c r="A1214" s="97"/>
      <c r="B1214" s="257">
        <v>32</v>
      </c>
      <c r="C1214" s="652"/>
      <c r="D1214" s="80"/>
      <c r="E1214" s="80"/>
      <c r="F1214" s="258">
        <f t="shared" ca="1" si="38"/>
        <v>0</v>
      </c>
      <c r="G1214" s="624"/>
      <c r="H1214" s="85"/>
      <c r="I1214" s="624"/>
      <c r="J1214" s="85"/>
      <c r="K1214" s="624"/>
      <c r="L1214" s="85"/>
      <c r="M1214" s="624"/>
      <c r="N1214" s="85"/>
      <c r="O1214" s="624"/>
      <c r="P1214" s="85"/>
      <c r="Q1214" s="626">
        <f t="shared" si="37"/>
        <v>0</v>
      </c>
      <c r="R1214" s="85"/>
      <c r="S1214" s="624"/>
      <c r="T1214" s="260"/>
      <c r="U1214" s="624"/>
      <c r="V1214" s="85"/>
      <c r="W1214" s="624"/>
      <c r="X1214" s="81"/>
      <c r="Y1214" s="80"/>
      <c r="Z1214" s="737">
        <f ca="1">MAX(0%,IF(Q1214&lt;&gt;0,MIN((S1214-Q1214)/Q1214/'Underwriting Risk'!$E$27,'Premium and Reserve Risk'!$Z$1181),'Premium and Reserve Risk'!$Z$1181))</f>
        <v>0.17</v>
      </c>
      <c r="AA1214" s="80"/>
      <c r="AB1214" s="80"/>
      <c r="AC1214" s="737">
        <f ca="1">MAX(0%,IF(U1214&lt;&gt;0,MIN((W1214-U1214)/U1214/'Underwriting Risk'!$E$27,'Premium and Reserve Risk'!$AC$1181),'Premium and Reserve Risk'!$AC$1181))</f>
        <v>0.2</v>
      </c>
      <c r="AD1214" s="81"/>
      <c r="AE1214" s="97"/>
      <c r="AF1214" s="97"/>
      <c r="AG1214" s="97"/>
      <c r="AH1214" s="97"/>
    </row>
    <row r="1215" spans="1:34" ht="13.5" customHeight="1" x14ac:dyDescent="0.25">
      <c r="A1215" s="97"/>
      <c r="B1215" s="257">
        <v>33</v>
      </c>
      <c r="C1215" s="652"/>
      <c r="D1215" s="80"/>
      <c r="E1215" s="80"/>
      <c r="F1215" s="258">
        <f t="shared" ca="1" si="38"/>
        <v>0</v>
      </c>
      <c r="G1215" s="624"/>
      <c r="H1215" s="85"/>
      <c r="I1215" s="624"/>
      <c r="J1215" s="85"/>
      <c r="K1215" s="624"/>
      <c r="L1215" s="85"/>
      <c r="M1215" s="624"/>
      <c r="N1215" s="85"/>
      <c r="O1215" s="624"/>
      <c r="P1215" s="85"/>
      <c r="Q1215" s="626">
        <f t="shared" si="37"/>
        <v>0</v>
      </c>
      <c r="R1215" s="85"/>
      <c r="S1215" s="624"/>
      <c r="T1215" s="260"/>
      <c r="U1215" s="624"/>
      <c r="V1215" s="85"/>
      <c r="W1215" s="624"/>
      <c r="X1215" s="81"/>
      <c r="Y1215" s="80"/>
      <c r="Z1215" s="737">
        <f ca="1">MAX(0%,IF(Q1215&lt;&gt;0,MIN((S1215-Q1215)/Q1215/'Underwriting Risk'!$E$27,'Premium and Reserve Risk'!$Z$1181),'Premium and Reserve Risk'!$Z$1181))</f>
        <v>0.17</v>
      </c>
      <c r="AA1215" s="80"/>
      <c r="AB1215" s="80"/>
      <c r="AC1215" s="737">
        <f ca="1">MAX(0%,IF(U1215&lt;&gt;0,MIN((W1215-U1215)/U1215/'Underwriting Risk'!$E$27,'Premium and Reserve Risk'!$AC$1181),'Premium and Reserve Risk'!$AC$1181))</f>
        <v>0.2</v>
      </c>
      <c r="AD1215" s="81"/>
      <c r="AE1215" s="97"/>
      <c r="AF1215" s="97"/>
      <c r="AG1215" s="97"/>
      <c r="AH1215" s="97"/>
    </row>
    <row r="1216" spans="1:34" ht="13.5" customHeight="1" x14ac:dyDescent="0.25">
      <c r="A1216" s="97"/>
      <c r="B1216" s="257">
        <v>34</v>
      </c>
      <c r="C1216" s="652"/>
      <c r="D1216" s="80"/>
      <c r="E1216" s="80"/>
      <c r="F1216" s="258">
        <f t="shared" ca="1" si="38"/>
        <v>0</v>
      </c>
      <c r="G1216" s="624"/>
      <c r="H1216" s="85"/>
      <c r="I1216" s="624"/>
      <c r="J1216" s="85"/>
      <c r="K1216" s="624"/>
      <c r="L1216" s="85"/>
      <c r="M1216" s="624"/>
      <c r="N1216" s="85"/>
      <c r="O1216" s="624"/>
      <c r="P1216" s="85"/>
      <c r="Q1216" s="626">
        <f t="shared" si="37"/>
        <v>0</v>
      </c>
      <c r="R1216" s="85"/>
      <c r="S1216" s="624"/>
      <c r="T1216" s="260"/>
      <c r="U1216" s="624"/>
      <c r="V1216" s="85"/>
      <c r="W1216" s="624"/>
      <c r="X1216" s="81"/>
      <c r="Y1216" s="80"/>
      <c r="Z1216" s="737">
        <f ca="1">MAX(0%,IF(Q1216&lt;&gt;0,MIN((S1216-Q1216)/Q1216/'Underwriting Risk'!$E$27,'Premium and Reserve Risk'!$Z$1181),'Premium and Reserve Risk'!$Z$1181))</f>
        <v>0.17</v>
      </c>
      <c r="AA1216" s="80"/>
      <c r="AB1216" s="80"/>
      <c r="AC1216" s="737">
        <f ca="1">MAX(0%,IF(U1216&lt;&gt;0,MIN((W1216-U1216)/U1216/'Underwriting Risk'!$E$27,'Premium and Reserve Risk'!$AC$1181),'Premium and Reserve Risk'!$AC$1181))</f>
        <v>0.2</v>
      </c>
      <c r="AD1216" s="81"/>
      <c r="AE1216" s="97"/>
      <c r="AF1216" s="97"/>
      <c r="AG1216" s="97"/>
      <c r="AH1216" s="97"/>
    </row>
    <row r="1217" spans="1:34" ht="13.5" customHeight="1" x14ac:dyDescent="0.25">
      <c r="A1217" s="97"/>
      <c r="B1217" s="257">
        <v>35</v>
      </c>
      <c r="C1217" s="652"/>
      <c r="D1217" s="80"/>
      <c r="E1217" s="80"/>
      <c r="F1217" s="258">
        <f t="shared" ca="1" si="38"/>
        <v>0</v>
      </c>
      <c r="G1217" s="624"/>
      <c r="H1217" s="85"/>
      <c r="I1217" s="624"/>
      <c r="J1217" s="85"/>
      <c r="K1217" s="624"/>
      <c r="L1217" s="85"/>
      <c r="M1217" s="624"/>
      <c r="N1217" s="85"/>
      <c r="O1217" s="624"/>
      <c r="P1217" s="85"/>
      <c r="Q1217" s="626">
        <f t="shared" si="37"/>
        <v>0</v>
      </c>
      <c r="R1217" s="85"/>
      <c r="S1217" s="624"/>
      <c r="T1217" s="260"/>
      <c r="U1217" s="624"/>
      <c r="V1217" s="85"/>
      <c r="W1217" s="624"/>
      <c r="X1217" s="81"/>
      <c r="Y1217" s="80"/>
      <c r="Z1217" s="737">
        <f ca="1">MAX(0%,IF(Q1217&lt;&gt;0,MIN((S1217-Q1217)/Q1217/'Underwriting Risk'!$E$27,'Premium and Reserve Risk'!$Z$1181),'Premium and Reserve Risk'!$Z$1181))</f>
        <v>0.17</v>
      </c>
      <c r="AA1217" s="80"/>
      <c r="AB1217" s="80"/>
      <c r="AC1217" s="737">
        <f ca="1">MAX(0%,IF(U1217&lt;&gt;0,MIN((W1217-U1217)/U1217/'Underwriting Risk'!$E$27,'Premium and Reserve Risk'!$AC$1181),'Premium and Reserve Risk'!$AC$1181))</f>
        <v>0.2</v>
      </c>
      <c r="AD1217" s="81"/>
      <c r="AE1217" s="97"/>
      <c r="AF1217" s="97"/>
      <c r="AG1217" s="97"/>
      <c r="AH1217" s="97"/>
    </row>
    <row r="1218" spans="1:34" ht="13.5" customHeight="1" x14ac:dyDescent="0.25">
      <c r="A1218" s="97"/>
      <c r="B1218" s="257">
        <v>36</v>
      </c>
      <c r="C1218" s="652"/>
      <c r="D1218" s="80"/>
      <c r="E1218" s="80"/>
      <c r="F1218" s="258">
        <f t="shared" ca="1" si="38"/>
        <v>0</v>
      </c>
      <c r="G1218" s="624"/>
      <c r="H1218" s="85"/>
      <c r="I1218" s="624"/>
      <c r="J1218" s="85"/>
      <c r="K1218" s="624"/>
      <c r="L1218" s="85"/>
      <c r="M1218" s="624"/>
      <c r="N1218" s="85"/>
      <c r="O1218" s="624"/>
      <c r="P1218" s="85"/>
      <c r="Q1218" s="626">
        <f t="shared" si="37"/>
        <v>0</v>
      </c>
      <c r="R1218" s="85"/>
      <c r="S1218" s="624"/>
      <c r="T1218" s="260"/>
      <c r="U1218" s="624"/>
      <c r="V1218" s="85"/>
      <c r="W1218" s="624"/>
      <c r="X1218" s="81"/>
      <c r="Y1218" s="80"/>
      <c r="Z1218" s="737">
        <f ca="1">MAX(0%,IF(Q1218&lt;&gt;0,MIN((S1218-Q1218)/Q1218/'Underwriting Risk'!$E$27,'Premium and Reserve Risk'!$Z$1181),'Premium and Reserve Risk'!$Z$1181))</f>
        <v>0.17</v>
      </c>
      <c r="AA1218" s="80"/>
      <c r="AB1218" s="80"/>
      <c r="AC1218" s="737">
        <f ca="1">MAX(0%,IF(U1218&lt;&gt;0,MIN((W1218-U1218)/U1218/'Underwriting Risk'!$E$27,'Premium and Reserve Risk'!$AC$1181),'Premium and Reserve Risk'!$AC$1181))</f>
        <v>0.2</v>
      </c>
      <c r="AD1218" s="81"/>
      <c r="AE1218" s="97"/>
      <c r="AF1218" s="97"/>
      <c r="AG1218" s="97"/>
      <c r="AH1218" s="97"/>
    </row>
    <row r="1219" spans="1:34" ht="13.5" customHeight="1" x14ac:dyDescent="0.25">
      <c r="A1219" s="97"/>
      <c r="B1219" s="257">
        <v>37</v>
      </c>
      <c r="C1219" s="652"/>
      <c r="D1219" s="80"/>
      <c r="E1219" s="80"/>
      <c r="F1219" s="258">
        <f t="shared" ca="1" si="38"/>
        <v>0</v>
      </c>
      <c r="G1219" s="624"/>
      <c r="H1219" s="85"/>
      <c r="I1219" s="624"/>
      <c r="J1219" s="85"/>
      <c r="K1219" s="624"/>
      <c r="L1219" s="85"/>
      <c r="M1219" s="624"/>
      <c r="N1219" s="85"/>
      <c r="O1219" s="624"/>
      <c r="P1219" s="85"/>
      <c r="Q1219" s="626">
        <f t="shared" si="37"/>
        <v>0</v>
      </c>
      <c r="R1219" s="85"/>
      <c r="S1219" s="624"/>
      <c r="T1219" s="260"/>
      <c r="U1219" s="624"/>
      <c r="V1219" s="85"/>
      <c r="W1219" s="624"/>
      <c r="X1219" s="81"/>
      <c r="Y1219" s="80"/>
      <c r="Z1219" s="737">
        <f ca="1">MAX(0%,IF(Q1219&lt;&gt;0,MIN((S1219-Q1219)/Q1219/'Underwriting Risk'!$E$27,'Premium and Reserve Risk'!$Z$1181),'Premium and Reserve Risk'!$Z$1181))</f>
        <v>0.17</v>
      </c>
      <c r="AA1219" s="80"/>
      <c r="AB1219" s="80"/>
      <c r="AC1219" s="737">
        <f ca="1">MAX(0%,IF(U1219&lt;&gt;0,MIN((W1219-U1219)/U1219/'Underwriting Risk'!$E$27,'Premium and Reserve Risk'!$AC$1181),'Premium and Reserve Risk'!$AC$1181))</f>
        <v>0.2</v>
      </c>
      <c r="AD1219" s="81"/>
      <c r="AE1219" s="97"/>
      <c r="AF1219" s="97"/>
      <c r="AG1219" s="97"/>
      <c r="AH1219" s="97"/>
    </row>
    <row r="1220" spans="1:34" ht="13.5" customHeight="1" x14ac:dyDescent="0.25">
      <c r="A1220" s="97"/>
      <c r="B1220" s="257">
        <v>38</v>
      </c>
      <c r="C1220" s="652"/>
      <c r="D1220" s="80"/>
      <c r="E1220" s="80"/>
      <c r="F1220" s="258">
        <f t="shared" ca="1" si="38"/>
        <v>0</v>
      </c>
      <c r="G1220" s="624"/>
      <c r="H1220" s="85"/>
      <c r="I1220" s="624"/>
      <c r="J1220" s="85"/>
      <c r="K1220" s="624"/>
      <c r="L1220" s="85"/>
      <c r="M1220" s="624"/>
      <c r="N1220" s="85"/>
      <c r="O1220" s="624"/>
      <c r="P1220" s="85"/>
      <c r="Q1220" s="626">
        <f t="shared" si="37"/>
        <v>0</v>
      </c>
      <c r="R1220" s="85"/>
      <c r="S1220" s="624"/>
      <c r="T1220" s="260"/>
      <c r="U1220" s="624"/>
      <c r="V1220" s="85"/>
      <c r="W1220" s="624"/>
      <c r="X1220" s="81"/>
      <c r="Y1220" s="80"/>
      <c r="Z1220" s="737">
        <f ca="1">MAX(0%,IF(Q1220&lt;&gt;0,MIN((S1220-Q1220)/Q1220/'Underwriting Risk'!$E$27,'Premium and Reserve Risk'!$Z$1181),'Premium and Reserve Risk'!$Z$1181))</f>
        <v>0.17</v>
      </c>
      <c r="AA1220" s="80"/>
      <c r="AB1220" s="80"/>
      <c r="AC1220" s="737">
        <f ca="1">MAX(0%,IF(U1220&lt;&gt;0,MIN((W1220-U1220)/U1220/'Underwriting Risk'!$E$27,'Premium and Reserve Risk'!$AC$1181),'Premium and Reserve Risk'!$AC$1181))</f>
        <v>0.2</v>
      </c>
      <c r="AD1220" s="81"/>
      <c r="AE1220" s="97"/>
      <c r="AF1220" s="97"/>
      <c r="AG1220" s="97"/>
      <c r="AH1220" s="97"/>
    </row>
    <row r="1221" spans="1:34" ht="13.5" customHeight="1" x14ac:dyDescent="0.25">
      <c r="A1221" s="97"/>
      <c r="B1221" s="257">
        <v>39</v>
      </c>
      <c r="C1221" s="652"/>
      <c r="D1221" s="80"/>
      <c r="E1221" s="80"/>
      <c r="F1221" s="258">
        <f t="shared" ca="1" si="38"/>
        <v>0</v>
      </c>
      <c r="G1221" s="624"/>
      <c r="H1221" s="85"/>
      <c r="I1221" s="624"/>
      <c r="J1221" s="85"/>
      <c r="K1221" s="624"/>
      <c r="L1221" s="85"/>
      <c r="M1221" s="624"/>
      <c r="N1221" s="85"/>
      <c r="O1221" s="624"/>
      <c r="P1221" s="85"/>
      <c r="Q1221" s="626">
        <f t="shared" si="37"/>
        <v>0</v>
      </c>
      <c r="R1221" s="85"/>
      <c r="S1221" s="624"/>
      <c r="T1221" s="260"/>
      <c r="U1221" s="624"/>
      <c r="V1221" s="85"/>
      <c r="W1221" s="624"/>
      <c r="X1221" s="81"/>
      <c r="Y1221" s="80"/>
      <c r="Z1221" s="737">
        <f ca="1">MAX(0%,IF(Q1221&lt;&gt;0,MIN((S1221-Q1221)/Q1221/'Underwriting Risk'!$E$27,'Premium and Reserve Risk'!$Z$1181),'Premium and Reserve Risk'!$Z$1181))</f>
        <v>0.17</v>
      </c>
      <c r="AA1221" s="80"/>
      <c r="AB1221" s="80"/>
      <c r="AC1221" s="737">
        <f ca="1">MAX(0%,IF(U1221&lt;&gt;0,MIN((W1221-U1221)/U1221/'Underwriting Risk'!$E$27,'Premium and Reserve Risk'!$AC$1181),'Premium and Reserve Risk'!$AC$1181))</f>
        <v>0.2</v>
      </c>
      <c r="AD1221" s="81"/>
      <c r="AE1221" s="97"/>
      <c r="AF1221" s="97"/>
      <c r="AG1221" s="97"/>
      <c r="AH1221" s="97"/>
    </row>
    <row r="1222" spans="1:34" ht="13.5" customHeight="1" x14ac:dyDescent="0.25">
      <c r="A1222" s="97"/>
      <c r="B1222" s="257">
        <v>40</v>
      </c>
      <c r="C1222" s="652"/>
      <c r="D1222" s="80"/>
      <c r="E1222" s="80"/>
      <c r="F1222" s="258">
        <f t="shared" ca="1" si="38"/>
        <v>0</v>
      </c>
      <c r="G1222" s="624"/>
      <c r="H1222" s="85"/>
      <c r="I1222" s="624"/>
      <c r="J1222" s="85"/>
      <c r="K1222" s="624"/>
      <c r="L1222" s="85"/>
      <c r="M1222" s="624"/>
      <c r="N1222" s="85"/>
      <c r="O1222" s="624"/>
      <c r="P1222" s="85"/>
      <c r="Q1222" s="626">
        <f t="shared" si="37"/>
        <v>0</v>
      </c>
      <c r="R1222" s="85"/>
      <c r="S1222" s="624"/>
      <c r="T1222" s="260"/>
      <c r="U1222" s="624"/>
      <c r="V1222" s="85"/>
      <c r="W1222" s="624"/>
      <c r="X1222" s="81"/>
      <c r="Y1222" s="80"/>
      <c r="Z1222" s="737">
        <f ca="1">MAX(0%,IF(Q1222&lt;&gt;0,MIN((S1222-Q1222)/Q1222/'Underwriting Risk'!$E$27,'Premium and Reserve Risk'!$Z$1181),'Premium and Reserve Risk'!$Z$1181))</f>
        <v>0.17</v>
      </c>
      <c r="AA1222" s="80"/>
      <c r="AB1222" s="80"/>
      <c r="AC1222" s="737">
        <f ca="1">MAX(0%,IF(U1222&lt;&gt;0,MIN((W1222-U1222)/U1222/'Underwriting Risk'!$E$27,'Premium and Reserve Risk'!$AC$1181),'Premium and Reserve Risk'!$AC$1181))</f>
        <v>0.2</v>
      </c>
      <c r="AD1222" s="81"/>
      <c r="AE1222" s="97"/>
      <c r="AF1222" s="97"/>
      <c r="AG1222" s="97"/>
      <c r="AH1222" s="97"/>
    </row>
    <row r="1223" spans="1:34" ht="13.5" customHeight="1" x14ac:dyDescent="0.25">
      <c r="A1223" s="97"/>
      <c r="B1223" s="257">
        <v>41</v>
      </c>
      <c r="C1223" s="652"/>
      <c r="D1223" s="80"/>
      <c r="E1223" s="80"/>
      <c r="F1223" s="258">
        <f t="shared" ca="1" si="38"/>
        <v>0</v>
      </c>
      <c r="G1223" s="624"/>
      <c r="H1223" s="85"/>
      <c r="I1223" s="624"/>
      <c r="J1223" s="85"/>
      <c r="K1223" s="624"/>
      <c r="L1223" s="85"/>
      <c r="M1223" s="624"/>
      <c r="N1223" s="85"/>
      <c r="O1223" s="624"/>
      <c r="P1223" s="85"/>
      <c r="Q1223" s="626">
        <f t="shared" si="37"/>
        <v>0</v>
      </c>
      <c r="R1223" s="85"/>
      <c r="S1223" s="624"/>
      <c r="T1223" s="260"/>
      <c r="U1223" s="624"/>
      <c r="V1223" s="85"/>
      <c r="W1223" s="624"/>
      <c r="X1223" s="81"/>
      <c r="Y1223" s="80"/>
      <c r="Z1223" s="737">
        <f ca="1">MAX(0%,IF(Q1223&lt;&gt;0,MIN((S1223-Q1223)/Q1223/'Underwriting Risk'!$E$27,'Premium and Reserve Risk'!$Z$1181),'Premium and Reserve Risk'!$Z$1181))</f>
        <v>0.17</v>
      </c>
      <c r="AA1223" s="80"/>
      <c r="AB1223" s="80"/>
      <c r="AC1223" s="737">
        <f ca="1">MAX(0%,IF(U1223&lt;&gt;0,MIN((W1223-U1223)/U1223/'Underwriting Risk'!$E$27,'Premium and Reserve Risk'!$AC$1181),'Premium and Reserve Risk'!$AC$1181))</f>
        <v>0.2</v>
      </c>
      <c r="AD1223" s="81"/>
      <c r="AE1223" s="97"/>
      <c r="AF1223" s="97"/>
      <c r="AG1223" s="97"/>
      <c r="AH1223" s="97"/>
    </row>
    <row r="1224" spans="1:34" ht="13.5" customHeight="1" x14ac:dyDescent="0.25">
      <c r="A1224" s="97"/>
      <c r="B1224" s="257">
        <v>42</v>
      </c>
      <c r="C1224" s="652"/>
      <c r="D1224" s="80"/>
      <c r="E1224" s="80"/>
      <c r="F1224" s="258">
        <f t="shared" ca="1" si="38"/>
        <v>0</v>
      </c>
      <c r="G1224" s="624"/>
      <c r="H1224" s="85"/>
      <c r="I1224" s="624"/>
      <c r="J1224" s="85"/>
      <c r="K1224" s="624"/>
      <c r="L1224" s="85"/>
      <c r="M1224" s="624"/>
      <c r="N1224" s="85"/>
      <c r="O1224" s="624"/>
      <c r="P1224" s="85"/>
      <c r="Q1224" s="626">
        <f t="shared" si="37"/>
        <v>0</v>
      </c>
      <c r="R1224" s="85"/>
      <c r="S1224" s="624"/>
      <c r="T1224" s="260"/>
      <c r="U1224" s="624"/>
      <c r="V1224" s="85"/>
      <c r="W1224" s="624"/>
      <c r="X1224" s="81"/>
      <c r="Y1224" s="80"/>
      <c r="Z1224" s="737">
        <f ca="1">MAX(0%,IF(Q1224&lt;&gt;0,MIN((S1224-Q1224)/Q1224/'Underwriting Risk'!$E$27,'Premium and Reserve Risk'!$Z$1181),'Premium and Reserve Risk'!$Z$1181))</f>
        <v>0.17</v>
      </c>
      <c r="AA1224" s="80"/>
      <c r="AB1224" s="80"/>
      <c r="AC1224" s="737">
        <f ca="1">MAX(0%,IF(U1224&lt;&gt;0,MIN((W1224-U1224)/U1224/'Underwriting Risk'!$E$27,'Premium and Reserve Risk'!$AC$1181),'Premium and Reserve Risk'!$AC$1181))</f>
        <v>0.2</v>
      </c>
      <c r="AD1224" s="81"/>
      <c r="AE1224" s="97"/>
      <c r="AF1224" s="97"/>
      <c r="AG1224" s="97"/>
      <c r="AH1224" s="97"/>
    </row>
    <row r="1225" spans="1:34" ht="13.5" customHeight="1" x14ac:dyDescent="0.25">
      <c r="A1225" s="97"/>
      <c r="B1225" s="257">
        <v>43</v>
      </c>
      <c r="C1225" s="652"/>
      <c r="D1225" s="80"/>
      <c r="E1225" s="80"/>
      <c r="F1225" s="258">
        <f t="shared" ca="1" si="38"/>
        <v>0</v>
      </c>
      <c r="G1225" s="624"/>
      <c r="H1225" s="85"/>
      <c r="I1225" s="624"/>
      <c r="J1225" s="85"/>
      <c r="K1225" s="624"/>
      <c r="L1225" s="85"/>
      <c r="M1225" s="624"/>
      <c r="N1225" s="85"/>
      <c r="O1225" s="624"/>
      <c r="P1225" s="85"/>
      <c r="Q1225" s="626">
        <f t="shared" si="37"/>
        <v>0</v>
      </c>
      <c r="R1225" s="85"/>
      <c r="S1225" s="624"/>
      <c r="T1225" s="260"/>
      <c r="U1225" s="624"/>
      <c r="V1225" s="85"/>
      <c r="W1225" s="624"/>
      <c r="X1225" s="81"/>
      <c r="Y1225" s="80"/>
      <c r="Z1225" s="737">
        <f ca="1">MAX(0%,IF(Q1225&lt;&gt;0,MIN((S1225-Q1225)/Q1225/'Underwriting Risk'!$E$27,'Premium and Reserve Risk'!$Z$1181),'Premium and Reserve Risk'!$Z$1181))</f>
        <v>0.17</v>
      </c>
      <c r="AA1225" s="80"/>
      <c r="AB1225" s="80"/>
      <c r="AC1225" s="737">
        <f ca="1">MAX(0%,IF(U1225&lt;&gt;0,MIN((W1225-U1225)/U1225/'Underwriting Risk'!$E$27,'Premium and Reserve Risk'!$AC$1181),'Premium and Reserve Risk'!$AC$1181))</f>
        <v>0.2</v>
      </c>
      <c r="AD1225" s="81"/>
      <c r="AE1225" s="97"/>
      <c r="AF1225" s="97"/>
      <c r="AG1225" s="97"/>
      <c r="AH1225" s="97"/>
    </row>
    <row r="1226" spans="1:34" ht="13.5" customHeight="1" x14ac:dyDescent="0.25">
      <c r="A1226" s="97"/>
      <c r="B1226" s="257">
        <v>44</v>
      </c>
      <c r="C1226" s="652"/>
      <c r="D1226" s="80"/>
      <c r="E1226" s="80"/>
      <c r="F1226" s="258">
        <f t="shared" ca="1" si="38"/>
        <v>0</v>
      </c>
      <c r="G1226" s="624"/>
      <c r="H1226" s="85"/>
      <c r="I1226" s="624"/>
      <c r="J1226" s="85"/>
      <c r="K1226" s="624"/>
      <c r="L1226" s="85"/>
      <c r="M1226" s="624"/>
      <c r="N1226" s="85"/>
      <c r="O1226" s="624"/>
      <c r="P1226" s="85"/>
      <c r="Q1226" s="626">
        <f t="shared" si="37"/>
        <v>0</v>
      </c>
      <c r="R1226" s="85"/>
      <c r="S1226" s="624"/>
      <c r="T1226" s="260"/>
      <c r="U1226" s="624"/>
      <c r="V1226" s="85"/>
      <c r="W1226" s="624"/>
      <c r="X1226" s="81"/>
      <c r="Y1226" s="80"/>
      <c r="Z1226" s="737">
        <f ca="1">MAX(0%,IF(Q1226&lt;&gt;0,MIN((S1226-Q1226)/Q1226/'Underwriting Risk'!$E$27,'Premium and Reserve Risk'!$Z$1181),'Premium and Reserve Risk'!$Z$1181))</f>
        <v>0.17</v>
      </c>
      <c r="AA1226" s="80"/>
      <c r="AB1226" s="80"/>
      <c r="AC1226" s="737">
        <f ca="1">MAX(0%,IF(U1226&lt;&gt;0,MIN((W1226-U1226)/U1226/'Underwriting Risk'!$E$27,'Premium and Reserve Risk'!$AC$1181),'Premium and Reserve Risk'!$AC$1181))</f>
        <v>0.2</v>
      </c>
      <c r="AD1226" s="81"/>
      <c r="AE1226" s="97"/>
      <c r="AF1226" s="97"/>
      <c r="AG1226" s="97"/>
      <c r="AH1226" s="97"/>
    </row>
    <row r="1227" spans="1:34" ht="13.5" customHeight="1" x14ac:dyDescent="0.25">
      <c r="A1227" s="97"/>
      <c r="B1227" s="257">
        <v>45</v>
      </c>
      <c r="C1227" s="652"/>
      <c r="D1227" s="80"/>
      <c r="E1227" s="80"/>
      <c r="F1227" s="258">
        <f t="shared" ca="1" si="38"/>
        <v>0</v>
      </c>
      <c r="G1227" s="624"/>
      <c r="H1227" s="85"/>
      <c r="I1227" s="624"/>
      <c r="J1227" s="85"/>
      <c r="K1227" s="624"/>
      <c r="L1227" s="85"/>
      <c r="M1227" s="624"/>
      <c r="N1227" s="85"/>
      <c r="O1227" s="624"/>
      <c r="P1227" s="85"/>
      <c r="Q1227" s="626">
        <f t="shared" si="37"/>
        <v>0</v>
      </c>
      <c r="R1227" s="85"/>
      <c r="S1227" s="624"/>
      <c r="T1227" s="260"/>
      <c r="U1227" s="624"/>
      <c r="V1227" s="85"/>
      <c r="W1227" s="624"/>
      <c r="X1227" s="81"/>
      <c r="Y1227" s="80"/>
      <c r="Z1227" s="737">
        <f ca="1">MAX(0%,IF(Q1227&lt;&gt;0,MIN((S1227-Q1227)/Q1227/'Underwriting Risk'!$E$27,'Premium and Reserve Risk'!$Z$1181),'Premium and Reserve Risk'!$Z$1181))</f>
        <v>0.17</v>
      </c>
      <c r="AA1227" s="80"/>
      <c r="AB1227" s="80"/>
      <c r="AC1227" s="737">
        <f ca="1">MAX(0%,IF(U1227&lt;&gt;0,MIN((W1227-U1227)/U1227/'Underwriting Risk'!$E$27,'Premium and Reserve Risk'!$AC$1181),'Premium and Reserve Risk'!$AC$1181))</f>
        <v>0.2</v>
      </c>
      <c r="AD1227" s="81"/>
      <c r="AE1227" s="97"/>
      <c r="AF1227" s="97"/>
      <c r="AG1227" s="97"/>
      <c r="AH1227" s="97"/>
    </row>
    <row r="1228" spans="1:34" ht="13.5" customHeight="1" x14ac:dyDescent="0.25">
      <c r="A1228" s="97"/>
      <c r="B1228" s="257">
        <v>46</v>
      </c>
      <c r="C1228" s="652"/>
      <c r="D1228" s="80"/>
      <c r="E1228" s="80"/>
      <c r="F1228" s="258">
        <f t="shared" ca="1" si="38"/>
        <v>0</v>
      </c>
      <c r="G1228" s="624"/>
      <c r="H1228" s="85"/>
      <c r="I1228" s="624"/>
      <c r="J1228" s="85"/>
      <c r="K1228" s="624"/>
      <c r="L1228" s="85"/>
      <c r="M1228" s="624"/>
      <c r="N1228" s="85"/>
      <c r="O1228" s="624"/>
      <c r="P1228" s="85"/>
      <c r="Q1228" s="626">
        <f t="shared" si="37"/>
        <v>0</v>
      </c>
      <c r="R1228" s="85"/>
      <c r="S1228" s="624"/>
      <c r="T1228" s="260"/>
      <c r="U1228" s="624"/>
      <c r="V1228" s="85"/>
      <c r="W1228" s="624"/>
      <c r="X1228" s="81"/>
      <c r="Y1228" s="80"/>
      <c r="Z1228" s="737">
        <f ca="1">MAX(0%,IF(Q1228&lt;&gt;0,MIN((S1228-Q1228)/Q1228/'Underwriting Risk'!$E$27,'Premium and Reserve Risk'!$Z$1181),'Premium and Reserve Risk'!$Z$1181))</f>
        <v>0.17</v>
      </c>
      <c r="AA1228" s="80"/>
      <c r="AB1228" s="80"/>
      <c r="AC1228" s="737">
        <f ca="1">MAX(0%,IF(U1228&lt;&gt;0,MIN((W1228-U1228)/U1228/'Underwriting Risk'!$E$27,'Premium and Reserve Risk'!$AC$1181),'Premium and Reserve Risk'!$AC$1181))</f>
        <v>0.2</v>
      </c>
      <c r="AD1228" s="81"/>
      <c r="AE1228" s="97"/>
      <c r="AF1228" s="97"/>
      <c r="AG1228" s="97"/>
      <c r="AH1228" s="97"/>
    </row>
    <row r="1229" spans="1:34" ht="13.5" customHeight="1" x14ac:dyDescent="0.25">
      <c r="A1229" s="97"/>
      <c r="B1229" s="257">
        <v>47</v>
      </c>
      <c r="C1229" s="652"/>
      <c r="D1229" s="80"/>
      <c r="E1229" s="80"/>
      <c r="F1229" s="258">
        <f t="shared" ca="1" si="38"/>
        <v>0</v>
      </c>
      <c r="G1229" s="624"/>
      <c r="H1229" s="85"/>
      <c r="I1229" s="624"/>
      <c r="J1229" s="85"/>
      <c r="K1229" s="624"/>
      <c r="L1229" s="85"/>
      <c r="M1229" s="624"/>
      <c r="N1229" s="85"/>
      <c r="O1229" s="624"/>
      <c r="P1229" s="85"/>
      <c r="Q1229" s="626">
        <f t="shared" si="37"/>
        <v>0</v>
      </c>
      <c r="R1229" s="85"/>
      <c r="S1229" s="624"/>
      <c r="T1229" s="260"/>
      <c r="U1229" s="624"/>
      <c r="V1229" s="85"/>
      <c r="W1229" s="624"/>
      <c r="X1229" s="81"/>
      <c r="Y1229" s="80"/>
      <c r="Z1229" s="737">
        <f ca="1">MAX(0%,IF(Q1229&lt;&gt;0,MIN((S1229-Q1229)/Q1229/'Underwriting Risk'!$E$27,'Premium and Reserve Risk'!$Z$1181),'Premium and Reserve Risk'!$Z$1181))</f>
        <v>0.17</v>
      </c>
      <c r="AA1229" s="80"/>
      <c r="AB1229" s="80"/>
      <c r="AC1229" s="737">
        <f ca="1">MAX(0%,IF(U1229&lt;&gt;0,MIN((W1229-U1229)/U1229/'Underwriting Risk'!$E$27,'Premium and Reserve Risk'!$AC$1181),'Premium and Reserve Risk'!$AC$1181))</f>
        <v>0.2</v>
      </c>
      <c r="AD1229" s="81"/>
      <c r="AE1229" s="97"/>
      <c r="AF1229" s="97"/>
      <c r="AG1229" s="97"/>
      <c r="AH1229" s="97"/>
    </row>
    <row r="1230" spans="1:34" ht="13.5" customHeight="1" x14ac:dyDescent="0.25">
      <c r="A1230" s="97"/>
      <c r="B1230" s="257">
        <v>48</v>
      </c>
      <c r="C1230" s="652"/>
      <c r="D1230" s="80"/>
      <c r="E1230" s="80"/>
      <c r="F1230" s="258">
        <f t="shared" ca="1" si="38"/>
        <v>0</v>
      </c>
      <c r="G1230" s="624"/>
      <c r="H1230" s="85"/>
      <c r="I1230" s="624"/>
      <c r="J1230" s="85"/>
      <c r="K1230" s="624"/>
      <c r="L1230" s="85"/>
      <c r="M1230" s="624"/>
      <c r="N1230" s="85"/>
      <c r="O1230" s="624"/>
      <c r="P1230" s="85"/>
      <c r="Q1230" s="626">
        <f t="shared" si="37"/>
        <v>0</v>
      </c>
      <c r="R1230" s="85"/>
      <c r="S1230" s="624"/>
      <c r="T1230" s="260"/>
      <c r="U1230" s="624"/>
      <c r="V1230" s="85"/>
      <c r="W1230" s="624"/>
      <c r="X1230" s="81"/>
      <c r="Y1230" s="80"/>
      <c r="Z1230" s="737">
        <f ca="1">MAX(0%,IF(Q1230&lt;&gt;0,MIN((S1230-Q1230)/Q1230/'Underwriting Risk'!$E$27,'Premium and Reserve Risk'!$Z$1181),'Premium and Reserve Risk'!$Z$1181))</f>
        <v>0.17</v>
      </c>
      <c r="AA1230" s="80"/>
      <c r="AB1230" s="80"/>
      <c r="AC1230" s="737">
        <f ca="1">MAX(0%,IF(U1230&lt;&gt;0,MIN((W1230-U1230)/U1230/'Underwriting Risk'!$E$27,'Premium and Reserve Risk'!$AC$1181),'Premium and Reserve Risk'!$AC$1181))</f>
        <v>0.2</v>
      </c>
      <c r="AD1230" s="81"/>
      <c r="AE1230" s="97"/>
      <c r="AF1230" s="97"/>
      <c r="AG1230" s="97"/>
      <c r="AH1230" s="97"/>
    </row>
    <row r="1231" spans="1:34" ht="13.5" customHeight="1" x14ac:dyDescent="0.25">
      <c r="A1231" s="97"/>
      <c r="B1231" s="257">
        <v>49</v>
      </c>
      <c r="C1231" s="652"/>
      <c r="D1231" s="80"/>
      <c r="E1231" s="80"/>
      <c r="F1231" s="258">
        <f t="shared" ca="1" si="38"/>
        <v>0</v>
      </c>
      <c r="G1231" s="624"/>
      <c r="H1231" s="85"/>
      <c r="I1231" s="624"/>
      <c r="J1231" s="85"/>
      <c r="K1231" s="624"/>
      <c r="L1231" s="85"/>
      <c r="M1231" s="624"/>
      <c r="N1231" s="85"/>
      <c r="O1231" s="624"/>
      <c r="P1231" s="85"/>
      <c r="Q1231" s="626">
        <f t="shared" si="37"/>
        <v>0</v>
      </c>
      <c r="R1231" s="85"/>
      <c r="S1231" s="624"/>
      <c r="T1231" s="260"/>
      <c r="U1231" s="624"/>
      <c r="V1231" s="85"/>
      <c r="W1231" s="624"/>
      <c r="X1231" s="81"/>
      <c r="Y1231" s="80"/>
      <c r="Z1231" s="737">
        <f ca="1">MAX(0%,IF(Q1231&lt;&gt;0,MIN((S1231-Q1231)/Q1231/'Underwriting Risk'!$E$27,'Premium and Reserve Risk'!$Z$1181),'Premium and Reserve Risk'!$Z$1181))</f>
        <v>0.17</v>
      </c>
      <c r="AA1231" s="80"/>
      <c r="AB1231" s="80"/>
      <c r="AC1231" s="737">
        <f ca="1">MAX(0%,IF(U1231&lt;&gt;0,MIN((W1231-U1231)/U1231/'Underwriting Risk'!$E$27,'Premium and Reserve Risk'!$AC$1181),'Premium and Reserve Risk'!$AC$1181))</f>
        <v>0.2</v>
      </c>
      <c r="AD1231" s="81"/>
      <c r="AE1231" s="97"/>
      <c r="AF1231" s="97"/>
      <c r="AG1231" s="97"/>
      <c r="AH1231" s="97"/>
    </row>
    <row r="1232" spans="1:34" ht="13.5" customHeight="1" x14ac:dyDescent="0.25">
      <c r="A1232" s="97"/>
      <c r="B1232" s="257">
        <v>50</v>
      </c>
      <c r="C1232" s="652"/>
      <c r="D1232" s="80"/>
      <c r="E1232" s="80"/>
      <c r="F1232" s="258">
        <f t="shared" ca="1" si="38"/>
        <v>0</v>
      </c>
      <c r="G1232" s="624"/>
      <c r="H1232" s="85"/>
      <c r="I1232" s="624"/>
      <c r="J1232" s="85"/>
      <c r="K1232" s="624"/>
      <c r="L1232" s="85"/>
      <c r="M1232" s="624"/>
      <c r="N1232" s="85"/>
      <c r="O1232" s="624"/>
      <c r="P1232" s="85"/>
      <c r="Q1232" s="626">
        <f t="shared" si="37"/>
        <v>0</v>
      </c>
      <c r="R1232" s="85"/>
      <c r="S1232" s="624"/>
      <c r="T1232" s="260"/>
      <c r="U1232" s="624"/>
      <c r="V1232" s="85"/>
      <c r="W1232" s="624"/>
      <c r="X1232" s="81"/>
      <c r="Y1232" s="80"/>
      <c r="Z1232" s="737">
        <f ca="1">MAX(0%,IF(Q1232&lt;&gt;0,MIN((S1232-Q1232)/Q1232/'Underwriting Risk'!$E$27,'Premium and Reserve Risk'!$Z$1181),'Premium and Reserve Risk'!$Z$1181))</f>
        <v>0.17</v>
      </c>
      <c r="AA1232" s="80"/>
      <c r="AB1232" s="80"/>
      <c r="AC1232" s="737">
        <f ca="1">MAX(0%,IF(U1232&lt;&gt;0,MIN((W1232-U1232)/U1232/'Underwriting Risk'!$E$27,'Premium and Reserve Risk'!$AC$1181),'Premium and Reserve Risk'!$AC$1181))</f>
        <v>0.2</v>
      </c>
      <c r="AD1232" s="81"/>
      <c r="AE1232" s="97"/>
      <c r="AF1232" s="97"/>
      <c r="AG1232" s="97"/>
      <c r="AH1232" s="97"/>
    </row>
    <row r="1233" spans="1:34" ht="13.5" customHeight="1" x14ac:dyDescent="0.25">
      <c r="A1233" s="97"/>
      <c r="B1233" s="257">
        <v>51</v>
      </c>
      <c r="C1233" s="652"/>
      <c r="D1233" s="80"/>
      <c r="E1233" s="80"/>
      <c r="F1233" s="258">
        <f t="shared" ca="1" si="38"/>
        <v>0</v>
      </c>
      <c r="G1233" s="624"/>
      <c r="H1233" s="85"/>
      <c r="I1233" s="624"/>
      <c r="J1233" s="85"/>
      <c r="K1233" s="624"/>
      <c r="L1233" s="85"/>
      <c r="M1233" s="624"/>
      <c r="N1233" s="85"/>
      <c r="O1233" s="624"/>
      <c r="P1233" s="85"/>
      <c r="Q1233" s="626">
        <f t="shared" si="37"/>
        <v>0</v>
      </c>
      <c r="R1233" s="85"/>
      <c r="S1233" s="624"/>
      <c r="T1233" s="260"/>
      <c r="U1233" s="624"/>
      <c r="V1233" s="85"/>
      <c r="W1233" s="624"/>
      <c r="X1233" s="81"/>
      <c r="Y1233" s="80"/>
      <c r="Z1233" s="737">
        <f ca="1">MAX(0%,IF(Q1233&lt;&gt;0,MIN((S1233-Q1233)/Q1233/'Underwriting Risk'!$E$27,'Premium and Reserve Risk'!$Z$1181),'Premium and Reserve Risk'!$Z$1181))</f>
        <v>0.17</v>
      </c>
      <c r="AA1233" s="80"/>
      <c r="AB1233" s="80"/>
      <c r="AC1233" s="737">
        <f ca="1">MAX(0%,IF(U1233&lt;&gt;0,MIN((W1233-U1233)/U1233/'Underwriting Risk'!$E$27,'Premium and Reserve Risk'!$AC$1181),'Premium and Reserve Risk'!$AC$1181))</f>
        <v>0.2</v>
      </c>
      <c r="AD1233" s="81"/>
      <c r="AE1233" s="97"/>
      <c r="AF1233" s="97"/>
      <c r="AG1233" s="97"/>
      <c r="AH1233" s="97"/>
    </row>
    <row r="1234" spans="1:34" ht="13.5" customHeight="1" x14ac:dyDescent="0.25">
      <c r="A1234" s="97"/>
      <c r="B1234" s="257">
        <v>52</v>
      </c>
      <c r="C1234" s="652"/>
      <c r="D1234" s="80"/>
      <c r="E1234" s="80"/>
      <c r="F1234" s="258">
        <f t="shared" ca="1" si="38"/>
        <v>0</v>
      </c>
      <c r="G1234" s="624"/>
      <c r="H1234" s="85"/>
      <c r="I1234" s="624"/>
      <c r="J1234" s="85"/>
      <c r="K1234" s="624"/>
      <c r="L1234" s="85"/>
      <c r="M1234" s="624"/>
      <c r="N1234" s="85"/>
      <c r="O1234" s="624"/>
      <c r="P1234" s="85"/>
      <c r="Q1234" s="626">
        <f t="shared" si="37"/>
        <v>0</v>
      </c>
      <c r="R1234" s="85"/>
      <c r="S1234" s="624"/>
      <c r="T1234" s="260"/>
      <c r="U1234" s="624"/>
      <c r="V1234" s="85"/>
      <c r="W1234" s="624"/>
      <c r="X1234" s="81"/>
      <c r="Y1234" s="80"/>
      <c r="Z1234" s="737">
        <f ca="1">MAX(0%,IF(Q1234&lt;&gt;0,MIN((S1234-Q1234)/Q1234/'Underwriting Risk'!$E$27,'Premium and Reserve Risk'!$Z$1181),'Premium and Reserve Risk'!$Z$1181))</f>
        <v>0.17</v>
      </c>
      <c r="AA1234" s="80"/>
      <c r="AB1234" s="80"/>
      <c r="AC1234" s="737">
        <f ca="1">MAX(0%,IF(U1234&lt;&gt;0,MIN((W1234-U1234)/U1234/'Underwriting Risk'!$E$27,'Premium and Reserve Risk'!$AC$1181),'Premium and Reserve Risk'!$AC$1181))</f>
        <v>0.2</v>
      </c>
      <c r="AD1234" s="81"/>
      <c r="AE1234" s="97"/>
      <c r="AF1234" s="97"/>
      <c r="AG1234" s="97"/>
      <c r="AH1234" s="97"/>
    </row>
    <row r="1235" spans="1:34" ht="13.5" customHeight="1" x14ac:dyDescent="0.25">
      <c r="A1235" s="97"/>
      <c r="B1235" s="257">
        <v>53</v>
      </c>
      <c r="C1235" s="652"/>
      <c r="D1235" s="80"/>
      <c r="E1235" s="80"/>
      <c r="F1235" s="258">
        <f t="shared" ca="1" si="38"/>
        <v>0</v>
      </c>
      <c r="G1235" s="624"/>
      <c r="H1235" s="85"/>
      <c r="I1235" s="624"/>
      <c r="J1235" s="85"/>
      <c r="K1235" s="624"/>
      <c r="L1235" s="85"/>
      <c r="M1235" s="624"/>
      <c r="N1235" s="85"/>
      <c r="O1235" s="624"/>
      <c r="P1235" s="85"/>
      <c r="Q1235" s="626">
        <f t="shared" si="37"/>
        <v>0</v>
      </c>
      <c r="R1235" s="85"/>
      <c r="S1235" s="624"/>
      <c r="T1235" s="260"/>
      <c r="U1235" s="624"/>
      <c r="V1235" s="85"/>
      <c r="W1235" s="624"/>
      <c r="X1235" s="81"/>
      <c r="Y1235" s="80"/>
      <c r="Z1235" s="737">
        <f ca="1">MAX(0%,IF(Q1235&lt;&gt;0,MIN((S1235-Q1235)/Q1235/'Underwriting Risk'!$E$27,'Premium and Reserve Risk'!$Z$1181),'Premium and Reserve Risk'!$Z$1181))</f>
        <v>0.17</v>
      </c>
      <c r="AA1235" s="80"/>
      <c r="AB1235" s="80"/>
      <c r="AC1235" s="737">
        <f ca="1">MAX(0%,IF(U1235&lt;&gt;0,MIN((W1235-U1235)/U1235/'Underwriting Risk'!$E$27,'Premium and Reserve Risk'!$AC$1181),'Premium and Reserve Risk'!$AC$1181))</f>
        <v>0.2</v>
      </c>
      <c r="AD1235" s="81"/>
      <c r="AE1235" s="97"/>
      <c r="AF1235" s="97"/>
      <c r="AG1235" s="97"/>
      <c r="AH1235" s="97"/>
    </row>
    <row r="1236" spans="1:34" ht="13.5" customHeight="1" x14ac:dyDescent="0.25">
      <c r="A1236" s="97"/>
      <c r="B1236" s="257">
        <v>54</v>
      </c>
      <c r="C1236" s="652"/>
      <c r="D1236" s="80"/>
      <c r="E1236" s="80"/>
      <c r="F1236" s="258">
        <f t="shared" ca="1" si="38"/>
        <v>0</v>
      </c>
      <c r="G1236" s="624"/>
      <c r="H1236" s="85"/>
      <c r="I1236" s="624"/>
      <c r="J1236" s="85"/>
      <c r="K1236" s="624"/>
      <c r="L1236" s="85"/>
      <c r="M1236" s="624"/>
      <c r="N1236" s="85"/>
      <c r="O1236" s="624"/>
      <c r="P1236" s="85"/>
      <c r="Q1236" s="626">
        <f t="shared" si="37"/>
        <v>0</v>
      </c>
      <c r="R1236" s="85"/>
      <c r="S1236" s="624"/>
      <c r="T1236" s="260"/>
      <c r="U1236" s="624"/>
      <c r="V1236" s="85"/>
      <c r="W1236" s="624"/>
      <c r="X1236" s="81"/>
      <c r="Y1236" s="80"/>
      <c r="Z1236" s="737">
        <f ca="1">MAX(0%,IF(Q1236&lt;&gt;0,MIN((S1236-Q1236)/Q1236/'Underwriting Risk'!$E$27,'Premium and Reserve Risk'!$Z$1181),'Premium and Reserve Risk'!$Z$1181))</f>
        <v>0.17</v>
      </c>
      <c r="AA1236" s="80"/>
      <c r="AB1236" s="80"/>
      <c r="AC1236" s="737">
        <f ca="1">MAX(0%,IF(U1236&lt;&gt;0,MIN((W1236-U1236)/U1236/'Underwriting Risk'!$E$27,'Premium and Reserve Risk'!$AC$1181),'Premium and Reserve Risk'!$AC$1181))</f>
        <v>0.2</v>
      </c>
      <c r="AD1236" s="81"/>
      <c r="AE1236" s="97"/>
      <c r="AF1236" s="97"/>
      <c r="AG1236" s="97"/>
      <c r="AH1236" s="97"/>
    </row>
    <row r="1237" spans="1:34" ht="13.5" customHeight="1" x14ac:dyDescent="0.25">
      <c r="A1237" s="97"/>
      <c r="B1237" s="257">
        <v>55</v>
      </c>
      <c r="C1237" s="652"/>
      <c r="D1237" s="80"/>
      <c r="E1237" s="80"/>
      <c r="F1237" s="258">
        <f t="shared" ca="1" si="38"/>
        <v>0</v>
      </c>
      <c r="G1237" s="624"/>
      <c r="H1237" s="85"/>
      <c r="I1237" s="624"/>
      <c r="J1237" s="85"/>
      <c r="K1237" s="624"/>
      <c r="L1237" s="85"/>
      <c r="M1237" s="624"/>
      <c r="N1237" s="85"/>
      <c r="O1237" s="624"/>
      <c r="P1237" s="85"/>
      <c r="Q1237" s="626">
        <f t="shared" si="37"/>
        <v>0</v>
      </c>
      <c r="R1237" s="85"/>
      <c r="S1237" s="624"/>
      <c r="T1237" s="260"/>
      <c r="U1237" s="624"/>
      <c r="V1237" s="85"/>
      <c r="W1237" s="624"/>
      <c r="X1237" s="81"/>
      <c r="Y1237" s="80"/>
      <c r="Z1237" s="737">
        <f ca="1">MAX(0%,IF(Q1237&lt;&gt;0,MIN((S1237-Q1237)/Q1237/'Underwriting Risk'!$E$27,'Premium and Reserve Risk'!$Z$1181),'Premium and Reserve Risk'!$Z$1181))</f>
        <v>0.17</v>
      </c>
      <c r="AA1237" s="80"/>
      <c r="AB1237" s="80"/>
      <c r="AC1237" s="737">
        <f ca="1">MAX(0%,IF(U1237&lt;&gt;0,MIN((W1237-U1237)/U1237/'Underwriting Risk'!$E$27,'Premium and Reserve Risk'!$AC$1181),'Premium and Reserve Risk'!$AC$1181))</f>
        <v>0.2</v>
      </c>
      <c r="AD1237" s="81"/>
      <c r="AE1237" s="97"/>
      <c r="AF1237" s="97"/>
      <c r="AG1237" s="97"/>
      <c r="AH1237" s="97"/>
    </row>
    <row r="1238" spans="1:34" ht="13.5" customHeight="1" x14ac:dyDescent="0.25">
      <c r="A1238" s="97"/>
      <c r="B1238" s="257">
        <v>56</v>
      </c>
      <c r="C1238" s="652"/>
      <c r="D1238" s="80"/>
      <c r="E1238" s="80"/>
      <c r="F1238" s="258">
        <f t="shared" ca="1" si="38"/>
        <v>0</v>
      </c>
      <c r="G1238" s="624"/>
      <c r="H1238" s="85"/>
      <c r="I1238" s="624"/>
      <c r="J1238" s="85"/>
      <c r="K1238" s="624"/>
      <c r="L1238" s="85"/>
      <c r="M1238" s="624"/>
      <c r="N1238" s="85"/>
      <c r="O1238" s="624"/>
      <c r="P1238" s="85"/>
      <c r="Q1238" s="626">
        <f t="shared" si="37"/>
        <v>0</v>
      </c>
      <c r="R1238" s="85"/>
      <c r="S1238" s="624"/>
      <c r="T1238" s="260"/>
      <c r="U1238" s="624"/>
      <c r="V1238" s="85"/>
      <c r="W1238" s="624"/>
      <c r="X1238" s="81"/>
      <c r="Y1238" s="80"/>
      <c r="Z1238" s="737">
        <f ca="1">MAX(0%,IF(Q1238&lt;&gt;0,MIN((S1238-Q1238)/Q1238/'Underwriting Risk'!$E$27,'Premium and Reserve Risk'!$Z$1181),'Premium and Reserve Risk'!$Z$1181))</f>
        <v>0.17</v>
      </c>
      <c r="AA1238" s="80"/>
      <c r="AB1238" s="80"/>
      <c r="AC1238" s="737">
        <f ca="1">MAX(0%,IF(U1238&lt;&gt;0,MIN((W1238-U1238)/U1238/'Underwriting Risk'!$E$27,'Premium and Reserve Risk'!$AC$1181),'Premium and Reserve Risk'!$AC$1181))</f>
        <v>0.2</v>
      </c>
      <c r="AD1238" s="81"/>
      <c r="AE1238" s="97"/>
      <c r="AF1238" s="97"/>
      <c r="AG1238" s="97"/>
      <c r="AH1238" s="97"/>
    </row>
    <row r="1239" spans="1:34" ht="13.5" customHeight="1" x14ac:dyDescent="0.25">
      <c r="A1239" s="97"/>
      <c r="B1239" s="257">
        <v>57</v>
      </c>
      <c r="C1239" s="652"/>
      <c r="D1239" s="80"/>
      <c r="E1239" s="80"/>
      <c r="F1239" s="258">
        <f t="shared" ca="1" si="38"/>
        <v>0</v>
      </c>
      <c r="G1239" s="624"/>
      <c r="H1239" s="85"/>
      <c r="I1239" s="624"/>
      <c r="J1239" s="85"/>
      <c r="K1239" s="624"/>
      <c r="L1239" s="85"/>
      <c r="M1239" s="624"/>
      <c r="N1239" s="85"/>
      <c r="O1239" s="624"/>
      <c r="P1239" s="85"/>
      <c r="Q1239" s="626">
        <f t="shared" si="37"/>
        <v>0</v>
      </c>
      <c r="R1239" s="85"/>
      <c r="S1239" s="624"/>
      <c r="T1239" s="260"/>
      <c r="U1239" s="624"/>
      <c r="V1239" s="85"/>
      <c r="W1239" s="624"/>
      <c r="X1239" s="81"/>
      <c r="Y1239" s="80"/>
      <c r="Z1239" s="737">
        <f ca="1">MAX(0%,IF(Q1239&lt;&gt;0,MIN((S1239-Q1239)/Q1239/'Underwriting Risk'!$E$27,'Premium and Reserve Risk'!$Z$1181),'Premium and Reserve Risk'!$Z$1181))</f>
        <v>0.17</v>
      </c>
      <c r="AA1239" s="80"/>
      <c r="AB1239" s="80"/>
      <c r="AC1239" s="737">
        <f ca="1">MAX(0%,IF(U1239&lt;&gt;0,MIN((W1239-U1239)/U1239/'Underwriting Risk'!$E$27,'Premium and Reserve Risk'!$AC$1181),'Premium and Reserve Risk'!$AC$1181))</f>
        <v>0.2</v>
      </c>
      <c r="AD1239" s="81"/>
      <c r="AE1239" s="97"/>
      <c r="AF1239" s="97"/>
      <c r="AG1239" s="97"/>
      <c r="AH1239" s="97"/>
    </row>
    <row r="1240" spans="1:34" ht="13.5" customHeight="1" x14ac:dyDescent="0.25">
      <c r="A1240" s="97"/>
      <c r="B1240" s="257">
        <v>58</v>
      </c>
      <c r="C1240" s="652"/>
      <c r="D1240" s="80"/>
      <c r="E1240" s="80"/>
      <c r="F1240" s="258">
        <f t="shared" ca="1" si="38"/>
        <v>0</v>
      </c>
      <c r="G1240" s="624"/>
      <c r="H1240" s="85"/>
      <c r="I1240" s="624"/>
      <c r="J1240" s="85"/>
      <c r="K1240" s="624"/>
      <c r="L1240" s="85"/>
      <c r="M1240" s="624"/>
      <c r="N1240" s="85"/>
      <c r="O1240" s="624"/>
      <c r="P1240" s="85"/>
      <c r="Q1240" s="626">
        <f t="shared" si="37"/>
        <v>0</v>
      </c>
      <c r="R1240" s="85"/>
      <c r="S1240" s="624"/>
      <c r="T1240" s="260"/>
      <c r="U1240" s="624"/>
      <c r="V1240" s="85"/>
      <c r="W1240" s="624"/>
      <c r="X1240" s="81"/>
      <c r="Y1240" s="80"/>
      <c r="Z1240" s="737">
        <f ca="1">MAX(0%,IF(Q1240&lt;&gt;0,MIN((S1240-Q1240)/Q1240/'Underwriting Risk'!$E$27,'Premium and Reserve Risk'!$Z$1181),'Premium and Reserve Risk'!$Z$1181))</f>
        <v>0.17</v>
      </c>
      <c r="AA1240" s="80"/>
      <c r="AB1240" s="80"/>
      <c r="AC1240" s="737">
        <f ca="1">MAX(0%,IF(U1240&lt;&gt;0,MIN((W1240-U1240)/U1240/'Underwriting Risk'!$E$27,'Premium and Reserve Risk'!$AC$1181),'Premium and Reserve Risk'!$AC$1181))</f>
        <v>0.2</v>
      </c>
      <c r="AD1240" s="81"/>
      <c r="AE1240" s="97"/>
      <c r="AF1240" s="97"/>
      <c r="AG1240" s="97"/>
      <c r="AH1240" s="97"/>
    </row>
    <row r="1241" spans="1:34" ht="13.5" customHeight="1" x14ac:dyDescent="0.25">
      <c r="A1241" s="97"/>
      <c r="B1241" s="257">
        <v>59</v>
      </c>
      <c r="C1241" s="652"/>
      <c r="D1241" s="80"/>
      <c r="E1241" s="80"/>
      <c r="F1241" s="258">
        <f t="shared" ca="1" si="38"/>
        <v>0</v>
      </c>
      <c r="G1241" s="624"/>
      <c r="H1241" s="85"/>
      <c r="I1241" s="624"/>
      <c r="J1241" s="85"/>
      <c r="K1241" s="624"/>
      <c r="L1241" s="85"/>
      <c r="M1241" s="624"/>
      <c r="N1241" s="85"/>
      <c r="O1241" s="624"/>
      <c r="P1241" s="85"/>
      <c r="Q1241" s="626">
        <f t="shared" si="37"/>
        <v>0</v>
      </c>
      <c r="R1241" s="85"/>
      <c r="S1241" s="624"/>
      <c r="T1241" s="260"/>
      <c r="U1241" s="624"/>
      <c r="V1241" s="85"/>
      <c r="W1241" s="624"/>
      <c r="X1241" s="81"/>
      <c r="Y1241" s="80"/>
      <c r="Z1241" s="737">
        <f ca="1">MAX(0%,IF(Q1241&lt;&gt;0,MIN((S1241-Q1241)/Q1241/'Underwriting Risk'!$E$27,'Premium and Reserve Risk'!$Z$1181),'Premium and Reserve Risk'!$Z$1181))</f>
        <v>0.17</v>
      </c>
      <c r="AA1241" s="80"/>
      <c r="AB1241" s="80"/>
      <c r="AC1241" s="737">
        <f ca="1">MAX(0%,IF(U1241&lt;&gt;0,MIN((W1241-U1241)/U1241/'Underwriting Risk'!$E$27,'Premium and Reserve Risk'!$AC$1181),'Premium and Reserve Risk'!$AC$1181))</f>
        <v>0.2</v>
      </c>
      <c r="AD1241" s="81"/>
      <c r="AE1241" s="97"/>
      <c r="AF1241" s="97"/>
      <c r="AG1241" s="97"/>
      <c r="AH1241" s="97"/>
    </row>
    <row r="1242" spans="1:34" ht="13.5" customHeight="1" x14ac:dyDescent="0.25">
      <c r="A1242" s="97"/>
      <c r="B1242" s="257">
        <v>60</v>
      </c>
      <c r="C1242" s="652"/>
      <c r="D1242" s="80"/>
      <c r="E1242" s="80"/>
      <c r="F1242" s="258">
        <f t="shared" ca="1" si="38"/>
        <v>0</v>
      </c>
      <c r="G1242" s="624"/>
      <c r="H1242" s="85"/>
      <c r="I1242" s="624"/>
      <c r="J1242" s="85"/>
      <c r="K1242" s="624"/>
      <c r="L1242" s="85"/>
      <c r="M1242" s="624"/>
      <c r="N1242" s="85"/>
      <c r="O1242" s="624"/>
      <c r="P1242" s="85"/>
      <c r="Q1242" s="626">
        <f t="shared" si="37"/>
        <v>0</v>
      </c>
      <c r="R1242" s="85"/>
      <c r="S1242" s="624"/>
      <c r="T1242" s="260"/>
      <c r="U1242" s="624"/>
      <c r="V1242" s="85"/>
      <c r="W1242" s="624"/>
      <c r="X1242" s="81"/>
      <c r="Y1242" s="80"/>
      <c r="Z1242" s="737">
        <f ca="1">MAX(0%,IF(Q1242&lt;&gt;0,MIN((S1242-Q1242)/Q1242/'Underwriting Risk'!$E$27,'Premium and Reserve Risk'!$Z$1181),'Premium and Reserve Risk'!$Z$1181))</f>
        <v>0.17</v>
      </c>
      <c r="AA1242" s="80"/>
      <c r="AB1242" s="80"/>
      <c r="AC1242" s="737">
        <f ca="1">MAX(0%,IF(U1242&lt;&gt;0,MIN((W1242-U1242)/U1242/'Underwriting Risk'!$E$27,'Premium and Reserve Risk'!$AC$1181),'Premium and Reserve Risk'!$AC$1181))</f>
        <v>0.2</v>
      </c>
      <c r="AD1242" s="81"/>
      <c r="AE1242" s="97"/>
      <c r="AF1242" s="97"/>
      <c r="AG1242" s="97"/>
      <c r="AH1242" s="97"/>
    </row>
    <row r="1243" spans="1:34" ht="13.5" customHeight="1" x14ac:dyDescent="0.25">
      <c r="A1243" s="97"/>
      <c r="B1243" s="257">
        <v>61</v>
      </c>
      <c r="C1243" s="652"/>
      <c r="D1243" s="80"/>
      <c r="E1243" s="80"/>
      <c r="F1243" s="258">
        <f t="shared" ca="1" si="38"/>
        <v>0</v>
      </c>
      <c r="G1243" s="624"/>
      <c r="H1243" s="85"/>
      <c r="I1243" s="624"/>
      <c r="J1243" s="85"/>
      <c r="K1243" s="624"/>
      <c r="L1243" s="85"/>
      <c r="M1243" s="624"/>
      <c r="N1243" s="85"/>
      <c r="O1243" s="624"/>
      <c r="P1243" s="85"/>
      <c r="Q1243" s="626">
        <f t="shared" si="37"/>
        <v>0</v>
      </c>
      <c r="R1243" s="85"/>
      <c r="S1243" s="624"/>
      <c r="T1243" s="260"/>
      <c r="U1243" s="624"/>
      <c r="V1243" s="85"/>
      <c r="W1243" s="624"/>
      <c r="X1243" s="81"/>
      <c r="Y1243" s="80"/>
      <c r="Z1243" s="737">
        <f ca="1">MAX(0%,IF(Q1243&lt;&gt;0,MIN((S1243-Q1243)/Q1243/'Underwriting Risk'!$E$27,'Premium and Reserve Risk'!$Z$1181),'Premium and Reserve Risk'!$Z$1181))</f>
        <v>0.17</v>
      </c>
      <c r="AA1243" s="80"/>
      <c r="AB1243" s="80"/>
      <c r="AC1243" s="737">
        <f ca="1">MAX(0%,IF(U1243&lt;&gt;0,MIN((W1243-U1243)/U1243/'Underwriting Risk'!$E$27,'Premium and Reserve Risk'!$AC$1181),'Premium and Reserve Risk'!$AC$1181))</f>
        <v>0.2</v>
      </c>
      <c r="AD1243" s="81"/>
      <c r="AE1243" s="97"/>
      <c r="AF1243" s="97"/>
      <c r="AG1243" s="97"/>
      <c r="AH1243" s="97"/>
    </row>
    <row r="1244" spans="1:34" ht="13.5" customHeight="1" x14ac:dyDescent="0.25">
      <c r="A1244" s="97"/>
      <c r="B1244" s="257">
        <v>62</v>
      </c>
      <c r="C1244" s="652"/>
      <c r="D1244" s="80"/>
      <c r="E1244" s="80"/>
      <c r="F1244" s="258">
        <f t="shared" ca="1" si="38"/>
        <v>0</v>
      </c>
      <c r="G1244" s="624"/>
      <c r="H1244" s="85"/>
      <c r="I1244" s="624"/>
      <c r="J1244" s="85"/>
      <c r="K1244" s="624"/>
      <c r="L1244" s="85"/>
      <c r="M1244" s="624"/>
      <c r="N1244" s="85"/>
      <c r="O1244" s="624"/>
      <c r="P1244" s="85"/>
      <c r="Q1244" s="626">
        <f t="shared" si="37"/>
        <v>0</v>
      </c>
      <c r="R1244" s="85"/>
      <c r="S1244" s="624"/>
      <c r="T1244" s="260"/>
      <c r="U1244" s="624"/>
      <c r="V1244" s="85"/>
      <c r="W1244" s="624"/>
      <c r="X1244" s="81"/>
      <c r="Y1244" s="80"/>
      <c r="Z1244" s="737">
        <f ca="1">MAX(0%,IF(Q1244&lt;&gt;0,MIN((S1244-Q1244)/Q1244/'Underwriting Risk'!$E$27,'Premium and Reserve Risk'!$Z$1181),'Premium and Reserve Risk'!$Z$1181))</f>
        <v>0.17</v>
      </c>
      <c r="AA1244" s="80"/>
      <c r="AB1244" s="80"/>
      <c r="AC1244" s="737">
        <f ca="1">MAX(0%,IF(U1244&lt;&gt;0,MIN((W1244-U1244)/U1244/'Underwriting Risk'!$E$27,'Premium and Reserve Risk'!$AC$1181),'Premium and Reserve Risk'!$AC$1181))</f>
        <v>0.2</v>
      </c>
      <c r="AD1244" s="81"/>
      <c r="AE1244" s="97"/>
      <c r="AF1244" s="97"/>
      <c r="AG1244" s="97"/>
      <c r="AH1244" s="97"/>
    </row>
    <row r="1245" spans="1:34" ht="13.5" customHeight="1" x14ac:dyDescent="0.25">
      <c r="A1245" s="97"/>
      <c r="B1245" s="257">
        <v>63</v>
      </c>
      <c r="C1245" s="652"/>
      <c r="D1245" s="80"/>
      <c r="E1245" s="80"/>
      <c r="F1245" s="258">
        <f t="shared" ca="1" si="38"/>
        <v>0</v>
      </c>
      <c r="G1245" s="624"/>
      <c r="H1245" s="85"/>
      <c r="I1245" s="624"/>
      <c r="J1245" s="85"/>
      <c r="K1245" s="624"/>
      <c r="L1245" s="85"/>
      <c r="M1245" s="624"/>
      <c r="N1245" s="85"/>
      <c r="O1245" s="624"/>
      <c r="P1245" s="85"/>
      <c r="Q1245" s="626">
        <f t="shared" si="37"/>
        <v>0</v>
      </c>
      <c r="R1245" s="85"/>
      <c r="S1245" s="624"/>
      <c r="T1245" s="260"/>
      <c r="U1245" s="624"/>
      <c r="V1245" s="85"/>
      <c r="W1245" s="624"/>
      <c r="X1245" s="81"/>
      <c r="Y1245" s="80"/>
      <c r="Z1245" s="737">
        <f ca="1">MAX(0%,IF(Q1245&lt;&gt;0,MIN((S1245-Q1245)/Q1245/'Underwriting Risk'!$E$27,'Premium and Reserve Risk'!$Z$1181),'Premium and Reserve Risk'!$Z$1181))</f>
        <v>0.17</v>
      </c>
      <c r="AA1245" s="80"/>
      <c r="AB1245" s="80"/>
      <c r="AC1245" s="737">
        <f ca="1">MAX(0%,IF(U1245&lt;&gt;0,MIN((W1245-U1245)/U1245/'Underwriting Risk'!$E$27,'Premium and Reserve Risk'!$AC$1181),'Premium and Reserve Risk'!$AC$1181))</f>
        <v>0.2</v>
      </c>
      <c r="AD1245" s="81"/>
      <c r="AE1245" s="97"/>
      <c r="AF1245" s="97"/>
      <c r="AG1245" s="97"/>
      <c r="AH1245" s="97"/>
    </row>
    <row r="1246" spans="1:34" ht="13.5" customHeight="1" x14ac:dyDescent="0.25">
      <c r="A1246" s="97"/>
      <c r="B1246" s="257">
        <v>64</v>
      </c>
      <c r="C1246" s="652"/>
      <c r="D1246" s="80"/>
      <c r="E1246" s="80"/>
      <c r="F1246" s="258">
        <f t="shared" ca="1" si="38"/>
        <v>0</v>
      </c>
      <c r="G1246" s="624"/>
      <c r="H1246" s="85"/>
      <c r="I1246" s="624"/>
      <c r="J1246" s="85"/>
      <c r="K1246" s="624"/>
      <c r="L1246" s="85"/>
      <c r="M1246" s="624"/>
      <c r="N1246" s="85"/>
      <c r="O1246" s="624"/>
      <c r="P1246" s="85"/>
      <c r="Q1246" s="626">
        <f t="shared" si="37"/>
        <v>0</v>
      </c>
      <c r="R1246" s="85"/>
      <c r="S1246" s="624"/>
      <c r="T1246" s="260"/>
      <c r="U1246" s="624"/>
      <c r="V1246" s="85"/>
      <c r="W1246" s="624"/>
      <c r="X1246" s="81"/>
      <c r="Y1246" s="80"/>
      <c r="Z1246" s="737">
        <f ca="1">MAX(0%,IF(Q1246&lt;&gt;0,MIN((S1246-Q1246)/Q1246/'Underwriting Risk'!$E$27,'Premium and Reserve Risk'!$Z$1181),'Premium and Reserve Risk'!$Z$1181))</f>
        <v>0.17</v>
      </c>
      <c r="AA1246" s="80"/>
      <c r="AB1246" s="80"/>
      <c r="AC1246" s="737">
        <f ca="1">MAX(0%,IF(U1246&lt;&gt;0,MIN((W1246-U1246)/U1246/'Underwriting Risk'!$E$27,'Premium and Reserve Risk'!$AC$1181),'Premium and Reserve Risk'!$AC$1181))</f>
        <v>0.2</v>
      </c>
      <c r="AD1246" s="81"/>
      <c r="AE1246" s="97"/>
      <c r="AF1246" s="97"/>
      <c r="AG1246" s="97"/>
      <c r="AH1246" s="97"/>
    </row>
    <row r="1247" spans="1:34" ht="13.5" customHeight="1" x14ac:dyDescent="0.25">
      <c r="A1247" s="97"/>
      <c r="B1247" s="257">
        <v>65</v>
      </c>
      <c r="C1247" s="652"/>
      <c r="D1247" s="80"/>
      <c r="E1247" s="80"/>
      <c r="F1247" s="258">
        <f t="shared" ca="1" si="38"/>
        <v>0</v>
      </c>
      <c r="G1247" s="624"/>
      <c r="H1247" s="85"/>
      <c r="I1247" s="624"/>
      <c r="J1247" s="85"/>
      <c r="K1247" s="624"/>
      <c r="L1247" s="85"/>
      <c r="M1247" s="624"/>
      <c r="N1247" s="85"/>
      <c r="O1247" s="624"/>
      <c r="P1247" s="85"/>
      <c r="Q1247" s="626">
        <f t="shared" si="37"/>
        <v>0</v>
      </c>
      <c r="R1247" s="85"/>
      <c r="S1247" s="624"/>
      <c r="T1247" s="260"/>
      <c r="U1247" s="624"/>
      <c r="V1247" s="85"/>
      <c r="W1247" s="624"/>
      <c r="X1247" s="81"/>
      <c r="Y1247" s="80"/>
      <c r="Z1247" s="737">
        <f ca="1">MAX(0%,IF(Q1247&lt;&gt;0,MIN((S1247-Q1247)/Q1247/'Underwriting Risk'!$E$27,'Premium and Reserve Risk'!$Z$1181),'Premium and Reserve Risk'!$Z$1181))</f>
        <v>0.17</v>
      </c>
      <c r="AA1247" s="80"/>
      <c r="AB1247" s="80"/>
      <c r="AC1247" s="737">
        <f ca="1">MAX(0%,IF(U1247&lt;&gt;0,MIN((W1247-U1247)/U1247/'Underwriting Risk'!$E$27,'Premium and Reserve Risk'!$AC$1181),'Premium and Reserve Risk'!$AC$1181))</f>
        <v>0.2</v>
      </c>
      <c r="AD1247" s="81"/>
      <c r="AE1247" s="97"/>
      <c r="AF1247" s="97"/>
      <c r="AG1247" s="97"/>
      <c r="AH1247" s="97"/>
    </row>
    <row r="1248" spans="1:34" ht="13.5" customHeight="1" x14ac:dyDescent="0.25">
      <c r="A1248" s="97"/>
      <c r="B1248" s="257">
        <v>66</v>
      </c>
      <c r="C1248" s="652"/>
      <c r="D1248" s="80"/>
      <c r="E1248" s="80"/>
      <c r="F1248" s="258">
        <f t="shared" ref="F1248:F1282" ca="1" si="39">IF(B1248&lt;=OFFSET($Z$8,11,0),0,1)</f>
        <v>0</v>
      </c>
      <c r="G1248" s="624"/>
      <c r="H1248" s="85"/>
      <c r="I1248" s="624"/>
      <c r="J1248" s="85"/>
      <c r="K1248" s="624"/>
      <c r="L1248" s="85"/>
      <c r="M1248" s="624"/>
      <c r="N1248" s="85"/>
      <c r="O1248" s="624"/>
      <c r="P1248" s="85"/>
      <c r="Q1248" s="626">
        <f t="shared" si="37"/>
        <v>0</v>
      </c>
      <c r="R1248" s="85"/>
      <c r="S1248" s="624"/>
      <c r="T1248" s="260"/>
      <c r="U1248" s="624"/>
      <c r="V1248" s="85"/>
      <c r="W1248" s="624"/>
      <c r="X1248" s="81"/>
      <c r="Y1248" s="80"/>
      <c r="Z1248" s="737">
        <f ca="1">MAX(0%,IF(Q1248&lt;&gt;0,MIN((S1248-Q1248)/Q1248/'Underwriting Risk'!$E$27,'Premium and Reserve Risk'!$Z$1181),'Premium and Reserve Risk'!$Z$1181))</f>
        <v>0.17</v>
      </c>
      <c r="AA1248" s="80"/>
      <c r="AB1248" s="80"/>
      <c r="AC1248" s="737">
        <f ca="1">MAX(0%,IF(U1248&lt;&gt;0,MIN((W1248-U1248)/U1248/'Underwriting Risk'!$E$27,'Premium and Reserve Risk'!$AC$1181),'Premium and Reserve Risk'!$AC$1181))</f>
        <v>0.2</v>
      </c>
      <c r="AD1248" s="81"/>
      <c r="AE1248" s="97"/>
      <c r="AF1248" s="97"/>
      <c r="AG1248" s="97"/>
      <c r="AH1248" s="97"/>
    </row>
    <row r="1249" spans="1:34" ht="13.5" customHeight="1" x14ac:dyDescent="0.25">
      <c r="A1249" s="97"/>
      <c r="B1249" s="257">
        <v>67</v>
      </c>
      <c r="C1249" s="652"/>
      <c r="D1249" s="80"/>
      <c r="E1249" s="80"/>
      <c r="F1249" s="258">
        <f t="shared" ca="1" si="39"/>
        <v>0</v>
      </c>
      <c r="G1249" s="624"/>
      <c r="H1249" s="85"/>
      <c r="I1249" s="624"/>
      <c r="J1249" s="85"/>
      <c r="K1249" s="624"/>
      <c r="L1249" s="85"/>
      <c r="M1249" s="624"/>
      <c r="N1249" s="85"/>
      <c r="O1249" s="624"/>
      <c r="P1249" s="85"/>
      <c r="Q1249" s="626">
        <f t="shared" si="37"/>
        <v>0</v>
      </c>
      <c r="R1249" s="85"/>
      <c r="S1249" s="624"/>
      <c r="T1249" s="260"/>
      <c r="U1249" s="624"/>
      <c r="V1249" s="85"/>
      <c r="W1249" s="624"/>
      <c r="X1249" s="81"/>
      <c r="Y1249" s="80"/>
      <c r="Z1249" s="737">
        <f ca="1">MAX(0%,IF(Q1249&lt;&gt;0,MIN((S1249-Q1249)/Q1249/'Underwriting Risk'!$E$27,'Premium and Reserve Risk'!$Z$1181),'Premium and Reserve Risk'!$Z$1181))</f>
        <v>0.17</v>
      </c>
      <c r="AA1249" s="80"/>
      <c r="AB1249" s="80"/>
      <c r="AC1249" s="737">
        <f ca="1">MAX(0%,IF(U1249&lt;&gt;0,MIN((W1249-U1249)/U1249/'Underwriting Risk'!$E$27,'Premium and Reserve Risk'!$AC$1181),'Premium and Reserve Risk'!$AC$1181))</f>
        <v>0.2</v>
      </c>
      <c r="AD1249" s="81"/>
      <c r="AE1249" s="97"/>
      <c r="AF1249" s="97"/>
      <c r="AG1249" s="97"/>
      <c r="AH1249" s="97"/>
    </row>
    <row r="1250" spans="1:34" ht="13.5" customHeight="1" x14ac:dyDescent="0.25">
      <c r="A1250" s="97"/>
      <c r="B1250" s="257">
        <v>68</v>
      </c>
      <c r="C1250" s="652"/>
      <c r="D1250" s="80"/>
      <c r="E1250" s="80"/>
      <c r="F1250" s="258">
        <f t="shared" ca="1" si="39"/>
        <v>0</v>
      </c>
      <c r="G1250" s="624"/>
      <c r="H1250" s="85"/>
      <c r="I1250" s="624"/>
      <c r="J1250" s="85"/>
      <c r="K1250" s="624"/>
      <c r="L1250" s="85"/>
      <c r="M1250" s="624"/>
      <c r="N1250" s="85"/>
      <c r="O1250" s="624"/>
      <c r="P1250" s="85"/>
      <c r="Q1250" s="626">
        <f t="shared" si="37"/>
        <v>0</v>
      </c>
      <c r="R1250" s="85"/>
      <c r="S1250" s="624"/>
      <c r="T1250" s="260"/>
      <c r="U1250" s="624"/>
      <c r="V1250" s="85"/>
      <c r="W1250" s="624"/>
      <c r="X1250" s="81"/>
      <c r="Y1250" s="80"/>
      <c r="Z1250" s="737">
        <f ca="1">MAX(0%,IF(Q1250&lt;&gt;0,MIN((S1250-Q1250)/Q1250/'Underwriting Risk'!$E$27,'Premium and Reserve Risk'!$Z$1181),'Premium and Reserve Risk'!$Z$1181))</f>
        <v>0.17</v>
      </c>
      <c r="AA1250" s="80"/>
      <c r="AB1250" s="80"/>
      <c r="AC1250" s="737">
        <f ca="1">MAX(0%,IF(U1250&lt;&gt;0,MIN((W1250-U1250)/U1250/'Underwriting Risk'!$E$27,'Premium and Reserve Risk'!$AC$1181),'Premium and Reserve Risk'!$AC$1181))</f>
        <v>0.2</v>
      </c>
      <c r="AD1250" s="81"/>
      <c r="AE1250" s="97"/>
      <c r="AF1250" s="97"/>
      <c r="AG1250" s="97"/>
      <c r="AH1250" s="97"/>
    </row>
    <row r="1251" spans="1:34" ht="13.5" customHeight="1" x14ac:dyDescent="0.25">
      <c r="A1251" s="97"/>
      <c r="B1251" s="257">
        <v>69</v>
      </c>
      <c r="C1251" s="652"/>
      <c r="D1251" s="80"/>
      <c r="E1251" s="80"/>
      <c r="F1251" s="258">
        <f t="shared" ca="1" si="39"/>
        <v>0</v>
      </c>
      <c r="G1251" s="624"/>
      <c r="H1251" s="85"/>
      <c r="I1251" s="624"/>
      <c r="J1251" s="85"/>
      <c r="K1251" s="624"/>
      <c r="L1251" s="85"/>
      <c r="M1251" s="624"/>
      <c r="N1251" s="85"/>
      <c r="O1251" s="624"/>
      <c r="P1251" s="85"/>
      <c r="Q1251" s="626">
        <f t="shared" si="37"/>
        <v>0</v>
      </c>
      <c r="R1251" s="85"/>
      <c r="S1251" s="624"/>
      <c r="T1251" s="260"/>
      <c r="U1251" s="624"/>
      <c r="V1251" s="85"/>
      <c r="W1251" s="624"/>
      <c r="X1251" s="81"/>
      <c r="Y1251" s="80"/>
      <c r="Z1251" s="737">
        <f ca="1">MAX(0%,IF(Q1251&lt;&gt;0,MIN((S1251-Q1251)/Q1251/'Underwriting Risk'!$E$27,'Premium and Reserve Risk'!$Z$1181),'Premium and Reserve Risk'!$Z$1181))</f>
        <v>0.17</v>
      </c>
      <c r="AA1251" s="80"/>
      <c r="AB1251" s="80"/>
      <c r="AC1251" s="737">
        <f ca="1">MAX(0%,IF(U1251&lt;&gt;0,MIN((W1251-U1251)/U1251/'Underwriting Risk'!$E$27,'Premium and Reserve Risk'!$AC$1181),'Premium and Reserve Risk'!$AC$1181))</f>
        <v>0.2</v>
      </c>
      <c r="AD1251" s="81"/>
      <c r="AE1251" s="97"/>
      <c r="AF1251" s="97"/>
      <c r="AG1251" s="97"/>
      <c r="AH1251" s="97"/>
    </row>
    <row r="1252" spans="1:34" ht="13.5" customHeight="1" x14ac:dyDescent="0.25">
      <c r="A1252" s="97"/>
      <c r="B1252" s="257">
        <v>70</v>
      </c>
      <c r="C1252" s="652"/>
      <c r="D1252" s="80"/>
      <c r="E1252" s="80"/>
      <c r="F1252" s="258">
        <f t="shared" ca="1" si="39"/>
        <v>0</v>
      </c>
      <c r="G1252" s="624"/>
      <c r="H1252" s="85"/>
      <c r="I1252" s="624"/>
      <c r="J1252" s="85"/>
      <c r="K1252" s="624"/>
      <c r="L1252" s="85"/>
      <c r="M1252" s="624"/>
      <c r="N1252" s="85"/>
      <c r="O1252" s="624"/>
      <c r="P1252" s="85"/>
      <c r="Q1252" s="626">
        <f t="shared" si="37"/>
        <v>0</v>
      </c>
      <c r="R1252" s="85"/>
      <c r="S1252" s="624"/>
      <c r="T1252" s="260"/>
      <c r="U1252" s="624"/>
      <c r="V1252" s="85"/>
      <c r="W1252" s="624"/>
      <c r="X1252" s="81"/>
      <c r="Y1252" s="80"/>
      <c r="Z1252" s="737">
        <f ca="1">MAX(0%,IF(Q1252&lt;&gt;0,MIN((S1252-Q1252)/Q1252/'Underwriting Risk'!$E$27,'Premium and Reserve Risk'!$Z$1181),'Premium and Reserve Risk'!$Z$1181))</f>
        <v>0.17</v>
      </c>
      <c r="AA1252" s="80"/>
      <c r="AB1252" s="80"/>
      <c r="AC1252" s="737">
        <f ca="1">MAX(0%,IF(U1252&lt;&gt;0,MIN((W1252-U1252)/U1252/'Underwriting Risk'!$E$27,'Premium and Reserve Risk'!$AC$1181),'Premium and Reserve Risk'!$AC$1181))</f>
        <v>0.2</v>
      </c>
      <c r="AD1252" s="81"/>
      <c r="AE1252" s="97"/>
      <c r="AF1252" s="97"/>
      <c r="AG1252" s="97"/>
      <c r="AH1252" s="97"/>
    </row>
    <row r="1253" spans="1:34" ht="13.5" customHeight="1" x14ac:dyDescent="0.25">
      <c r="A1253" s="97"/>
      <c r="B1253" s="257">
        <v>71</v>
      </c>
      <c r="C1253" s="652"/>
      <c r="D1253" s="80"/>
      <c r="E1253" s="80"/>
      <c r="F1253" s="258">
        <f t="shared" ca="1" si="39"/>
        <v>0</v>
      </c>
      <c r="G1253" s="624"/>
      <c r="H1253" s="85"/>
      <c r="I1253" s="624"/>
      <c r="J1253" s="85"/>
      <c r="K1253" s="624"/>
      <c r="L1253" s="85"/>
      <c r="M1253" s="624"/>
      <c r="N1253" s="85"/>
      <c r="O1253" s="624"/>
      <c r="P1253" s="85"/>
      <c r="Q1253" s="626">
        <f t="shared" si="37"/>
        <v>0</v>
      </c>
      <c r="R1253" s="85"/>
      <c r="S1253" s="624"/>
      <c r="T1253" s="260"/>
      <c r="U1253" s="624"/>
      <c r="V1253" s="85"/>
      <c r="W1253" s="624"/>
      <c r="X1253" s="81"/>
      <c r="Y1253" s="80"/>
      <c r="Z1253" s="737">
        <f ca="1">MAX(0%,IF(Q1253&lt;&gt;0,MIN((S1253-Q1253)/Q1253/'Underwriting Risk'!$E$27,'Premium and Reserve Risk'!$Z$1181),'Premium and Reserve Risk'!$Z$1181))</f>
        <v>0.17</v>
      </c>
      <c r="AA1253" s="80"/>
      <c r="AB1253" s="80"/>
      <c r="AC1253" s="737">
        <f ca="1">MAX(0%,IF(U1253&lt;&gt;0,MIN((W1253-U1253)/U1253/'Underwriting Risk'!$E$27,'Premium and Reserve Risk'!$AC$1181),'Premium and Reserve Risk'!$AC$1181))</f>
        <v>0.2</v>
      </c>
      <c r="AD1253" s="81"/>
      <c r="AE1253" s="97"/>
      <c r="AF1253" s="97"/>
      <c r="AG1253" s="97"/>
      <c r="AH1253" s="97"/>
    </row>
    <row r="1254" spans="1:34" ht="13.5" customHeight="1" x14ac:dyDescent="0.25">
      <c r="A1254" s="97"/>
      <c r="B1254" s="257">
        <v>72</v>
      </c>
      <c r="C1254" s="652"/>
      <c r="D1254" s="80"/>
      <c r="E1254" s="80"/>
      <c r="F1254" s="258">
        <f t="shared" ca="1" si="39"/>
        <v>0</v>
      </c>
      <c r="G1254" s="624"/>
      <c r="H1254" s="85"/>
      <c r="I1254" s="624"/>
      <c r="J1254" s="85"/>
      <c r="K1254" s="624"/>
      <c r="L1254" s="85"/>
      <c r="M1254" s="624"/>
      <c r="N1254" s="85"/>
      <c r="O1254" s="624"/>
      <c r="P1254" s="85"/>
      <c r="Q1254" s="626">
        <f t="shared" si="37"/>
        <v>0</v>
      </c>
      <c r="R1254" s="85"/>
      <c r="S1254" s="624"/>
      <c r="T1254" s="260"/>
      <c r="U1254" s="624"/>
      <c r="V1254" s="85"/>
      <c r="W1254" s="624"/>
      <c r="X1254" s="81"/>
      <c r="Y1254" s="80"/>
      <c r="Z1254" s="737">
        <f ca="1">MAX(0%,IF(Q1254&lt;&gt;0,MIN((S1254-Q1254)/Q1254/'Underwriting Risk'!$E$27,'Premium and Reserve Risk'!$Z$1181),'Premium and Reserve Risk'!$Z$1181))</f>
        <v>0.17</v>
      </c>
      <c r="AA1254" s="80"/>
      <c r="AB1254" s="80"/>
      <c r="AC1254" s="737">
        <f ca="1">MAX(0%,IF(U1254&lt;&gt;0,MIN((W1254-U1254)/U1254/'Underwriting Risk'!$E$27,'Premium and Reserve Risk'!$AC$1181),'Premium and Reserve Risk'!$AC$1181))</f>
        <v>0.2</v>
      </c>
      <c r="AD1254" s="81"/>
      <c r="AE1254" s="97"/>
      <c r="AF1254" s="97"/>
      <c r="AG1254" s="97"/>
      <c r="AH1254" s="97"/>
    </row>
    <row r="1255" spans="1:34" ht="13.5" customHeight="1" x14ac:dyDescent="0.25">
      <c r="A1255" s="97"/>
      <c r="B1255" s="257">
        <v>73</v>
      </c>
      <c r="C1255" s="652"/>
      <c r="D1255" s="80"/>
      <c r="E1255" s="80"/>
      <c r="F1255" s="258">
        <f t="shared" ca="1" si="39"/>
        <v>0</v>
      </c>
      <c r="G1255" s="624"/>
      <c r="H1255" s="85"/>
      <c r="I1255" s="624"/>
      <c r="J1255" s="85"/>
      <c r="K1255" s="624"/>
      <c r="L1255" s="85"/>
      <c r="M1255" s="624"/>
      <c r="N1255" s="85"/>
      <c r="O1255" s="624"/>
      <c r="P1255" s="85"/>
      <c r="Q1255" s="626">
        <f t="shared" si="37"/>
        <v>0</v>
      </c>
      <c r="R1255" s="85"/>
      <c r="S1255" s="624"/>
      <c r="T1255" s="260"/>
      <c r="U1255" s="624"/>
      <c r="V1255" s="85"/>
      <c r="W1255" s="624"/>
      <c r="X1255" s="81"/>
      <c r="Y1255" s="80"/>
      <c r="Z1255" s="737">
        <f ca="1">MAX(0%,IF(Q1255&lt;&gt;0,MIN((S1255-Q1255)/Q1255/'Underwriting Risk'!$E$27,'Premium and Reserve Risk'!$Z$1181),'Premium and Reserve Risk'!$Z$1181))</f>
        <v>0.17</v>
      </c>
      <c r="AA1255" s="80"/>
      <c r="AB1255" s="80"/>
      <c r="AC1255" s="737">
        <f ca="1">MAX(0%,IF(U1255&lt;&gt;0,MIN((W1255-U1255)/U1255/'Underwriting Risk'!$E$27,'Premium and Reserve Risk'!$AC$1181),'Premium and Reserve Risk'!$AC$1181))</f>
        <v>0.2</v>
      </c>
      <c r="AD1255" s="81"/>
      <c r="AE1255" s="97"/>
      <c r="AF1255" s="97"/>
      <c r="AG1255" s="97"/>
      <c r="AH1255" s="97"/>
    </row>
    <row r="1256" spans="1:34" ht="13.5" customHeight="1" x14ac:dyDescent="0.25">
      <c r="A1256" s="97"/>
      <c r="B1256" s="257">
        <v>74</v>
      </c>
      <c r="C1256" s="652"/>
      <c r="D1256" s="80"/>
      <c r="E1256" s="80"/>
      <c r="F1256" s="258">
        <f t="shared" ca="1" si="39"/>
        <v>0</v>
      </c>
      <c r="G1256" s="624"/>
      <c r="H1256" s="85"/>
      <c r="I1256" s="624"/>
      <c r="J1256" s="85"/>
      <c r="K1256" s="624"/>
      <c r="L1256" s="85"/>
      <c r="M1256" s="624"/>
      <c r="N1256" s="85"/>
      <c r="O1256" s="624"/>
      <c r="P1256" s="85"/>
      <c r="Q1256" s="626">
        <f t="shared" si="37"/>
        <v>0</v>
      </c>
      <c r="R1256" s="85"/>
      <c r="S1256" s="624"/>
      <c r="T1256" s="260"/>
      <c r="U1256" s="624"/>
      <c r="V1256" s="85"/>
      <c r="W1256" s="624"/>
      <c r="X1256" s="81"/>
      <c r="Y1256" s="80"/>
      <c r="Z1256" s="737">
        <f ca="1">MAX(0%,IF(Q1256&lt;&gt;0,MIN((S1256-Q1256)/Q1256/'Underwriting Risk'!$E$27,'Premium and Reserve Risk'!$Z$1181),'Premium and Reserve Risk'!$Z$1181))</f>
        <v>0.17</v>
      </c>
      <c r="AA1256" s="80"/>
      <c r="AB1256" s="80"/>
      <c r="AC1256" s="737">
        <f ca="1">MAX(0%,IF(U1256&lt;&gt;0,MIN((W1256-U1256)/U1256/'Underwriting Risk'!$E$27,'Premium and Reserve Risk'!$AC$1181),'Premium and Reserve Risk'!$AC$1181))</f>
        <v>0.2</v>
      </c>
      <c r="AD1256" s="81"/>
      <c r="AE1256" s="97"/>
      <c r="AF1256" s="97"/>
      <c r="AG1256" s="97"/>
      <c r="AH1256" s="97"/>
    </row>
    <row r="1257" spans="1:34" ht="13.5" customHeight="1" x14ac:dyDescent="0.25">
      <c r="A1257" s="97"/>
      <c r="B1257" s="257">
        <v>75</v>
      </c>
      <c r="C1257" s="652"/>
      <c r="D1257" s="80"/>
      <c r="E1257" s="80"/>
      <c r="F1257" s="258">
        <f t="shared" ca="1" si="39"/>
        <v>0</v>
      </c>
      <c r="G1257" s="624"/>
      <c r="H1257" s="85"/>
      <c r="I1257" s="624"/>
      <c r="J1257" s="85"/>
      <c r="K1257" s="624"/>
      <c r="L1257" s="85"/>
      <c r="M1257" s="624"/>
      <c r="N1257" s="85"/>
      <c r="O1257" s="624"/>
      <c r="P1257" s="85"/>
      <c r="Q1257" s="626">
        <f t="shared" si="37"/>
        <v>0</v>
      </c>
      <c r="R1257" s="85"/>
      <c r="S1257" s="624"/>
      <c r="T1257" s="260"/>
      <c r="U1257" s="624"/>
      <c r="V1257" s="85"/>
      <c r="W1257" s="624"/>
      <c r="X1257" s="81"/>
      <c r="Y1257" s="80"/>
      <c r="Z1257" s="737">
        <f ca="1">MAX(0%,IF(Q1257&lt;&gt;0,MIN((S1257-Q1257)/Q1257/'Underwriting Risk'!$E$27,'Premium and Reserve Risk'!$Z$1181),'Premium and Reserve Risk'!$Z$1181))</f>
        <v>0.17</v>
      </c>
      <c r="AA1257" s="80"/>
      <c r="AB1257" s="80"/>
      <c r="AC1257" s="737">
        <f ca="1">MAX(0%,IF(U1257&lt;&gt;0,MIN((W1257-U1257)/U1257/'Underwriting Risk'!$E$27,'Premium and Reserve Risk'!$AC$1181),'Premium and Reserve Risk'!$AC$1181))</f>
        <v>0.2</v>
      </c>
      <c r="AD1257" s="81"/>
      <c r="AE1257" s="97"/>
      <c r="AF1257" s="97"/>
      <c r="AG1257" s="97"/>
      <c r="AH1257" s="97"/>
    </row>
    <row r="1258" spans="1:34" ht="13.5" customHeight="1" x14ac:dyDescent="0.25">
      <c r="A1258" s="97"/>
      <c r="B1258" s="257">
        <v>76</v>
      </c>
      <c r="C1258" s="652"/>
      <c r="D1258" s="80"/>
      <c r="E1258" s="80"/>
      <c r="F1258" s="258">
        <f t="shared" ca="1" si="39"/>
        <v>0</v>
      </c>
      <c r="G1258" s="624"/>
      <c r="H1258" s="85"/>
      <c r="I1258" s="624"/>
      <c r="J1258" s="85"/>
      <c r="K1258" s="624"/>
      <c r="L1258" s="85"/>
      <c r="M1258" s="624"/>
      <c r="N1258" s="85"/>
      <c r="O1258" s="624"/>
      <c r="P1258" s="85"/>
      <c r="Q1258" s="626">
        <f t="shared" si="37"/>
        <v>0</v>
      </c>
      <c r="R1258" s="85"/>
      <c r="S1258" s="624"/>
      <c r="T1258" s="260"/>
      <c r="U1258" s="624"/>
      <c r="V1258" s="85"/>
      <c r="W1258" s="624"/>
      <c r="X1258" s="81"/>
      <c r="Y1258" s="80"/>
      <c r="Z1258" s="737">
        <f ca="1">MAX(0%,IF(Q1258&lt;&gt;0,MIN((S1258-Q1258)/Q1258/'Underwriting Risk'!$E$27,'Premium and Reserve Risk'!$Z$1181),'Premium and Reserve Risk'!$Z$1181))</f>
        <v>0.17</v>
      </c>
      <c r="AA1258" s="80"/>
      <c r="AB1258" s="80"/>
      <c r="AC1258" s="737">
        <f ca="1">MAX(0%,IF(U1258&lt;&gt;0,MIN((W1258-U1258)/U1258/'Underwriting Risk'!$E$27,'Premium and Reserve Risk'!$AC$1181),'Premium and Reserve Risk'!$AC$1181))</f>
        <v>0.2</v>
      </c>
      <c r="AD1258" s="81"/>
      <c r="AE1258" s="97"/>
      <c r="AF1258" s="97"/>
      <c r="AG1258" s="97"/>
      <c r="AH1258" s="97"/>
    </row>
    <row r="1259" spans="1:34" ht="13.5" customHeight="1" x14ac:dyDescent="0.25">
      <c r="A1259" s="97"/>
      <c r="B1259" s="257">
        <v>77</v>
      </c>
      <c r="C1259" s="652"/>
      <c r="D1259" s="80"/>
      <c r="E1259" s="80"/>
      <c r="F1259" s="258">
        <f t="shared" ca="1" si="39"/>
        <v>0</v>
      </c>
      <c r="G1259" s="624"/>
      <c r="H1259" s="85"/>
      <c r="I1259" s="624"/>
      <c r="J1259" s="85"/>
      <c r="K1259" s="624"/>
      <c r="L1259" s="85"/>
      <c r="M1259" s="624"/>
      <c r="N1259" s="85"/>
      <c r="O1259" s="624"/>
      <c r="P1259" s="85"/>
      <c r="Q1259" s="626">
        <f t="shared" si="37"/>
        <v>0</v>
      </c>
      <c r="R1259" s="85"/>
      <c r="S1259" s="624"/>
      <c r="T1259" s="260"/>
      <c r="U1259" s="624"/>
      <c r="V1259" s="85"/>
      <c r="W1259" s="624"/>
      <c r="X1259" s="81"/>
      <c r="Y1259" s="80"/>
      <c r="Z1259" s="737">
        <f ca="1">MAX(0%,IF(Q1259&lt;&gt;0,MIN((S1259-Q1259)/Q1259/'Underwriting Risk'!$E$27,'Premium and Reserve Risk'!$Z$1181),'Premium and Reserve Risk'!$Z$1181))</f>
        <v>0.17</v>
      </c>
      <c r="AA1259" s="80"/>
      <c r="AB1259" s="80"/>
      <c r="AC1259" s="737">
        <f ca="1">MAX(0%,IF(U1259&lt;&gt;0,MIN((W1259-U1259)/U1259/'Underwriting Risk'!$E$27,'Premium and Reserve Risk'!$AC$1181),'Premium and Reserve Risk'!$AC$1181))</f>
        <v>0.2</v>
      </c>
      <c r="AD1259" s="81"/>
      <c r="AE1259" s="97"/>
      <c r="AF1259" s="97"/>
      <c r="AG1259" s="97"/>
      <c r="AH1259" s="97"/>
    </row>
    <row r="1260" spans="1:34" ht="13.5" customHeight="1" x14ac:dyDescent="0.25">
      <c r="A1260" s="97"/>
      <c r="B1260" s="257">
        <v>78</v>
      </c>
      <c r="C1260" s="652"/>
      <c r="D1260" s="80"/>
      <c r="E1260" s="80"/>
      <c r="F1260" s="258">
        <f t="shared" ca="1" si="39"/>
        <v>0</v>
      </c>
      <c r="G1260" s="624"/>
      <c r="H1260" s="85"/>
      <c r="I1260" s="624"/>
      <c r="J1260" s="85"/>
      <c r="K1260" s="624"/>
      <c r="L1260" s="85"/>
      <c r="M1260" s="624"/>
      <c r="N1260" s="85"/>
      <c r="O1260" s="624"/>
      <c r="P1260" s="85"/>
      <c r="Q1260" s="626">
        <f t="shared" si="37"/>
        <v>0</v>
      </c>
      <c r="R1260" s="85"/>
      <c r="S1260" s="624"/>
      <c r="T1260" s="260"/>
      <c r="U1260" s="624"/>
      <c r="V1260" s="85"/>
      <c r="W1260" s="624"/>
      <c r="X1260" s="81"/>
      <c r="Y1260" s="80"/>
      <c r="Z1260" s="737">
        <f ca="1">MAX(0%,IF(Q1260&lt;&gt;0,MIN((S1260-Q1260)/Q1260/'Underwriting Risk'!$E$27,'Premium and Reserve Risk'!$Z$1181),'Premium and Reserve Risk'!$Z$1181))</f>
        <v>0.17</v>
      </c>
      <c r="AA1260" s="80"/>
      <c r="AB1260" s="80"/>
      <c r="AC1260" s="737">
        <f ca="1">MAX(0%,IF(U1260&lt;&gt;0,MIN((W1260-U1260)/U1260/'Underwriting Risk'!$E$27,'Premium and Reserve Risk'!$AC$1181),'Premium and Reserve Risk'!$AC$1181))</f>
        <v>0.2</v>
      </c>
      <c r="AD1260" s="81"/>
      <c r="AE1260" s="97"/>
      <c r="AF1260" s="97"/>
      <c r="AG1260" s="97"/>
      <c r="AH1260" s="97"/>
    </row>
    <row r="1261" spans="1:34" ht="13.5" customHeight="1" x14ac:dyDescent="0.25">
      <c r="A1261" s="97"/>
      <c r="B1261" s="257">
        <v>79</v>
      </c>
      <c r="C1261" s="652"/>
      <c r="D1261" s="80"/>
      <c r="E1261" s="80"/>
      <c r="F1261" s="258">
        <f t="shared" ca="1" si="39"/>
        <v>0</v>
      </c>
      <c r="G1261" s="624"/>
      <c r="H1261" s="85"/>
      <c r="I1261" s="624"/>
      <c r="J1261" s="85"/>
      <c r="K1261" s="624"/>
      <c r="L1261" s="85"/>
      <c r="M1261" s="624"/>
      <c r="N1261" s="85"/>
      <c r="O1261" s="624"/>
      <c r="P1261" s="85"/>
      <c r="Q1261" s="626">
        <f t="shared" si="37"/>
        <v>0</v>
      </c>
      <c r="R1261" s="85"/>
      <c r="S1261" s="624"/>
      <c r="T1261" s="260"/>
      <c r="U1261" s="624"/>
      <c r="V1261" s="85"/>
      <c r="W1261" s="624"/>
      <c r="X1261" s="81"/>
      <c r="Y1261" s="80"/>
      <c r="Z1261" s="737">
        <f ca="1">MAX(0%,IF(Q1261&lt;&gt;0,MIN((S1261-Q1261)/Q1261/'Underwriting Risk'!$E$27,'Premium and Reserve Risk'!$Z$1181),'Premium and Reserve Risk'!$Z$1181))</f>
        <v>0.17</v>
      </c>
      <c r="AA1261" s="80"/>
      <c r="AB1261" s="80"/>
      <c r="AC1261" s="737">
        <f ca="1">MAX(0%,IF(U1261&lt;&gt;0,MIN((W1261-U1261)/U1261/'Underwriting Risk'!$E$27,'Premium and Reserve Risk'!$AC$1181),'Premium and Reserve Risk'!$AC$1181))</f>
        <v>0.2</v>
      </c>
      <c r="AD1261" s="81"/>
      <c r="AE1261" s="97"/>
      <c r="AF1261" s="97"/>
      <c r="AG1261" s="97"/>
      <c r="AH1261" s="97"/>
    </row>
    <row r="1262" spans="1:34" ht="13.5" customHeight="1" x14ac:dyDescent="0.25">
      <c r="A1262" s="97"/>
      <c r="B1262" s="257">
        <v>80</v>
      </c>
      <c r="C1262" s="652"/>
      <c r="D1262" s="80"/>
      <c r="E1262" s="80"/>
      <c r="F1262" s="258">
        <f t="shared" ca="1" si="39"/>
        <v>0</v>
      </c>
      <c r="G1262" s="624"/>
      <c r="H1262" s="85"/>
      <c r="I1262" s="624"/>
      <c r="J1262" s="85"/>
      <c r="K1262" s="624"/>
      <c r="L1262" s="85"/>
      <c r="M1262" s="624"/>
      <c r="N1262" s="85"/>
      <c r="O1262" s="624"/>
      <c r="P1262" s="85"/>
      <c r="Q1262" s="626">
        <f t="shared" si="37"/>
        <v>0</v>
      </c>
      <c r="R1262" s="85"/>
      <c r="S1262" s="624"/>
      <c r="T1262" s="260"/>
      <c r="U1262" s="624"/>
      <c r="V1262" s="85"/>
      <c r="W1262" s="624"/>
      <c r="X1262" s="81"/>
      <c r="Y1262" s="80"/>
      <c r="Z1262" s="737">
        <f ca="1">MAX(0%,IF(Q1262&lt;&gt;0,MIN((S1262-Q1262)/Q1262/'Underwriting Risk'!$E$27,'Premium and Reserve Risk'!$Z$1181),'Premium and Reserve Risk'!$Z$1181))</f>
        <v>0.17</v>
      </c>
      <c r="AA1262" s="80"/>
      <c r="AB1262" s="80"/>
      <c r="AC1262" s="737">
        <f ca="1">MAX(0%,IF(U1262&lt;&gt;0,MIN((W1262-U1262)/U1262/'Underwriting Risk'!$E$27,'Premium and Reserve Risk'!$AC$1181),'Premium and Reserve Risk'!$AC$1181))</f>
        <v>0.2</v>
      </c>
      <c r="AD1262" s="81"/>
      <c r="AE1262" s="97"/>
      <c r="AF1262" s="97"/>
      <c r="AG1262" s="97"/>
      <c r="AH1262" s="97"/>
    </row>
    <row r="1263" spans="1:34" ht="13.5" customHeight="1" x14ac:dyDescent="0.25">
      <c r="A1263" s="97"/>
      <c r="B1263" s="257">
        <v>81</v>
      </c>
      <c r="C1263" s="652"/>
      <c r="D1263" s="80"/>
      <c r="E1263" s="80"/>
      <c r="F1263" s="258">
        <f t="shared" ca="1" si="39"/>
        <v>0</v>
      </c>
      <c r="G1263" s="624"/>
      <c r="H1263" s="85"/>
      <c r="I1263" s="624"/>
      <c r="J1263" s="85"/>
      <c r="K1263" s="624"/>
      <c r="L1263" s="85"/>
      <c r="M1263" s="624"/>
      <c r="N1263" s="85"/>
      <c r="O1263" s="624"/>
      <c r="P1263" s="85"/>
      <c r="Q1263" s="626">
        <f t="shared" si="37"/>
        <v>0</v>
      </c>
      <c r="R1263" s="85"/>
      <c r="S1263" s="624"/>
      <c r="T1263" s="260"/>
      <c r="U1263" s="624"/>
      <c r="V1263" s="85"/>
      <c r="W1263" s="624"/>
      <c r="X1263" s="81"/>
      <c r="Y1263" s="80"/>
      <c r="Z1263" s="737">
        <f ca="1">MAX(0%,IF(Q1263&lt;&gt;0,MIN((S1263-Q1263)/Q1263/'Underwriting Risk'!$E$27,'Premium and Reserve Risk'!$Z$1181),'Premium and Reserve Risk'!$Z$1181))</f>
        <v>0.17</v>
      </c>
      <c r="AA1263" s="80"/>
      <c r="AB1263" s="80"/>
      <c r="AC1263" s="737">
        <f ca="1">MAX(0%,IF(U1263&lt;&gt;0,MIN((W1263-U1263)/U1263/'Underwriting Risk'!$E$27,'Premium and Reserve Risk'!$AC$1181),'Premium and Reserve Risk'!$AC$1181))</f>
        <v>0.2</v>
      </c>
      <c r="AD1263" s="81"/>
      <c r="AE1263" s="97"/>
      <c r="AF1263" s="97"/>
      <c r="AG1263" s="97"/>
      <c r="AH1263" s="97"/>
    </row>
    <row r="1264" spans="1:34" ht="13.5" customHeight="1" x14ac:dyDescent="0.25">
      <c r="A1264" s="97"/>
      <c r="B1264" s="257">
        <v>82</v>
      </c>
      <c r="C1264" s="652"/>
      <c r="D1264" s="80"/>
      <c r="E1264" s="80"/>
      <c r="F1264" s="258">
        <f t="shared" ca="1" si="39"/>
        <v>0</v>
      </c>
      <c r="G1264" s="624"/>
      <c r="H1264" s="85"/>
      <c r="I1264" s="624"/>
      <c r="J1264" s="85"/>
      <c r="K1264" s="624"/>
      <c r="L1264" s="85"/>
      <c r="M1264" s="624"/>
      <c r="N1264" s="85"/>
      <c r="O1264" s="624"/>
      <c r="P1264" s="85"/>
      <c r="Q1264" s="626">
        <f t="shared" si="37"/>
        <v>0</v>
      </c>
      <c r="R1264" s="85"/>
      <c r="S1264" s="624"/>
      <c r="T1264" s="260"/>
      <c r="U1264" s="624"/>
      <c r="V1264" s="85"/>
      <c r="W1264" s="624"/>
      <c r="X1264" s="81"/>
      <c r="Y1264" s="80"/>
      <c r="Z1264" s="737">
        <f ca="1">MAX(0%,IF(Q1264&lt;&gt;0,MIN((S1264-Q1264)/Q1264/'Underwriting Risk'!$E$27,'Premium and Reserve Risk'!$Z$1181),'Premium and Reserve Risk'!$Z$1181))</f>
        <v>0.17</v>
      </c>
      <c r="AA1264" s="80"/>
      <c r="AB1264" s="80"/>
      <c r="AC1264" s="737">
        <f ca="1">MAX(0%,IF(U1264&lt;&gt;0,MIN((W1264-U1264)/U1264/'Underwriting Risk'!$E$27,'Premium and Reserve Risk'!$AC$1181),'Premium and Reserve Risk'!$AC$1181))</f>
        <v>0.2</v>
      </c>
      <c r="AD1264" s="81"/>
      <c r="AE1264" s="97"/>
      <c r="AF1264" s="97"/>
      <c r="AG1264" s="97"/>
      <c r="AH1264" s="97"/>
    </row>
    <row r="1265" spans="1:34" ht="13.5" customHeight="1" x14ac:dyDescent="0.25">
      <c r="A1265" s="97"/>
      <c r="B1265" s="257">
        <v>83</v>
      </c>
      <c r="C1265" s="652"/>
      <c r="D1265" s="80"/>
      <c r="E1265" s="80"/>
      <c r="F1265" s="258">
        <f t="shared" ca="1" si="39"/>
        <v>0</v>
      </c>
      <c r="G1265" s="624"/>
      <c r="H1265" s="85"/>
      <c r="I1265" s="624"/>
      <c r="J1265" s="85"/>
      <c r="K1265" s="624"/>
      <c r="L1265" s="85"/>
      <c r="M1265" s="624"/>
      <c r="N1265" s="85"/>
      <c r="O1265" s="624"/>
      <c r="P1265" s="85"/>
      <c r="Q1265" s="626">
        <f t="shared" si="37"/>
        <v>0</v>
      </c>
      <c r="R1265" s="85"/>
      <c r="S1265" s="624"/>
      <c r="T1265" s="260"/>
      <c r="U1265" s="624"/>
      <c r="V1265" s="85"/>
      <c r="W1265" s="624"/>
      <c r="X1265" s="81"/>
      <c r="Y1265" s="80"/>
      <c r="Z1265" s="737">
        <f ca="1">MAX(0%,IF(Q1265&lt;&gt;0,MIN((S1265-Q1265)/Q1265/'Underwriting Risk'!$E$27,'Premium and Reserve Risk'!$Z$1181),'Premium and Reserve Risk'!$Z$1181))</f>
        <v>0.17</v>
      </c>
      <c r="AA1265" s="80"/>
      <c r="AB1265" s="80"/>
      <c r="AC1265" s="737">
        <f ca="1">MAX(0%,IF(U1265&lt;&gt;0,MIN((W1265-U1265)/U1265/'Underwriting Risk'!$E$27,'Premium and Reserve Risk'!$AC$1181),'Premium and Reserve Risk'!$AC$1181))</f>
        <v>0.2</v>
      </c>
      <c r="AD1265" s="81"/>
      <c r="AE1265" s="97"/>
      <c r="AF1265" s="97"/>
      <c r="AG1265" s="97"/>
      <c r="AH1265" s="97"/>
    </row>
    <row r="1266" spans="1:34" ht="13.5" customHeight="1" x14ac:dyDescent="0.25">
      <c r="A1266" s="97"/>
      <c r="B1266" s="257">
        <v>84</v>
      </c>
      <c r="C1266" s="652"/>
      <c r="D1266" s="80"/>
      <c r="E1266" s="80"/>
      <c r="F1266" s="258">
        <f t="shared" ca="1" si="39"/>
        <v>0</v>
      </c>
      <c r="G1266" s="624"/>
      <c r="H1266" s="85"/>
      <c r="I1266" s="624"/>
      <c r="J1266" s="85"/>
      <c r="K1266" s="624"/>
      <c r="L1266" s="85"/>
      <c r="M1266" s="624"/>
      <c r="N1266" s="85"/>
      <c r="O1266" s="624"/>
      <c r="P1266" s="85"/>
      <c r="Q1266" s="626">
        <f t="shared" si="37"/>
        <v>0</v>
      </c>
      <c r="R1266" s="85"/>
      <c r="S1266" s="624"/>
      <c r="T1266" s="260"/>
      <c r="U1266" s="624"/>
      <c r="V1266" s="85"/>
      <c r="W1266" s="624"/>
      <c r="X1266" s="81"/>
      <c r="Y1266" s="80"/>
      <c r="Z1266" s="737">
        <f ca="1">MAX(0%,IF(Q1266&lt;&gt;0,MIN((S1266-Q1266)/Q1266/'Underwriting Risk'!$E$27,'Premium and Reserve Risk'!$Z$1181),'Premium and Reserve Risk'!$Z$1181))</f>
        <v>0.17</v>
      </c>
      <c r="AA1266" s="80"/>
      <c r="AB1266" s="80"/>
      <c r="AC1266" s="737">
        <f ca="1">MAX(0%,IF(U1266&lt;&gt;0,MIN((W1266-U1266)/U1266/'Underwriting Risk'!$E$27,'Premium and Reserve Risk'!$AC$1181),'Premium and Reserve Risk'!$AC$1181))</f>
        <v>0.2</v>
      </c>
      <c r="AD1266" s="81"/>
      <c r="AE1266" s="97"/>
      <c r="AF1266" s="97"/>
      <c r="AG1266" s="97"/>
      <c r="AH1266" s="97"/>
    </row>
    <row r="1267" spans="1:34" ht="13.5" customHeight="1" x14ac:dyDescent="0.25">
      <c r="A1267" s="97"/>
      <c r="B1267" s="257">
        <v>85</v>
      </c>
      <c r="C1267" s="652"/>
      <c r="D1267" s="80"/>
      <c r="E1267" s="80"/>
      <c r="F1267" s="258">
        <f t="shared" ca="1" si="39"/>
        <v>0</v>
      </c>
      <c r="G1267" s="624"/>
      <c r="H1267" s="85"/>
      <c r="I1267" s="624"/>
      <c r="J1267" s="85"/>
      <c r="K1267" s="624"/>
      <c r="L1267" s="85"/>
      <c r="M1267" s="624"/>
      <c r="N1267" s="85"/>
      <c r="O1267" s="624"/>
      <c r="P1267" s="85"/>
      <c r="Q1267" s="626">
        <f t="shared" si="37"/>
        <v>0</v>
      </c>
      <c r="R1267" s="85"/>
      <c r="S1267" s="624"/>
      <c r="T1267" s="260"/>
      <c r="U1267" s="624"/>
      <c r="V1267" s="85"/>
      <c r="W1267" s="624"/>
      <c r="X1267" s="81"/>
      <c r="Y1267" s="80"/>
      <c r="Z1267" s="737">
        <f ca="1">MAX(0%,IF(Q1267&lt;&gt;0,MIN((S1267-Q1267)/Q1267/'Underwriting Risk'!$E$27,'Premium and Reserve Risk'!$Z$1181),'Premium and Reserve Risk'!$Z$1181))</f>
        <v>0.17</v>
      </c>
      <c r="AA1267" s="80"/>
      <c r="AB1267" s="80"/>
      <c r="AC1267" s="737">
        <f ca="1">MAX(0%,IF(U1267&lt;&gt;0,MIN((W1267-U1267)/U1267/'Underwriting Risk'!$E$27,'Premium and Reserve Risk'!$AC$1181),'Premium and Reserve Risk'!$AC$1181))</f>
        <v>0.2</v>
      </c>
      <c r="AD1267" s="81"/>
      <c r="AE1267" s="97"/>
      <c r="AF1267" s="97"/>
      <c r="AG1267" s="97"/>
      <c r="AH1267" s="97"/>
    </row>
    <row r="1268" spans="1:34" ht="13.5" customHeight="1" x14ac:dyDescent="0.25">
      <c r="A1268" s="97"/>
      <c r="B1268" s="257">
        <v>86</v>
      </c>
      <c r="C1268" s="652"/>
      <c r="D1268" s="80"/>
      <c r="E1268" s="80"/>
      <c r="F1268" s="258">
        <f t="shared" ca="1" si="39"/>
        <v>0</v>
      </c>
      <c r="G1268" s="624"/>
      <c r="H1268" s="85"/>
      <c r="I1268" s="624"/>
      <c r="J1268" s="85"/>
      <c r="K1268" s="624"/>
      <c r="L1268" s="85"/>
      <c r="M1268" s="624"/>
      <c r="N1268" s="85"/>
      <c r="O1268" s="624"/>
      <c r="P1268" s="85"/>
      <c r="Q1268" s="626">
        <f t="shared" si="37"/>
        <v>0</v>
      </c>
      <c r="R1268" s="85"/>
      <c r="S1268" s="624"/>
      <c r="T1268" s="260"/>
      <c r="U1268" s="624"/>
      <c r="V1268" s="85"/>
      <c r="W1268" s="624"/>
      <c r="X1268" s="81"/>
      <c r="Y1268" s="80"/>
      <c r="Z1268" s="737">
        <f ca="1">MAX(0%,IF(Q1268&lt;&gt;0,MIN((S1268-Q1268)/Q1268/'Underwriting Risk'!$E$27,'Premium and Reserve Risk'!$Z$1181),'Premium and Reserve Risk'!$Z$1181))</f>
        <v>0.17</v>
      </c>
      <c r="AA1268" s="80"/>
      <c r="AB1268" s="80"/>
      <c r="AC1268" s="737">
        <f ca="1">MAX(0%,IF(U1268&lt;&gt;0,MIN((W1268-U1268)/U1268/'Underwriting Risk'!$E$27,'Premium and Reserve Risk'!$AC$1181),'Premium and Reserve Risk'!$AC$1181))</f>
        <v>0.2</v>
      </c>
      <c r="AD1268" s="81"/>
      <c r="AE1268" s="97"/>
      <c r="AF1268" s="97"/>
      <c r="AG1268" s="97"/>
      <c r="AH1268" s="97"/>
    </row>
    <row r="1269" spans="1:34" ht="13.5" customHeight="1" x14ac:dyDescent="0.25">
      <c r="A1269" s="97"/>
      <c r="B1269" s="257">
        <v>87</v>
      </c>
      <c r="C1269" s="652"/>
      <c r="D1269" s="80"/>
      <c r="E1269" s="80"/>
      <c r="F1269" s="258">
        <f t="shared" ca="1" si="39"/>
        <v>0</v>
      </c>
      <c r="G1269" s="624"/>
      <c r="H1269" s="85"/>
      <c r="I1269" s="624"/>
      <c r="J1269" s="85"/>
      <c r="K1269" s="624"/>
      <c r="L1269" s="85"/>
      <c r="M1269" s="624"/>
      <c r="N1269" s="85"/>
      <c r="O1269" s="624"/>
      <c r="P1269" s="85"/>
      <c r="Q1269" s="626">
        <f t="shared" si="37"/>
        <v>0</v>
      </c>
      <c r="R1269" s="85"/>
      <c r="S1269" s="624"/>
      <c r="T1269" s="260"/>
      <c r="U1269" s="624"/>
      <c r="V1269" s="85"/>
      <c r="W1269" s="624"/>
      <c r="X1269" s="81"/>
      <c r="Y1269" s="80"/>
      <c r="Z1269" s="737">
        <f ca="1">MAX(0%,IF(Q1269&lt;&gt;0,MIN((S1269-Q1269)/Q1269/'Underwriting Risk'!$E$27,'Premium and Reserve Risk'!$Z$1181),'Premium and Reserve Risk'!$Z$1181))</f>
        <v>0.17</v>
      </c>
      <c r="AA1269" s="80"/>
      <c r="AB1269" s="80"/>
      <c r="AC1269" s="737">
        <f ca="1">MAX(0%,IF(U1269&lt;&gt;0,MIN((W1269-U1269)/U1269/'Underwriting Risk'!$E$27,'Premium and Reserve Risk'!$AC$1181),'Premium and Reserve Risk'!$AC$1181))</f>
        <v>0.2</v>
      </c>
      <c r="AD1269" s="81"/>
      <c r="AE1269" s="97"/>
      <c r="AF1269" s="97"/>
      <c r="AG1269" s="97"/>
      <c r="AH1269" s="97"/>
    </row>
    <row r="1270" spans="1:34" ht="13.5" customHeight="1" x14ac:dyDescent="0.25">
      <c r="A1270" s="97"/>
      <c r="B1270" s="257">
        <v>88</v>
      </c>
      <c r="C1270" s="652"/>
      <c r="D1270" s="80"/>
      <c r="E1270" s="80"/>
      <c r="F1270" s="258">
        <f t="shared" ca="1" si="39"/>
        <v>0</v>
      </c>
      <c r="G1270" s="624"/>
      <c r="H1270" s="85"/>
      <c r="I1270" s="624"/>
      <c r="J1270" s="85"/>
      <c r="K1270" s="624"/>
      <c r="L1270" s="85"/>
      <c r="M1270" s="624"/>
      <c r="N1270" s="85"/>
      <c r="O1270" s="624"/>
      <c r="P1270" s="85"/>
      <c r="Q1270" s="626">
        <f t="shared" si="37"/>
        <v>0</v>
      </c>
      <c r="R1270" s="85"/>
      <c r="S1270" s="624"/>
      <c r="T1270" s="260"/>
      <c r="U1270" s="624"/>
      <c r="V1270" s="85"/>
      <c r="W1270" s="624"/>
      <c r="X1270" s="81"/>
      <c r="Y1270" s="80"/>
      <c r="Z1270" s="737">
        <f ca="1">MAX(0%,IF(Q1270&lt;&gt;0,MIN((S1270-Q1270)/Q1270/'Underwriting Risk'!$E$27,'Premium and Reserve Risk'!$Z$1181),'Premium and Reserve Risk'!$Z$1181))</f>
        <v>0.17</v>
      </c>
      <c r="AA1270" s="80"/>
      <c r="AB1270" s="80"/>
      <c r="AC1270" s="737">
        <f ca="1">MAX(0%,IF(U1270&lt;&gt;0,MIN((W1270-U1270)/U1270/'Underwriting Risk'!$E$27,'Premium and Reserve Risk'!$AC$1181),'Premium and Reserve Risk'!$AC$1181))</f>
        <v>0.2</v>
      </c>
      <c r="AD1270" s="81"/>
      <c r="AE1270" s="97"/>
      <c r="AF1270" s="97"/>
      <c r="AG1270" s="97"/>
      <c r="AH1270" s="97"/>
    </row>
    <row r="1271" spans="1:34" ht="13.5" customHeight="1" x14ac:dyDescent="0.25">
      <c r="A1271" s="97"/>
      <c r="B1271" s="257">
        <v>89</v>
      </c>
      <c r="C1271" s="652"/>
      <c r="D1271" s="80"/>
      <c r="E1271" s="80"/>
      <c r="F1271" s="258">
        <f t="shared" ca="1" si="39"/>
        <v>0</v>
      </c>
      <c r="G1271" s="624"/>
      <c r="H1271" s="85"/>
      <c r="I1271" s="624"/>
      <c r="J1271" s="85"/>
      <c r="K1271" s="624"/>
      <c r="L1271" s="85"/>
      <c r="M1271" s="624"/>
      <c r="N1271" s="85"/>
      <c r="O1271" s="624"/>
      <c r="P1271" s="85"/>
      <c r="Q1271" s="626">
        <f t="shared" si="37"/>
        <v>0</v>
      </c>
      <c r="R1271" s="85"/>
      <c r="S1271" s="624"/>
      <c r="T1271" s="260"/>
      <c r="U1271" s="624"/>
      <c r="V1271" s="85"/>
      <c r="W1271" s="624"/>
      <c r="X1271" s="81"/>
      <c r="Y1271" s="80"/>
      <c r="Z1271" s="737">
        <f ca="1">MAX(0%,IF(Q1271&lt;&gt;0,MIN((S1271-Q1271)/Q1271/'Underwriting Risk'!$E$27,'Premium and Reserve Risk'!$Z$1181),'Premium and Reserve Risk'!$Z$1181))</f>
        <v>0.17</v>
      </c>
      <c r="AA1271" s="80"/>
      <c r="AB1271" s="80"/>
      <c r="AC1271" s="737">
        <f ca="1">MAX(0%,IF(U1271&lt;&gt;0,MIN((W1271-U1271)/U1271/'Underwriting Risk'!$E$27,'Premium and Reserve Risk'!$AC$1181),'Premium and Reserve Risk'!$AC$1181))</f>
        <v>0.2</v>
      </c>
      <c r="AD1271" s="81"/>
      <c r="AE1271" s="97"/>
      <c r="AF1271" s="97"/>
      <c r="AG1271" s="97"/>
      <c r="AH1271" s="97"/>
    </row>
    <row r="1272" spans="1:34" ht="13.5" customHeight="1" x14ac:dyDescent="0.25">
      <c r="A1272" s="97"/>
      <c r="B1272" s="257">
        <v>90</v>
      </c>
      <c r="C1272" s="652"/>
      <c r="D1272" s="80"/>
      <c r="E1272" s="80"/>
      <c r="F1272" s="258">
        <f t="shared" ca="1" si="39"/>
        <v>0</v>
      </c>
      <c r="G1272" s="624"/>
      <c r="H1272" s="85"/>
      <c r="I1272" s="624"/>
      <c r="J1272" s="85"/>
      <c r="K1272" s="624"/>
      <c r="L1272" s="85"/>
      <c r="M1272" s="624"/>
      <c r="N1272" s="85"/>
      <c r="O1272" s="624"/>
      <c r="P1272" s="85"/>
      <c r="Q1272" s="626">
        <f t="shared" si="37"/>
        <v>0</v>
      </c>
      <c r="R1272" s="85"/>
      <c r="S1272" s="624"/>
      <c r="T1272" s="260"/>
      <c r="U1272" s="624"/>
      <c r="V1272" s="85"/>
      <c r="W1272" s="624"/>
      <c r="X1272" s="81"/>
      <c r="Y1272" s="80"/>
      <c r="Z1272" s="737">
        <f ca="1">MAX(0%,IF(Q1272&lt;&gt;0,MIN((S1272-Q1272)/Q1272/'Underwriting Risk'!$E$27,'Premium and Reserve Risk'!$Z$1181),'Premium and Reserve Risk'!$Z$1181))</f>
        <v>0.17</v>
      </c>
      <c r="AA1272" s="80"/>
      <c r="AB1272" s="80"/>
      <c r="AC1272" s="737">
        <f ca="1">MAX(0%,IF(U1272&lt;&gt;0,MIN((W1272-U1272)/U1272/'Underwriting Risk'!$E$27,'Premium and Reserve Risk'!$AC$1181),'Premium and Reserve Risk'!$AC$1181))</f>
        <v>0.2</v>
      </c>
      <c r="AD1272" s="81"/>
      <c r="AE1272" s="97"/>
      <c r="AF1272" s="97"/>
      <c r="AG1272" s="97"/>
      <c r="AH1272" s="97"/>
    </row>
    <row r="1273" spans="1:34" ht="13.5" customHeight="1" x14ac:dyDescent="0.25">
      <c r="A1273" s="97"/>
      <c r="B1273" s="257">
        <v>91</v>
      </c>
      <c r="C1273" s="652"/>
      <c r="D1273" s="80"/>
      <c r="E1273" s="80"/>
      <c r="F1273" s="258">
        <f t="shared" ca="1" si="39"/>
        <v>0</v>
      </c>
      <c r="G1273" s="624"/>
      <c r="H1273" s="85"/>
      <c r="I1273" s="624"/>
      <c r="J1273" s="85"/>
      <c r="K1273" s="624"/>
      <c r="L1273" s="85"/>
      <c r="M1273" s="624"/>
      <c r="N1273" s="85"/>
      <c r="O1273" s="624"/>
      <c r="P1273" s="85"/>
      <c r="Q1273" s="626">
        <f t="shared" si="37"/>
        <v>0</v>
      </c>
      <c r="R1273" s="85"/>
      <c r="S1273" s="624"/>
      <c r="T1273" s="260"/>
      <c r="U1273" s="624"/>
      <c r="V1273" s="85"/>
      <c r="W1273" s="624"/>
      <c r="X1273" s="81"/>
      <c r="Y1273" s="80"/>
      <c r="Z1273" s="737">
        <f ca="1">MAX(0%,IF(Q1273&lt;&gt;0,MIN((S1273-Q1273)/Q1273/'Underwriting Risk'!$E$27,'Premium and Reserve Risk'!$Z$1181),'Premium and Reserve Risk'!$Z$1181))</f>
        <v>0.17</v>
      </c>
      <c r="AA1273" s="80"/>
      <c r="AB1273" s="80"/>
      <c r="AC1273" s="737">
        <f ca="1">MAX(0%,IF(U1273&lt;&gt;0,MIN((W1273-U1273)/U1273/'Underwriting Risk'!$E$27,'Premium and Reserve Risk'!$AC$1181),'Premium and Reserve Risk'!$AC$1181))</f>
        <v>0.2</v>
      </c>
      <c r="AD1273" s="81"/>
      <c r="AE1273" s="97"/>
      <c r="AF1273" s="97"/>
      <c r="AG1273" s="97"/>
      <c r="AH1273" s="97"/>
    </row>
    <row r="1274" spans="1:34" ht="13.5" customHeight="1" x14ac:dyDescent="0.25">
      <c r="A1274" s="97"/>
      <c r="B1274" s="257">
        <v>92</v>
      </c>
      <c r="C1274" s="652"/>
      <c r="D1274" s="80"/>
      <c r="E1274" s="80"/>
      <c r="F1274" s="258">
        <f t="shared" ca="1" si="39"/>
        <v>0</v>
      </c>
      <c r="G1274" s="624"/>
      <c r="H1274" s="85"/>
      <c r="I1274" s="624"/>
      <c r="J1274" s="85"/>
      <c r="K1274" s="624"/>
      <c r="L1274" s="85"/>
      <c r="M1274" s="624"/>
      <c r="N1274" s="85"/>
      <c r="O1274" s="624"/>
      <c r="P1274" s="85"/>
      <c r="Q1274" s="626">
        <f t="shared" si="37"/>
        <v>0</v>
      </c>
      <c r="R1274" s="85"/>
      <c r="S1274" s="624"/>
      <c r="T1274" s="260"/>
      <c r="U1274" s="624"/>
      <c r="V1274" s="85"/>
      <c r="W1274" s="624"/>
      <c r="X1274" s="81"/>
      <c r="Y1274" s="80"/>
      <c r="Z1274" s="737">
        <f ca="1">MAX(0%,IF(Q1274&lt;&gt;0,MIN((S1274-Q1274)/Q1274/'Underwriting Risk'!$E$27,'Premium and Reserve Risk'!$Z$1181),'Premium and Reserve Risk'!$Z$1181))</f>
        <v>0.17</v>
      </c>
      <c r="AA1274" s="80"/>
      <c r="AB1274" s="80"/>
      <c r="AC1274" s="737">
        <f ca="1">MAX(0%,IF(U1274&lt;&gt;0,MIN((W1274-U1274)/U1274/'Underwriting Risk'!$E$27,'Premium and Reserve Risk'!$AC$1181),'Premium and Reserve Risk'!$AC$1181))</f>
        <v>0.2</v>
      </c>
      <c r="AD1274" s="81"/>
      <c r="AE1274" s="97"/>
      <c r="AF1274" s="97"/>
      <c r="AG1274" s="97"/>
      <c r="AH1274" s="97"/>
    </row>
    <row r="1275" spans="1:34" ht="13.5" customHeight="1" x14ac:dyDescent="0.25">
      <c r="A1275" s="97"/>
      <c r="B1275" s="257">
        <v>93</v>
      </c>
      <c r="C1275" s="652"/>
      <c r="D1275" s="80"/>
      <c r="E1275" s="80"/>
      <c r="F1275" s="258">
        <f t="shared" ca="1" si="39"/>
        <v>0</v>
      </c>
      <c r="G1275" s="624"/>
      <c r="H1275" s="85"/>
      <c r="I1275" s="624"/>
      <c r="J1275" s="85"/>
      <c r="K1275" s="624"/>
      <c r="L1275" s="85"/>
      <c r="M1275" s="624"/>
      <c r="N1275" s="85"/>
      <c r="O1275" s="624"/>
      <c r="P1275" s="85"/>
      <c r="Q1275" s="626">
        <f t="shared" si="37"/>
        <v>0</v>
      </c>
      <c r="R1275" s="85"/>
      <c r="S1275" s="624"/>
      <c r="T1275" s="260"/>
      <c r="U1275" s="624"/>
      <c r="V1275" s="85"/>
      <c r="W1275" s="624"/>
      <c r="X1275" s="81"/>
      <c r="Y1275" s="80"/>
      <c r="Z1275" s="737">
        <f ca="1">MAX(0%,IF(Q1275&lt;&gt;0,MIN((S1275-Q1275)/Q1275/'Underwriting Risk'!$E$27,'Premium and Reserve Risk'!$Z$1181),'Premium and Reserve Risk'!$Z$1181))</f>
        <v>0.17</v>
      </c>
      <c r="AA1275" s="80"/>
      <c r="AB1275" s="80"/>
      <c r="AC1275" s="737">
        <f ca="1">MAX(0%,IF(U1275&lt;&gt;0,MIN((W1275-U1275)/U1275/'Underwriting Risk'!$E$27,'Premium and Reserve Risk'!$AC$1181),'Premium and Reserve Risk'!$AC$1181))</f>
        <v>0.2</v>
      </c>
      <c r="AD1275" s="81"/>
      <c r="AE1275" s="97"/>
      <c r="AF1275" s="97"/>
      <c r="AG1275" s="97"/>
      <c r="AH1275" s="97"/>
    </row>
    <row r="1276" spans="1:34" ht="13.5" customHeight="1" x14ac:dyDescent="0.25">
      <c r="A1276" s="97"/>
      <c r="B1276" s="257">
        <v>94</v>
      </c>
      <c r="C1276" s="652"/>
      <c r="D1276" s="80"/>
      <c r="E1276" s="80"/>
      <c r="F1276" s="258">
        <f t="shared" ca="1" si="39"/>
        <v>0</v>
      </c>
      <c r="G1276" s="624"/>
      <c r="H1276" s="85"/>
      <c r="I1276" s="624"/>
      <c r="J1276" s="85"/>
      <c r="K1276" s="624"/>
      <c r="L1276" s="85"/>
      <c r="M1276" s="624"/>
      <c r="N1276" s="85"/>
      <c r="O1276" s="624"/>
      <c r="P1276" s="85"/>
      <c r="Q1276" s="626">
        <f t="shared" si="37"/>
        <v>0</v>
      </c>
      <c r="R1276" s="85"/>
      <c r="S1276" s="624"/>
      <c r="T1276" s="260"/>
      <c r="U1276" s="624"/>
      <c r="V1276" s="85"/>
      <c r="W1276" s="624"/>
      <c r="X1276" s="81"/>
      <c r="Y1276" s="80"/>
      <c r="Z1276" s="737">
        <f ca="1">MAX(0%,IF(Q1276&lt;&gt;0,MIN((S1276-Q1276)/Q1276/'Underwriting Risk'!$E$27,'Premium and Reserve Risk'!$Z$1181),'Premium and Reserve Risk'!$Z$1181))</f>
        <v>0.17</v>
      </c>
      <c r="AA1276" s="80"/>
      <c r="AB1276" s="80"/>
      <c r="AC1276" s="737">
        <f ca="1">MAX(0%,IF(U1276&lt;&gt;0,MIN((W1276-U1276)/U1276/'Underwriting Risk'!$E$27,'Premium and Reserve Risk'!$AC$1181),'Premium and Reserve Risk'!$AC$1181))</f>
        <v>0.2</v>
      </c>
      <c r="AD1276" s="81"/>
      <c r="AE1276" s="97"/>
      <c r="AF1276" s="97"/>
      <c r="AG1276" s="97"/>
      <c r="AH1276" s="97"/>
    </row>
    <row r="1277" spans="1:34" ht="13.5" customHeight="1" x14ac:dyDescent="0.25">
      <c r="A1277" s="97"/>
      <c r="B1277" s="257">
        <v>95</v>
      </c>
      <c r="C1277" s="652"/>
      <c r="D1277" s="80"/>
      <c r="E1277" s="80"/>
      <c r="F1277" s="258">
        <f t="shared" ca="1" si="39"/>
        <v>0</v>
      </c>
      <c r="G1277" s="624"/>
      <c r="H1277" s="85"/>
      <c r="I1277" s="624"/>
      <c r="J1277" s="85"/>
      <c r="K1277" s="624"/>
      <c r="L1277" s="85"/>
      <c r="M1277" s="624"/>
      <c r="N1277" s="85"/>
      <c r="O1277" s="624"/>
      <c r="P1277" s="85"/>
      <c r="Q1277" s="626">
        <f t="shared" si="37"/>
        <v>0</v>
      </c>
      <c r="R1277" s="85"/>
      <c r="S1277" s="624"/>
      <c r="T1277" s="260"/>
      <c r="U1277" s="624"/>
      <c r="V1277" s="85"/>
      <c r="W1277" s="624"/>
      <c r="X1277" s="81"/>
      <c r="Y1277" s="80"/>
      <c r="Z1277" s="737">
        <f ca="1">MAX(0%,IF(Q1277&lt;&gt;0,MIN((S1277-Q1277)/Q1277/'Underwriting Risk'!$E$27,'Premium and Reserve Risk'!$Z$1181),'Premium and Reserve Risk'!$Z$1181))</f>
        <v>0.17</v>
      </c>
      <c r="AA1277" s="80"/>
      <c r="AB1277" s="80"/>
      <c r="AC1277" s="737">
        <f ca="1">MAX(0%,IF(U1277&lt;&gt;0,MIN((W1277-U1277)/U1277/'Underwriting Risk'!$E$27,'Premium and Reserve Risk'!$AC$1181),'Premium and Reserve Risk'!$AC$1181))</f>
        <v>0.2</v>
      </c>
      <c r="AD1277" s="81"/>
      <c r="AE1277" s="97"/>
      <c r="AF1277" s="97"/>
      <c r="AG1277" s="97"/>
      <c r="AH1277" s="97"/>
    </row>
    <row r="1278" spans="1:34" ht="13.5" customHeight="1" x14ac:dyDescent="0.25">
      <c r="A1278" s="97"/>
      <c r="B1278" s="257">
        <v>96</v>
      </c>
      <c r="C1278" s="652"/>
      <c r="D1278" s="80"/>
      <c r="E1278" s="80"/>
      <c r="F1278" s="258">
        <f t="shared" ca="1" si="39"/>
        <v>0</v>
      </c>
      <c r="G1278" s="624"/>
      <c r="H1278" s="85"/>
      <c r="I1278" s="624"/>
      <c r="J1278" s="85"/>
      <c r="K1278" s="624"/>
      <c r="L1278" s="85"/>
      <c r="M1278" s="624"/>
      <c r="N1278" s="85"/>
      <c r="O1278" s="624"/>
      <c r="P1278" s="85"/>
      <c r="Q1278" s="626">
        <f t="shared" si="37"/>
        <v>0</v>
      </c>
      <c r="R1278" s="85"/>
      <c r="S1278" s="624"/>
      <c r="T1278" s="260"/>
      <c r="U1278" s="624"/>
      <c r="V1278" s="85"/>
      <c r="W1278" s="624"/>
      <c r="X1278" s="81"/>
      <c r="Y1278" s="80"/>
      <c r="Z1278" s="737">
        <f ca="1">MAX(0%,IF(Q1278&lt;&gt;0,MIN((S1278-Q1278)/Q1278/'Underwriting Risk'!$E$27,'Premium and Reserve Risk'!$Z$1181),'Premium and Reserve Risk'!$Z$1181))</f>
        <v>0.17</v>
      </c>
      <c r="AA1278" s="80"/>
      <c r="AB1278" s="80"/>
      <c r="AC1278" s="737">
        <f ca="1">MAX(0%,IF(U1278&lt;&gt;0,MIN((W1278-U1278)/U1278/'Underwriting Risk'!$E$27,'Premium and Reserve Risk'!$AC$1181),'Premium and Reserve Risk'!$AC$1181))</f>
        <v>0.2</v>
      </c>
      <c r="AD1278" s="81"/>
      <c r="AE1278" s="97"/>
      <c r="AF1278" s="97"/>
      <c r="AG1278" s="97"/>
      <c r="AH1278" s="97"/>
    </row>
    <row r="1279" spans="1:34" ht="13.5" customHeight="1" x14ac:dyDescent="0.25">
      <c r="A1279" s="97"/>
      <c r="B1279" s="257">
        <v>97</v>
      </c>
      <c r="C1279" s="652"/>
      <c r="D1279" s="80"/>
      <c r="E1279" s="80"/>
      <c r="F1279" s="258">
        <f t="shared" ca="1" si="39"/>
        <v>0</v>
      </c>
      <c r="G1279" s="624"/>
      <c r="H1279" s="85"/>
      <c r="I1279" s="624"/>
      <c r="J1279" s="85"/>
      <c r="K1279" s="624"/>
      <c r="L1279" s="85"/>
      <c r="M1279" s="624"/>
      <c r="N1279" s="85"/>
      <c r="O1279" s="624"/>
      <c r="P1279" s="85"/>
      <c r="Q1279" s="626">
        <f t="shared" si="37"/>
        <v>0</v>
      </c>
      <c r="R1279" s="85"/>
      <c r="S1279" s="624"/>
      <c r="T1279" s="260"/>
      <c r="U1279" s="624"/>
      <c r="V1279" s="85"/>
      <c r="W1279" s="624"/>
      <c r="X1279" s="81"/>
      <c r="Y1279" s="80"/>
      <c r="Z1279" s="737">
        <f ca="1">MAX(0%,IF(Q1279&lt;&gt;0,MIN((S1279-Q1279)/Q1279/'Underwriting Risk'!$E$27,'Premium and Reserve Risk'!$Z$1181),'Premium and Reserve Risk'!$Z$1181))</f>
        <v>0.17</v>
      </c>
      <c r="AA1279" s="80"/>
      <c r="AB1279" s="80"/>
      <c r="AC1279" s="737">
        <f ca="1">MAX(0%,IF(U1279&lt;&gt;0,MIN((W1279-U1279)/U1279/'Underwriting Risk'!$E$27,'Premium and Reserve Risk'!$AC$1181),'Premium and Reserve Risk'!$AC$1181))</f>
        <v>0.2</v>
      </c>
      <c r="AD1279" s="81"/>
      <c r="AE1279" s="97"/>
      <c r="AF1279" s="97"/>
      <c r="AG1279" s="97"/>
      <c r="AH1279" s="97"/>
    </row>
    <row r="1280" spans="1:34" ht="13.5" customHeight="1" x14ac:dyDescent="0.25">
      <c r="A1280" s="97"/>
      <c r="B1280" s="257">
        <v>98</v>
      </c>
      <c r="C1280" s="652"/>
      <c r="D1280" s="80"/>
      <c r="E1280" s="80"/>
      <c r="F1280" s="258">
        <f t="shared" ca="1" si="39"/>
        <v>0</v>
      </c>
      <c r="G1280" s="624"/>
      <c r="H1280" s="85"/>
      <c r="I1280" s="624"/>
      <c r="J1280" s="85"/>
      <c r="K1280" s="624"/>
      <c r="L1280" s="85"/>
      <c r="M1280" s="624"/>
      <c r="N1280" s="85"/>
      <c r="O1280" s="624"/>
      <c r="P1280" s="85"/>
      <c r="Q1280" s="626">
        <f t="shared" si="37"/>
        <v>0</v>
      </c>
      <c r="R1280" s="85"/>
      <c r="S1280" s="624"/>
      <c r="T1280" s="260"/>
      <c r="U1280" s="624"/>
      <c r="V1280" s="85"/>
      <c r="W1280" s="624"/>
      <c r="X1280" s="81"/>
      <c r="Y1280" s="80"/>
      <c r="Z1280" s="737">
        <f ca="1">MAX(0%,IF(Q1280&lt;&gt;0,MIN((S1280-Q1280)/Q1280/'Underwriting Risk'!$E$27,'Premium and Reserve Risk'!$Z$1181),'Premium and Reserve Risk'!$Z$1181))</f>
        <v>0.17</v>
      </c>
      <c r="AA1280" s="80"/>
      <c r="AB1280" s="80"/>
      <c r="AC1280" s="737">
        <f ca="1">MAX(0%,IF(U1280&lt;&gt;0,MIN((W1280-U1280)/U1280/'Underwriting Risk'!$E$27,'Premium and Reserve Risk'!$AC$1181),'Premium and Reserve Risk'!$AC$1181))</f>
        <v>0.2</v>
      </c>
      <c r="AD1280" s="81"/>
      <c r="AE1280" s="97"/>
      <c r="AF1280" s="97"/>
      <c r="AG1280" s="97"/>
      <c r="AH1280" s="97"/>
    </row>
    <row r="1281" spans="1:34" ht="13.5" customHeight="1" x14ac:dyDescent="0.25">
      <c r="A1281" s="97"/>
      <c r="B1281" s="257">
        <v>99</v>
      </c>
      <c r="C1281" s="652"/>
      <c r="D1281" s="80"/>
      <c r="E1281" s="80"/>
      <c r="F1281" s="258">
        <f t="shared" ca="1" si="39"/>
        <v>0</v>
      </c>
      <c r="G1281" s="624"/>
      <c r="H1281" s="85"/>
      <c r="I1281" s="624"/>
      <c r="J1281" s="85"/>
      <c r="K1281" s="624"/>
      <c r="L1281" s="85"/>
      <c r="M1281" s="624"/>
      <c r="N1281" s="85"/>
      <c r="O1281" s="624"/>
      <c r="P1281" s="85"/>
      <c r="Q1281" s="626">
        <f t="shared" si="37"/>
        <v>0</v>
      </c>
      <c r="R1281" s="85"/>
      <c r="S1281" s="624"/>
      <c r="T1281" s="260"/>
      <c r="U1281" s="624"/>
      <c r="V1281" s="85"/>
      <c r="W1281" s="624"/>
      <c r="X1281" s="81"/>
      <c r="Y1281" s="80"/>
      <c r="Z1281" s="737">
        <f ca="1">MAX(0%,IF(Q1281&lt;&gt;0,MIN((S1281-Q1281)/Q1281/'Underwriting Risk'!$E$27,'Premium and Reserve Risk'!$Z$1181),'Premium and Reserve Risk'!$Z$1181))</f>
        <v>0.17</v>
      </c>
      <c r="AA1281" s="80"/>
      <c r="AB1281" s="80"/>
      <c r="AC1281" s="737">
        <f ca="1">MAX(0%,IF(U1281&lt;&gt;0,MIN((W1281-U1281)/U1281/'Underwriting Risk'!$E$27,'Premium and Reserve Risk'!$AC$1181),'Premium and Reserve Risk'!$AC$1181))</f>
        <v>0.2</v>
      </c>
      <c r="AD1281" s="81"/>
      <c r="AE1281" s="97"/>
      <c r="AF1281" s="97"/>
      <c r="AG1281" s="97"/>
      <c r="AH1281" s="97"/>
    </row>
    <row r="1282" spans="1:34" ht="13.5" customHeight="1" x14ac:dyDescent="0.25">
      <c r="A1282" s="97"/>
      <c r="B1282" s="257">
        <v>100</v>
      </c>
      <c r="C1282" s="652"/>
      <c r="D1282" s="80"/>
      <c r="E1282" s="80"/>
      <c r="F1282" s="258">
        <f t="shared" ca="1" si="39"/>
        <v>0</v>
      </c>
      <c r="G1282" s="624"/>
      <c r="H1282" s="85"/>
      <c r="I1282" s="624"/>
      <c r="J1282" s="85"/>
      <c r="K1282" s="624"/>
      <c r="L1282" s="85"/>
      <c r="M1282" s="624"/>
      <c r="N1282" s="85"/>
      <c r="O1282" s="624"/>
      <c r="P1282" s="85"/>
      <c r="Q1282" s="626">
        <f t="shared" ref="Q1282" si="40">MAX(G1282,I1282)+K1282+M1282+0.3*O1282</f>
        <v>0</v>
      </c>
      <c r="R1282" s="85"/>
      <c r="S1282" s="624"/>
      <c r="T1282" s="260"/>
      <c r="U1282" s="624"/>
      <c r="V1282" s="85"/>
      <c r="W1282" s="624"/>
      <c r="X1282" s="81"/>
      <c r="Y1282" s="80"/>
      <c r="Z1282" s="737">
        <f ca="1">MAX(0%,IF(Q1282&lt;&gt;0,MIN((S1282-Q1282)/Q1282/'Underwriting Risk'!$E$27,'Premium and Reserve Risk'!$Z$1181),'Premium and Reserve Risk'!$Z$1181))</f>
        <v>0.17</v>
      </c>
      <c r="AA1282" s="80"/>
      <c r="AB1282" s="80"/>
      <c r="AC1282" s="737">
        <f ca="1">MAX(0%,IF(U1282&lt;&gt;0,MIN((W1282-U1282)/U1282/'Underwriting Risk'!$E$27,'Premium and Reserve Risk'!$AC$1181),'Premium and Reserve Risk'!$AC$1181))</f>
        <v>0.2</v>
      </c>
      <c r="AD1282" s="81"/>
      <c r="AE1282" s="97"/>
      <c r="AF1282" s="97"/>
      <c r="AG1282" s="97"/>
      <c r="AH1282" s="97"/>
    </row>
    <row r="1283" spans="1:34" ht="6" customHeight="1" thickBot="1" x14ac:dyDescent="0.3">
      <c r="A1283" s="97"/>
      <c r="B1283" s="110"/>
      <c r="C1283" s="93"/>
      <c r="D1283" s="93"/>
      <c r="E1283" s="93"/>
      <c r="F1283" s="261">
        <f ca="1">IF(OFFSET($Z$8,11,0)=0,1,0)</f>
        <v>0</v>
      </c>
      <c r="G1283" s="134"/>
      <c r="H1283" s="134"/>
      <c r="I1283" s="134"/>
      <c r="J1283" s="134"/>
      <c r="K1283" s="134"/>
      <c r="L1283" s="134"/>
      <c r="M1283" s="134"/>
      <c r="N1283" s="134"/>
      <c r="O1283" s="134"/>
      <c r="P1283" s="134"/>
      <c r="Q1283" s="134"/>
      <c r="R1283" s="134"/>
      <c r="S1283" s="134"/>
      <c r="T1283" s="134"/>
      <c r="U1283" s="134"/>
      <c r="V1283" s="134"/>
      <c r="W1283" s="134"/>
      <c r="X1283" s="94"/>
      <c r="Y1283" s="93"/>
      <c r="Z1283" s="93"/>
      <c r="AA1283" s="93"/>
      <c r="AB1283" s="93"/>
      <c r="AC1283" s="93"/>
      <c r="AD1283" s="94"/>
      <c r="AE1283" s="97"/>
      <c r="AF1283" s="97"/>
      <c r="AG1283" s="97"/>
      <c r="AH1283" s="97"/>
    </row>
    <row r="1284" spans="1:34" ht="15.75" x14ac:dyDescent="0.25">
      <c r="A1284" s="53"/>
      <c r="B1284" s="53"/>
      <c r="C1284" s="53"/>
      <c r="D1284" s="53"/>
      <c r="E1284" s="53"/>
      <c r="F1284" s="53"/>
      <c r="G1284" s="53"/>
      <c r="H1284" s="53"/>
      <c r="I1284" s="53"/>
      <c r="J1284" s="53"/>
      <c r="K1284" s="53"/>
      <c r="L1284" s="53"/>
      <c r="M1284" s="53"/>
      <c r="N1284" s="53"/>
      <c r="O1284" s="53"/>
      <c r="P1284" s="53"/>
      <c r="Q1284" s="53"/>
      <c r="R1284" s="53"/>
      <c r="S1284" s="53"/>
      <c r="T1284" s="53"/>
      <c r="U1284" s="53"/>
      <c r="V1284" s="53"/>
      <c r="W1284" s="53"/>
      <c r="X1284" s="53"/>
      <c r="Y1284" s="53"/>
      <c r="Z1284" s="53"/>
      <c r="AA1284" s="53"/>
      <c r="AB1284" s="53"/>
      <c r="AC1284" s="53"/>
      <c r="AD1284" s="53"/>
      <c r="AE1284" s="53"/>
      <c r="AF1284" s="53"/>
      <c r="AG1284" s="53"/>
      <c r="AH1284" s="53"/>
    </row>
    <row r="1285" spans="1:34" ht="15.75" x14ac:dyDescent="0.25">
      <c r="A1285" s="53"/>
      <c r="B1285" s="53"/>
      <c r="C1285" s="53"/>
      <c r="D1285" s="53"/>
      <c r="E1285" s="53"/>
      <c r="F1285" s="53"/>
      <c r="G1285" s="53"/>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row>
    <row r="1286" spans="1:34" ht="15.75" x14ac:dyDescent="0.25">
      <c r="A1286" s="53"/>
      <c r="B1286" s="53"/>
      <c r="C1286" s="53"/>
      <c r="D1286" s="53"/>
      <c r="E1286" s="53"/>
      <c r="F1286" s="53"/>
      <c r="G1286" s="53"/>
      <c r="H1286" s="53"/>
      <c r="I1286" s="53"/>
      <c r="J1286" s="53"/>
      <c r="K1286" s="53"/>
      <c r="L1286" s="53"/>
      <c r="M1286" s="53"/>
      <c r="N1286" s="53"/>
      <c r="O1286" s="53"/>
      <c r="P1286" s="53"/>
      <c r="Q1286" s="53"/>
      <c r="R1286" s="53"/>
      <c r="S1286" s="53"/>
      <c r="T1286" s="53"/>
      <c r="U1286" s="53"/>
      <c r="V1286" s="53"/>
      <c r="W1286" s="53"/>
      <c r="X1286" s="53"/>
      <c r="Y1286" s="53"/>
      <c r="Z1286" s="53"/>
      <c r="AA1286" s="53"/>
      <c r="AB1286" s="53"/>
      <c r="AC1286" s="53"/>
      <c r="AD1286" s="53"/>
      <c r="AE1286" s="53"/>
      <c r="AF1286" s="53"/>
      <c r="AG1286" s="53"/>
      <c r="AH1286" s="53"/>
    </row>
    <row r="1287" spans="1:34" ht="15.75" x14ac:dyDescent="0.25">
      <c r="A1287" s="53"/>
      <c r="B1287" s="53"/>
      <c r="C1287" s="53"/>
      <c r="D1287" s="53"/>
      <c r="E1287" s="53"/>
      <c r="F1287" s="53"/>
      <c r="G1287" s="53"/>
      <c r="H1287" s="53"/>
      <c r="I1287" s="53"/>
      <c r="J1287" s="53"/>
      <c r="K1287" s="53"/>
      <c r="L1287" s="53"/>
      <c r="M1287" s="53"/>
      <c r="N1287" s="53"/>
      <c r="O1287" s="53"/>
      <c r="P1287" s="53"/>
      <c r="Q1287" s="53"/>
      <c r="R1287" s="53"/>
      <c r="S1287" s="53"/>
      <c r="T1287" s="53"/>
      <c r="U1287" s="53"/>
      <c r="V1287" s="53"/>
      <c r="W1287" s="53"/>
      <c r="X1287" s="53"/>
      <c r="Y1287" s="53"/>
      <c r="Z1287" s="53"/>
      <c r="AA1287" s="53"/>
      <c r="AB1287" s="53"/>
      <c r="AC1287" s="53"/>
      <c r="AD1287" s="53"/>
      <c r="AE1287" s="53"/>
      <c r="AF1287" s="53"/>
      <c r="AG1287" s="53"/>
      <c r="AH1287" s="53"/>
    </row>
    <row r="1288" spans="1:34" ht="15.75" x14ac:dyDescent="0.25">
      <c r="A1288" s="53"/>
      <c r="B1288" s="53"/>
      <c r="C1288" s="53"/>
      <c r="D1288" s="53"/>
      <c r="E1288" s="53"/>
      <c r="F1288" s="53"/>
      <c r="G1288" s="53"/>
      <c r="H1288" s="53"/>
      <c r="I1288" s="53"/>
      <c r="J1288" s="53"/>
      <c r="K1288" s="53"/>
      <c r="L1288" s="53"/>
      <c r="M1288" s="53"/>
      <c r="N1288" s="53"/>
      <c r="O1288" s="53"/>
      <c r="P1288" s="53"/>
      <c r="Q1288" s="53"/>
      <c r="R1288" s="53"/>
      <c r="S1288" s="53"/>
      <c r="T1288" s="53"/>
      <c r="U1288" s="53"/>
      <c r="V1288" s="53"/>
      <c r="W1288" s="53"/>
      <c r="X1288" s="53"/>
      <c r="Y1288" s="53"/>
      <c r="Z1288" s="53"/>
      <c r="AA1288" s="53"/>
      <c r="AB1288" s="53"/>
      <c r="AC1288" s="53"/>
      <c r="AD1288" s="53"/>
      <c r="AE1288" s="53"/>
      <c r="AF1288" s="53"/>
      <c r="AG1288" s="53"/>
      <c r="AH1288" s="53"/>
    </row>
    <row r="1289" spans="1:34" ht="15.75" x14ac:dyDescent="0.25">
      <c r="A1289" s="53"/>
      <c r="B1289" s="53"/>
      <c r="C1289" s="53"/>
      <c r="D1289" s="53"/>
      <c r="E1289" s="53"/>
      <c r="F1289" s="53"/>
      <c r="G1289" s="53"/>
      <c r="H1289" s="53"/>
      <c r="I1289" s="53"/>
      <c r="J1289" s="53"/>
      <c r="K1289" s="53"/>
      <c r="L1289" s="53"/>
      <c r="M1289" s="53"/>
      <c r="N1289" s="53"/>
      <c r="O1289" s="53"/>
      <c r="P1289" s="53"/>
      <c r="Q1289" s="53"/>
      <c r="R1289" s="53"/>
      <c r="S1289" s="53"/>
      <c r="T1289" s="53"/>
      <c r="U1289" s="53"/>
      <c r="V1289" s="53"/>
      <c r="W1289" s="53"/>
      <c r="X1289" s="53"/>
      <c r="Y1289" s="53"/>
      <c r="Z1289" s="53"/>
      <c r="AA1289" s="53"/>
      <c r="AB1289" s="53"/>
      <c r="AC1289" s="53"/>
      <c r="AD1289" s="53"/>
      <c r="AE1289" s="53"/>
      <c r="AF1289" s="53"/>
      <c r="AG1289" s="53"/>
      <c r="AH1289" s="53"/>
    </row>
    <row r="1290" spans="1:34" ht="15.75" x14ac:dyDescent="0.25">
      <c r="A1290" s="53"/>
      <c r="B1290" s="53"/>
      <c r="C1290" s="53"/>
      <c r="D1290" s="53"/>
      <c r="E1290" s="53"/>
      <c r="F1290" s="53"/>
      <c r="G1290" s="53"/>
      <c r="H1290" s="53"/>
      <c r="I1290" s="53"/>
      <c r="J1290" s="53"/>
      <c r="K1290" s="53"/>
      <c r="L1290" s="53"/>
      <c r="M1290" s="53"/>
      <c r="N1290" s="53"/>
      <c r="O1290" s="53"/>
      <c r="P1290" s="53"/>
      <c r="Q1290" s="53"/>
      <c r="R1290" s="53"/>
      <c r="S1290" s="53"/>
      <c r="T1290" s="53"/>
      <c r="U1290" s="53"/>
      <c r="V1290" s="53"/>
      <c r="W1290" s="53"/>
      <c r="X1290" s="53"/>
      <c r="Y1290" s="53"/>
      <c r="Z1290" s="53"/>
      <c r="AA1290" s="53"/>
      <c r="AB1290" s="53"/>
      <c r="AC1290" s="53"/>
      <c r="AD1290" s="53"/>
      <c r="AE1290" s="53"/>
      <c r="AF1290" s="53"/>
      <c r="AG1290" s="53"/>
      <c r="AH1290" s="53"/>
    </row>
    <row r="1291" spans="1:34" ht="15.75" x14ac:dyDescent="0.25">
      <c r="A1291" s="53"/>
      <c r="B1291" s="53"/>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row>
    <row r="1292" spans="1:34" ht="15.75" x14ac:dyDescent="0.25">
      <c r="A1292" s="53"/>
      <c r="B1292" s="53"/>
      <c r="C1292" s="53"/>
      <c r="D1292" s="53"/>
      <c r="E1292" s="53"/>
      <c r="F1292" s="53"/>
      <c r="G1292" s="53"/>
      <c r="H1292" s="53"/>
      <c r="I1292" s="53"/>
      <c r="J1292" s="53"/>
      <c r="K1292" s="53"/>
      <c r="L1292" s="53"/>
      <c r="M1292" s="53"/>
      <c r="N1292" s="53"/>
      <c r="O1292" s="53"/>
      <c r="P1292" s="53"/>
      <c r="Q1292" s="53"/>
      <c r="R1292" s="53"/>
      <c r="S1292" s="53"/>
      <c r="T1292" s="53"/>
      <c r="U1292" s="53"/>
      <c r="V1292" s="53"/>
      <c r="W1292" s="53"/>
      <c r="X1292" s="53"/>
      <c r="Y1292" s="53"/>
      <c r="Z1292" s="53"/>
      <c r="AA1292" s="53"/>
      <c r="AB1292" s="53"/>
      <c r="AC1292" s="53"/>
      <c r="AD1292" s="53"/>
      <c r="AE1292" s="53"/>
      <c r="AF1292" s="53"/>
      <c r="AG1292" s="53"/>
      <c r="AH1292" s="53"/>
    </row>
    <row r="1293" spans="1:34" ht="15.75" x14ac:dyDescent="0.25">
      <c r="A1293" s="53"/>
      <c r="B1293" s="53"/>
      <c r="C1293" s="53"/>
      <c r="D1293" s="53"/>
      <c r="E1293" s="53"/>
      <c r="F1293" s="53"/>
      <c r="G1293" s="53"/>
      <c r="H1293" s="53"/>
      <c r="I1293" s="53"/>
      <c r="J1293" s="53"/>
      <c r="K1293" s="53"/>
      <c r="L1293" s="53"/>
      <c r="M1293" s="53"/>
      <c r="N1293" s="53"/>
      <c r="O1293" s="53"/>
      <c r="P1293" s="53"/>
      <c r="Q1293" s="53"/>
      <c r="R1293" s="53"/>
      <c r="S1293" s="53"/>
      <c r="T1293" s="53"/>
      <c r="U1293" s="53"/>
      <c r="V1293" s="53"/>
      <c r="W1293" s="53"/>
      <c r="X1293" s="53"/>
      <c r="Y1293" s="53"/>
      <c r="Z1293" s="53"/>
      <c r="AA1293" s="53"/>
      <c r="AB1293" s="53"/>
      <c r="AC1293" s="53"/>
      <c r="AD1293" s="53"/>
      <c r="AE1293" s="53"/>
      <c r="AF1293" s="53"/>
      <c r="AG1293" s="53"/>
      <c r="AH1293" s="53"/>
    </row>
    <row r="1294" spans="1:34" ht="15.75" x14ac:dyDescent="0.25">
      <c r="A1294" s="53"/>
      <c r="B1294" s="53"/>
      <c r="C1294" s="53"/>
      <c r="D1294" s="53"/>
      <c r="E1294" s="53"/>
      <c r="F1294" s="53"/>
      <c r="G1294" s="53"/>
      <c r="H1294" s="53"/>
      <c r="I1294" s="53"/>
      <c r="J1294" s="53"/>
      <c r="K1294" s="53"/>
      <c r="L1294" s="53"/>
      <c r="M1294" s="53"/>
      <c r="N1294" s="53"/>
      <c r="O1294" s="53"/>
      <c r="P1294" s="53"/>
      <c r="Q1294" s="53"/>
      <c r="R1294" s="53"/>
      <c r="S1294" s="53"/>
      <c r="T1294" s="53"/>
      <c r="U1294" s="53"/>
      <c r="V1294" s="53"/>
      <c r="W1294" s="53"/>
      <c r="X1294" s="53"/>
      <c r="Y1294" s="53"/>
      <c r="Z1294" s="53"/>
      <c r="AA1294" s="53"/>
      <c r="AB1294" s="53"/>
      <c r="AC1294" s="53"/>
      <c r="AD1294" s="53"/>
      <c r="AE1294" s="53"/>
      <c r="AF1294" s="53"/>
      <c r="AG1294" s="53"/>
      <c r="AH1294" s="53"/>
    </row>
    <row r="1295" spans="1:34" ht="15.75" x14ac:dyDescent="0.25">
      <c r="A1295" s="53"/>
      <c r="B1295" s="53"/>
      <c r="C1295" s="53"/>
      <c r="D1295" s="53"/>
      <c r="E1295" s="53"/>
      <c r="F1295" s="53"/>
      <c r="G1295" s="53"/>
      <c r="H1295" s="53"/>
      <c r="I1295" s="53"/>
      <c r="J1295" s="53"/>
      <c r="K1295" s="53"/>
      <c r="L1295" s="53"/>
      <c r="M1295" s="53"/>
      <c r="N1295" s="53"/>
      <c r="O1295" s="53"/>
      <c r="P1295" s="53"/>
      <c r="Q1295" s="53"/>
      <c r="R1295" s="53"/>
      <c r="S1295" s="53"/>
      <c r="T1295" s="53"/>
      <c r="U1295" s="53"/>
      <c r="V1295" s="53"/>
      <c r="W1295" s="53"/>
      <c r="X1295" s="53"/>
      <c r="Y1295" s="53"/>
      <c r="Z1295" s="53"/>
      <c r="AA1295" s="53"/>
      <c r="AB1295" s="53"/>
      <c r="AC1295" s="53"/>
      <c r="AD1295" s="53"/>
      <c r="AE1295" s="53"/>
      <c r="AF1295" s="53"/>
      <c r="AG1295" s="53"/>
      <c r="AH1295" s="53"/>
    </row>
    <row r="1296" spans="1:34" ht="15.75" x14ac:dyDescent="0.25">
      <c r="A1296" s="53"/>
      <c r="B1296" s="53"/>
      <c r="C1296" s="53"/>
      <c r="D1296" s="53"/>
      <c r="E1296" s="53"/>
      <c r="F1296" s="53"/>
      <c r="G1296" s="53"/>
      <c r="H1296" s="53"/>
      <c r="I1296" s="53"/>
      <c r="J1296" s="53"/>
      <c r="K1296" s="53"/>
      <c r="L1296" s="53"/>
      <c r="M1296" s="53"/>
      <c r="N1296" s="53"/>
      <c r="O1296" s="53"/>
      <c r="P1296" s="53"/>
      <c r="Q1296" s="53"/>
      <c r="R1296" s="53"/>
      <c r="S1296" s="53"/>
      <c r="T1296" s="53"/>
      <c r="U1296" s="53"/>
      <c r="V1296" s="53"/>
      <c r="W1296" s="53"/>
      <c r="X1296" s="53"/>
      <c r="Y1296" s="53"/>
      <c r="Z1296" s="53"/>
      <c r="AA1296" s="53"/>
      <c r="AB1296" s="53"/>
      <c r="AC1296" s="53"/>
      <c r="AD1296" s="53"/>
      <c r="AE1296" s="53"/>
      <c r="AF1296" s="53"/>
      <c r="AG1296" s="53"/>
      <c r="AH1296" s="53"/>
    </row>
    <row r="1297" spans="1:34" ht="15.75" x14ac:dyDescent="0.25">
      <c r="A1297" s="53"/>
      <c r="B1297" s="53"/>
      <c r="C1297" s="53"/>
      <c r="D1297" s="53"/>
      <c r="E1297" s="53"/>
      <c r="F1297" s="53"/>
      <c r="G1297" s="53"/>
      <c r="H1297" s="53"/>
      <c r="I1297" s="53"/>
      <c r="J1297" s="53"/>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row>
    <row r="1298" spans="1:34" ht="15.75" x14ac:dyDescent="0.25">
      <c r="A1298" s="53"/>
      <c r="B1298" s="53"/>
      <c r="C1298" s="53"/>
      <c r="D1298" s="53"/>
      <c r="E1298" s="53"/>
      <c r="F1298" s="53"/>
      <c r="G1298" s="53"/>
      <c r="H1298" s="53"/>
      <c r="I1298" s="53"/>
      <c r="J1298" s="53"/>
      <c r="K1298" s="53"/>
      <c r="L1298" s="53"/>
      <c r="M1298" s="53"/>
      <c r="N1298" s="53"/>
      <c r="O1298" s="53"/>
      <c r="P1298" s="53"/>
      <c r="Q1298" s="53"/>
      <c r="R1298" s="53"/>
      <c r="S1298" s="53"/>
      <c r="T1298" s="53"/>
      <c r="U1298" s="53"/>
      <c r="V1298" s="53"/>
      <c r="W1298" s="53"/>
      <c r="X1298" s="53"/>
      <c r="Y1298" s="53"/>
      <c r="Z1298" s="53"/>
      <c r="AA1298" s="53"/>
      <c r="AB1298" s="53"/>
      <c r="AC1298" s="53"/>
      <c r="AD1298" s="53"/>
      <c r="AE1298" s="53"/>
      <c r="AF1298" s="53"/>
      <c r="AG1298" s="53"/>
      <c r="AH1298" s="53"/>
    </row>
    <row r="1299" spans="1:34" ht="15.75" x14ac:dyDescent="0.25">
      <c r="A1299" s="53"/>
      <c r="B1299" s="53"/>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row>
    <row r="1300" spans="1:34" ht="15.75" x14ac:dyDescent="0.25">
      <c r="A1300" s="53"/>
      <c r="B1300" s="53"/>
      <c r="C1300" s="53"/>
      <c r="D1300" s="53"/>
      <c r="E1300" s="53"/>
      <c r="F1300" s="53"/>
      <c r="G1300" s="53"/>
      <c r="H1300" s="53"/>
      <c r="I1300" s="53"/>
      <c r="J1300" s="53"/>
      <c r="K1300" s="53"/>
      <c r="L1300" s="53"/>
      <c r="M1300" s="53"/>
      <c r="N1300" s="53"/>
      <c r="O1300" s="53"/>
      <c r="P1300" s="53"/>
      <c r="Q1300" s="53"/>
      <c r="R1300" s="53"/>
      <c r="S1300" s="53"/>
      <c r="T1300" s="53"/>
      <c r="U1300" s="53"/>
      <c r="V1300" s="53"/>
      <c r="W1300" s="53"/>
      <c r="X1300" s="53"/>
      <c r="Y1300" s="53"/>
      <c r="Z1300" s="53"/>
      <c r="AA1300" s="53"/>
      <c r="AB1300" s="53"/>
      <c r="AC1300" s="53"/>
      <c r="AD1300" s="53"/>
      <c r="AE1300" s="53"/>
      <c r="AF1300" s="53"/>
      <c r="AG1300" s="53"/>
      <c r="AH1300" s="53"/>
    </row>
    <row r="1301" spans="1:34" ht="15.75" x14ac:dyDescent="0.25">
      <c r="A1301" s="53"/>
      <c r="B1301" s="53"/>
      <c r="C1301" s="53"/>
      <c r="D1301" s="53"/>
      <c r="E1301" s="53"/>
      <c r="F1301" s="53"/>
      <c r="G1301" s="53"/>
      <c r="H1301" s="53"/>
      <c r="I1301" s="53"/>
      <c r="J1301" s="53"/>
      <c r="K1301" s="53"/>
      <c r="L1301" s="53"/>
      <c r="M1301" s="53"/>
      <c r="N1301" s="53"/>
      <c r="O1301" s="53"/>
      <c r="P1301" s="53"/>
      <c r="Q1301" s="53"/>
      <c r="R1301" s="53"/>
      <c r="S1301" s="53"/>
      <c r="T1301" s="53"/>
      <c r="U1301" s="53"/>
      <c r="V1301" s="53"/>
      <c r="W1301" s="53"/>
      <c r="X1301" s="53"/>
      <c r="Y1301" s="53"/>
      <c r="Z1301" s="53"/>
      <c r="AA1301" s="53"/>
      <c r="AB1301" s="53"/>
      <c r="AC1301" s="53"/>
      <c r="AD1301" s="53"/>
      <c r="AE1301" s="53"/>
      <c r="AF1301" s="53"/>
      <c r="AG1301" s="53"/>
      <c r="AH1301" s="53"/>
    </row>
    <row r="1302" spans="1:34" ht="15.75" x14ac:dyDescent="0.25">
      <c r="A1302" s="53"/>
      <c r="B1302" s="53"/>
      <c r="C1302" s="53"/>
      <c r="D1302" s="53"/>
      <c r="E1302" s="53"/>
      <c r="F1302" s="53"/>
      <c r="G1302" s="53"/>
      <c r="H1302" s="53"/>
      <c r="I1302" s="53"/>
      <c r="J1302" s="53"/>
      <c r="K1302" s="53"/>
      <c r="L1302" s="53"/>
      <c r="M1302" s="53"/>
      <c r="N1302" s="53"/>
      <c r="O1302" s="53"/>
      <c r="P1302" s="53"/>
      <c r="Q1302" s="53"/>
      <c r="R1302" s="53"/>
      <c r="S1302" s="53"/>
      <c r="T1302" s="53"/>
      <c r="U1302" s="53"/>
      <c r="V1302" s="53"/>
      <c r="W1302" s="53"/>
      <c r="X1302" s="53"/>
      <c r="Y1302" s="53"/>
      <c r="Z1302" s="53"/>
      <c r="AA1302" s="53"/>
      <c r="AB1302" s="53"/>
      <c r="AC1302" s="53"/>
      <c r="AD1302" s="53"/>
      <c r="AE1302" s="53"/>
      <c r="AF1302" s="53"/>
      <c r="AG1302" s="53"/>
      <c r="AH1302" s="53"/>
    </row>
    <row r="1303" spans="1:34" ht="15.75" x14ac:dyDescent="0.25">
      <c r="A1303" s="53"/>
      <c r="B1303" s="53"/>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row>
    <row r="1304" spans="1:34" ht="15.75" x14ac:dyDescent="0.25">
      <c r="A1304" s="53"/>
      <c r="B1304" s="53"/>
      <c r="C1304" s="53"/>
      <c r="D1304" s="53"/>
      <c r="E1304" s="53"/>
      <c r="F1304" s="53"/>
      <c r="G1304" s="53"/>
      <c r="H1304" s="53"/>
      <c r="I1304" s="53"/>
      <c r="J1304" s="53"/>
      <c r="K1304" s="53"/>
      <c r="L1304" s="53"/>
      <c r="M1304" s="53"/>
      <c r="N1304" s="53"/>
      <c r="O1304" s="53"/>
      <c r="P1304" s="53"/>
      <c r="Q1304" s="53"/>
      <c r="R1304" s="53"/>
      <c r="S1304" s="53"/>
      <c r="T1304" s="53"/>
      <c r="U1304" s="53"/>
      <c r="V1304" s="53"/>
      <c r="W1304" s="53"/>
      <c r="X1304" s="53"/>
      <c r="Y1304" s="53"/>
      <c r="Z1304" s="53"/>
      <c r="AA1304" s="53"/>
      <c r="AB1304" s="53"/>
      <c r="AC1304" s="53"/>
      <c r="AD1304" s="53"/>
      <c r="AE1304" s="53"/>
      <c r="AF1304" s="53"/>
      <c r="AG1304" s="53"/>
      <c r="AH1304" s="53"/>
    </row>
    <row r="1305" spans="1:34" ht="15.75" x14ac:dyDescent="0.25">
      <c r="A1305" s="53"/>
      <c r="B1305" s="53"/>
      <c r="C1305" s="53"/>
      <c r="D1305" s="53"/>
      <c r="E1305" s="53"/>
      <c r="F1305" s="53"/>
      <c r="G1305" s="53"/>
      <c r="H1305" s="53"/>
      <c r="I1305" s="53"/>
      <c r="J1305" s="53"/>
      <c r="K1305" s="53"/>
      <c r="L1305" s="53"/>
      <c r="M1305" s="53"/>
      <c r="N1305" s="53"/>
      <c r="O1305" s="53"/>
      <c r="P1305" s="53"/>
      <c r="Q1305" s="53"/>
      <c r="R1305" s="53"/>
      <c r="S1305" s="53"/>
      <c r="T1305" s="53"/>
      <c r="U1305" s="53"/>
      <c r="V1305" s="53"/>
      <c r="W1305" s="53"/>
      <c r="X1305" s="53"/>
      <c r="Y1305" s="53"/>
      <c r="Z1305" s="53"/>
      <c r="AA1305" s="53"/>
      <c r="AB1305" s="53"/>
      <c r="AC1305" s="53"/>
      <c r="AD1305" s="53"/>
      <c r="AE1305" s="53"/>
      <c r="AF1305" s="53"/>
      <c r="AG1305" s="53"/>
      <c r="AH1305" s="53"/>
    </row>
    <row r="1306" spans="1:34" ht="15.75" x14ac:dyDescent="0.25">
      <c r="A1306" s="53"/>
      <c r="B1306" s="53"/>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row>
    <row r="1307" spans="1:34" ht="15.75" x14ac:dyDescent="0.25">
      <c r="A1307" s="53"/>
      <c r="B1307" s="53"/>
      <c r="C1307" s="53"/>
      <c r="D1307" s="53"/>
      <c r="E1307" s="53"/>
      <c r="F1307" s="53"/>
      <c r="G1307" s="53"/>
      <c r="H1307" s="53"/>
      <c r="I1307" s="53"/>
      <c r="J1307" s="53"/>
      <c r="K1307" s="53"/>
      <c r="L1307" s="53"/>
      <c r="M1307" s="53"/>
      <c r="N1307" s="53"/>
      <c r="O1307" s="53"/>
      <c r="P1307" s="53"/>
      <c r="Q1307" s="53"/>
      <c r="R1307" s="53"/>
      <c r="S1307" s="53"/>
      <c r="T1307" s="53"/>
      <c r="U1307" s="53"/>
      <c r="V1307" s="53"/>
      <c r="W1307" s="53"/>
      <c r="X1307" s="53"/>
      <c r="Y1307" s="53"/>
      <c r="Z1307" s="53"/>
      <c r="AA1307" s="53"/>
      <c r="AB1307" s="53"/>
      <c r="AC1307" s="53"/>
      <c r="AD1307" s="53"/>
      <c r="AE1307" s="53"/>
      <c r="AF1307" s="53"/>
      <c r="AG1307" s="53"/>
      <c r="AH1307" s="53"/>
    </row>
    <row r="1308" spans="1:34" ht="15.75" x14ac:dyDescent="0.25">
      <c r="A1308" s="53"/>
      <c r="B1308" s="53"/>
      <c r="C1308" s="53"/>
      <c r="D1308" s="53"/>
      <c r="E1308" s="53"/>
      <c r="F1308" s="53"/>
      <c r="G1308" s="53"/>
      <c r="H1308" s="53"/>
      <c r="I1308" s="53"/>
      <c r="J1308" s="53"/>
      <c r="K1308" s="53"/>
      <c r="L1308" s="53"/>
      <c r="M1308" s="53"/>
      <c r="N1308" s="53"/>
      <c r="O1308" s="53"/>
      <c r="P1308" s="53"/>
      <c r="Q1308" s="53"/>
      <c r="R1308" s="53"/>
      <c r="S1308" s="53"/>
      <c r="T1308" s="53"/>
      <c r="U1308" s="53"/>
      <c r="V1308" s="53"/>
      <c r="W1308" s="53"/>
      <c r="X1308" s="53"/>
      <c r="Y1308" s="53"/>
      <c r="Z1308" s="53"/>
      <c r="AA1308" s="53"/>
      <c r="AB1308" s="53"/>
      <c r="AC1308" s="53"/>
      <c r="AD1308" s="53"/>
      <c r="AE1308" s="53"/>
      <c r="AF1308" s="53"/>
      <c r="AG1308" s="53"/>
      <c r="AH1308" s="53"/>
    </row>
    <row r="1309" spans="1:34" ht="15.75" x14ac:dyDescent="0.25">
      <c r="A1309" s="53"/>
      <c r="B1309" s="53"/>
      <c r="C1309" s="53"/>
      <c r="D1309" s="53"/>
      <c r="E1309" s="53"/>
      <c r="F1309" s="53"/>
      <c r="G1309" s="53"/>
      <c r="H1309" s="53"/>
      <c r="I1309" s="53"/>
      <c r="J1309" s="53"/>
      <c r="K1309" s="53"/>
      <c r="L1309" s="53"/>
      <c r="M1309" s="53"/>
      <c r="N1309" s="53"/>
      <c r="O1309" s="53"/>
      <c r="P1309" s="53"/>
      <c r="Q1309" s="53"/>
      <c r="R1309" s="53"/>
      <c r="S1309" s="53"/>
      <c r="T1309" s="53"/>
      <c r="U1309" s="53"/>
      <c r="V1309" s="53"/>
      <c r="W1309" s="53"/>
      <c r="X1309" s="53"/>
      <c r="Y1309" s="53"/>
      <c r="Z1309" s="53"/>
      <c r="AA1309" s="53"/>
      <c r="AB1309" s="53"/>
      <c r="AC1309" s="53"/>
      <c r="AD1309" s="53"/>
      <c r="AE1309" s="53"/>
      <c r="AF1309" s="53"/>
      <c r="AG1309" s="53"/>
      <c r="AH1309" s="53"/>
    </row>
    <row r="1310" spans="1:34" ht="15.75" x14ac:dyDescent="0.25">
      <c r="A1310" s="53"/>
      <c r="B1310" s="53"/>
      <c r="C1310" s="53"/>
      <c r="D1310" s="53"/>
      <c r="E1310" s="53"/>
      <c r="F1310" s="53"/>
      <c r="G1310" s="53"/>
      <c r="H1310" s="53"/>
      <c r="I1310" s="53"/>
      <c r="J1310" s="53"/>
      <c r="K1310" s="53"/>
      <c r="L1310" s="53"/>
      <c r="M1310" s="53"/>
      <c r="N1310" s="53"/>
      <c r="O1310" s="53"/>
      <c r="P1310" s="53"/>
      <c r="Q1310" s="53"/>
      <c r="R1310" s="53"/>
      <c r="S1310" s="53"/>
      <c r="T1310" s="53"/>
      <c r="U1310" s="53"/>
      <c r="V1310" s="53"/>
      <c r="W1310" s="53"/>
      <c r="X1310" s="53"/>
      <c r="Y1310" s="53"/>
      <c r="Z1310" s="53"/>
      <c r="AA1310" s="53"/>
      <c r="AB1310" s="53"/>
      <c r="AC1310" s="53"/>
      <c r="AD1310" s="53"/>
      <c r="AE1310" s="53"/>
      <c r="AF1310" s="53"/>
      <c r="AG1310" s="53"/>
      <c r="AH1310" s="53"/>
    </row>
    <row r="1311" spans="1:34" ht="15.75" x14ac:dyDescent="0.25">
      <c r="A1311" s="53"/>
      <c r="B1311" s="53"/>
      <c r="C1311" s="53"/>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3"/>
      <c r="AD1311" s="53"/>
      <c r="AE1311" s="53"/>
      <c r="AF1311" s="53"/>
      <c r="AG1311" s="53"/>
      <c r="AH1311" s="53"/>
    </row>
    <row r="1312" spans="1:34" ht="15.75" x14ac:dyDescent="0.25">
      <c r="A1312" s="53"/>
      <c r="B1312" s="53"/>
      <c r="C1312" s="53"/>
      <c r="D1312" s="53"/>
      <c r="E1312" s="53"/>
      <c r="F1312" s="53"/>
      <c r="G1312" s="53"/>
      <c r="H1312" s="53"/>
      <c r="I1312" s="53"/>
      <c r="J1312" s="53"/>
      <c r="K1312" s="53"/>
      <c r="L1312" s="53"/>
      <c r="M1312" s="53"/>
      <c r="N1312" s="53"/>
      <c r="O1312" s="53"/>
      <c r="P1312" s="53"/>
      <c r="Q1312" s="53"/>
      <c r="R1312" s="53"/>
      <c r="S1312" s="53"/>
      <c r="T1312" s="53"/>
      <c r="U1312" s="53"/>
      <c r="V1312" s="53"/>
      <c r="W1312" s="53"/>
      <c r="X1312" s="53"/>
      <c r="Y1312" s="53"/>
      <c r="Z1312" s="53"/>
      <c r="AA1312" s="53"/>
      <c r="AB1312" s="53"/>
      <c r="AC1312" s="53"/>
      <c r="AD1312" s="53"/>
      <c r="AE1312" s="53"/>
      <c r="AF1312" s="53"/>
      <c r="AG1312" s="53"/>
      <c r="AH1312" s="53"/>
    </row>
    <row r="1313" spans="1:34" ht="15.75" x14ac:dyDescent="0.25">
      <c r="A1313" s="53"/>
      <c r="B1313" s="53"/>
      <c r="C1313" s="53"/>
      <c r="D1313" s="53"/>
      <c r="E1313" s="53"/>
      <c r="F1313" s="53"/>
      <c r="G1313" s="53"/>
      <c r="H1313" s="53"/>
      <c r="I1313" s="53"/>
      <c r="J1313" s="53"/>
      <c r="K1313" s="53"/>
      <c r="L1313" s="53"/>
      <c r="M1313" s="53"/>
      <c r="N1313" s="53"/>
      <c r="O1313" s="53"/>
      <c r="P1313" s="53"/>
      <c r="Q1313" s="53"/>
      <c r="R1313" s="53"/>
      <c r="S1313" s="53"/>
      <c r="T1313" s="53"/>
      <c r="U1313" s="53"/>
      <c r="V1313" s="53"/>
      <c r="W1313" s="53"/>
      <c r="X1313" s="53"/>
      <c r="Y1313" s="53"/>
      <c r="Z1313" s="53"/>
      <c r="AA1313" s="53"/>
      <c r="AB1313" s="53"/>
      <c r="AC1313" s="53"/>
      <c r="AD1313" s="53"/>
      <c r="AE1313" s="53"/>
      <c r="AF1313" s="53"/>
      <c r="AG1313" s="53"/>
      <c r="AH1313" s="53"/>
    </row>
    <row r="1314" spans="1:34" ht="15.75" x14ac:dyDescent="0.25">
      <c r="A1314" s="53"/>
      <c r="B1314" s="53"/>
      <c r="C1314" s="53"/>
      <c r="D1314" s="53"/>
      <c r="E1314" s="53"/>
      <c r="F1314" s="53"/>
      <c r="G1314" s="53"/>
      <c r="H1314" s="53"/>
      <c r="I1314" s="53"/>
      <c r="J1314" s="53"/>
      <c r="K1314" s="53"/>
      <c r="L1314" s="53"/>
      <c r="M1314" s="53"/>
      <c r="N1314" s="53"/>
      <c r="O1314" s="53"/>
      <c r="P1314" s="53"/>
      <c r="Q1314" s="53"/>
      <c r="R1314" s="53"/>
      <c r="S1314" s="53"/>
      <c r="T1314" s="53"/>
      <c r="U1314" s="53"/>
      <c r="V1314" s="53"/>
      <c r="W1314" s="53"/>
      <c r="X1314" s="53"/>
      <c r="Y1314" s="53"/>
      <c r="Z1314" s="53"/>
      <c r="AA1314" s="53"/>
      <c r="AB1314" s="53"/>
      <c r="AC1314" s="53"/>
      <c r="AD1314" s="53"/>
      <c r="AE1314" s="53"/>
      <c r="AF1314" s="53"/>
      <c r="AG1314" s="53"/>
      <c r="AH1314" s="53"/>
    </row>
    <row r="1315" spans="1:34" ht="15.75" x14ac:dyDescent="0.25">
      <c r="A1315" s="53"/>
      <c r="B1315" s="53"/>
      <c r="C1315" s="53"/>
      <c r="D1315" s="53"/>
      <c r="E1315" s="53"/>
      <c r="F1315" s="53"/>
      <c r="G1315" s="53"/>
      <c r="H1315" s="53"/>
      <c r="I1315" s="53"/>
      <c r="J1315" s="53"/>
      <c r="K1315" s="53"/>
      <c r="L1315" s="53"/>
      <c r="M1315" s="53"/>
      <c r="N1315" s="53"/>
      <c r="O1315" s="53"/>
      <c r="P1315" s="53"/>
      <c r="Q1315" s="53"/>
      <c r="R1315" s="53"/>
      <c r="S1315" s="53"/>
      <c r="T1315" s="53"/>
      <c r="U1315" s="53"/>
      <c r="V1315" s="53"/>
      <c r="W1315" s="53"/>
      <c r="X1315" s="53"/>
      <c r="Y1315" s="53"/>
      <c r="Z1315" s="53"/>
      <c r="AA1315" s="53"/>
      <c r="AB1315" s="53"/>
      <c r="AC1315" s="53"/>
      <c r="AD1315" s="53"/>
      <c r="AE1315" s="53"/>
      <c r="AF1315" s="53"/>
      <c r="AG1315" s="53"/>
      <c r="AH1315" s="53"/>
    </row>
    <row r="1316" spans="1:34" ht="15.75" x14ac:dyDescent="0.25">
      <c r="A1316" s="53"/>
      <c r="B1316" s="53"/>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row>
    <row r="1317" spans="1:34" ht="15.75" x14ac:dyDescent="0.25">
      <c r="A1317" s="53"/>
      <c r="B1317" s="53"/>
      <c r="C1317" s="53"/>
      <c r="D1317" s="53"/>
      <c r="E1317" s="53"/>
      <c r="F1317" s="53"/>
      <c r="G1317" s="53"/>
      <c r="H1317" s="53"/>
      <c r="I1317" s="53"/>
      <c r="J1317" s="53"/>
      <c r="K1317" s="53"/>
      <c r="L1317" s="53"/>
      <c r="M1317" s="53"/>
      <c r="N1317" s="53"/>
      <c r="O1317" s="53"/>
      <c r="P1317" s="53"/>
      <c r="Q1317" s="53"/>
      <c r="R1317" s="53"/>
      <c r="S1317" s="53"/>
      <c r="T1317" s="53"/>
      <c r="U1317" s="53"/>
      <c r="V1317" s="53"/>
      <c r="W1317" s="53"/>
      <c r="X1317" s="53"/>
      <c r="Y1317" s="53"/>
      <c r="Z1317" s="53"/>
      <c r="AA1317" s="53"/>
      <c r="AB1317" s="53"/>
      <c r="AC1317" s="53"/>
      <c r="AD1317" s="53"/>
      <c r="AE1317" s="53"/>
      <c r="AF1317" s="53"/>
      <c r="AG1317" s="53"/>
      <c r="AH1317" s="53"/>
    </row>
    <row r="1318" spans="1:34" ht="15.75" x14ac:dyDescent="0.25">
      <c r="A1318" s="53"/>
      <c r="B1318" s="53"/>
      <c r="C1318" s="53"/>
      <c r="D1318" s="53"/>
      <c r="E1318" s="53"/>
      <c r="F1318" s="53"/>
      <c r="G1318" s="53"/>
      <c r="H1318" s="53"/>
      <c r="I1318" s="53"/>
      <c r="J1318" s="53"/>
      <c r="K1318" s="53"/>
      <c r="L1318" s="53"/>
      <c r="M1318" s="53"/>
      <c r="N1318" s="53"/>
      <c r="O1318" s="53"/>
      <c r="P1318" s="53"/>
      <c r="Q1318" s="53"/>
      <c r="R1318" s="53"/>
      <c r="S1318" s="53"/>
      <c r="T1318" s="53"/>
      <c r="U1318" s="53"/>
      <c r="V1318" s="53"/>
      <c r="W1318" s="53"/>
      <c r="X1318" s="53"/>
      <c r="Y1318" s="53"/>
      <c r="Z1318" s="53"/>
      <c r="AA1318" s="53"/>
      <c r="AB1318" s="53"/>
      <c r="AC1318" s="53"/>
      <c r="AD1318" s="53"/>
      <c r="AE1318" s="53"/>
      <c r="AF1318" s="53"/>
      <c r="AG1318" s="53"/>
      <c r="AH1318" s="53"/>
    </row>
    <row r="1319" spans="1:34" ht="15.75" x14ac:dyDescent="0.25">
      <c r="A1319" s="53"/>
      <c r="B1319" s="53"/>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row>
    <row r="1320" spans="1:34" ht="15.75" x14ac:dyDescent="0.25">
      <c r="A1320" s="53"/>
      <c r="B1320" s="53"/>
      <c r="C1320" s="53"/>
      <c r="D1320" s="53"/>
      <c r="E1320" s="53"/>
      <c r="F1320" s="53"/>
      <c r="G1320" s="53"/>
      <c r="H1320" s="53"/>
      <c r="I1320" s="53"/>
      <c r="J1320" s="53"/>
      <c r="K1320" s="53"/>
      <c r="L1320" s="53"/>
      <c r="M1320" s="53"/>
      <c r="N1320" s="53"/>
      <c r="O1320" s="53"/>
      <c r="P1320" s="53"/>
      <c r="Q1320" s="53"/>
      <c r="R1320" s="53"/>
      <c r="S1320" s="53"/>
      <c r="T1320" s="53"/>
      <c r="U1320" s="53"/>
      <c r="V1320" s="53"/>
      <c r="W1320" s="53"/>
      <c r="X1320" s="53"/>
      <c r="Y1320" s="53"/>
      <c r="Z1320" s="53"/>
      <c r="AA1320" s="53"/>
      <c r="AB1320" s="53"/>
      <c r="AC1320" s="53"/>
      <c r="AD1320" s="53"/>
      <c r="AE1320" s="53"/>
      <c r="AF1320" s="53"/>
      <c r="AG1320" s="53"/>
      <c r="AH1320" s="53"/>
    </row>
    <row r="1321" spans="1:34" ht="15.75" x14ac:dyDescent="0.25">
      <c r="A1321" s="53"/>
      <c r="B1321" s="53"/>
      <c r="C1321" s="53"/>
      <c r="D1321" s="53"/>
      <c r="E1321" s="53"/>
      <c r="F1321" s="53"/>
      <c r="G1321" s="53"/>
      <c r="H1321" s="53"/>
      <c r="I1321" s="53"/>
      <c r="J1321" s="53"/>
      <c r="K1321" s="53"/>
      <c r="L1321" s="53"/>
      <c r="M1321" s="53"/>
      <c r="N1321" s="53"/>
      <c r="O1321" s="53"/>
      <c r="P1321" s="53"/>
      <c r="Q1321" s="53"/>
      <c r="R1321" s="53"/>
      <c r="S1321" s="53"/>
      <c r="T1321" s="53"/>
      <c r="U1321" s="53"/>
      <c r="V1321" s="53"/>
      <c r="W1321" s="53"/>
      <c r="X1321" s="53"/>
      <c r="Y1321" s="53"/>
      <c r="Z1321" s="53"/>
      <c r="AA1321" s="53"/>
      <c r="AB1321" s="53"/>
      <c r="AC1321" s="53"/>
      <c r="AD1321" s="53"/>
      <c r="AE1321" s="53"/>
      <c r="AF1321" s="53"/>
      <c r="AG1321" s="53"/>
      <c r="AH1321" s="53"/>
    </row>
    <row r="1322" spans="1:34" ht="15.75" x14ac:dyDescent="0.25">
      <c r="A1322" s="53"/>
      <c r="B1322" s="53"/>
      <c r="C1322" s="53"/>
      <c r="D1322" s="53"/>
      <c r="E1322" s="53"/>
      <c r="F1322" s="53"/>
      <c r="G1322" s="53"/>
      <c r="H1322" s="53"/>
      <c r="I1322" s="53"/>
      <c r="J1322" s="53"/>
      <c r="K1322" s="53"/>
      <c r="L1322" s="53"/>
      <c r="M1322" s="53"/>
      <c r="N1322" s="53"/>
      <c r="O1322" s="53"/>
      <c r="P1322" s="53"/>
      <c r="Q1322" s="53"/>
      <c r="R1322" s="53"/>
      <c r="S1322" s="53"/>
      <c r="T1322" s="53"/>
      <c r="U1322" s="53"/>
      <c r="V1322" s="53"/>
      <c r="W1322" s="53"/>
      <c r="X1322" s="53"/>
      <c r="Y1322" s="53"/>
      <c r="Z1322" s="53"/>
      <c r="AA1322" s="53"/>
      <c r="AB1322" s="53"/>
      <c r="AC1322" s="53"/>
      <c r="AD1322" s="53"/>
      <c r="AE1322" s="53"/>
      <c r="AF1322" s="53"/>
      <c r="AG1322" s="53"/>
      <c r="AH1322" s="53"/>
    </row>
    <row r="1323" spans="1:34" ht="15.75" x14ac:dyDescent="0.25">
      <c r="A1323" s="53"/>
      <c r="B1323" s="53"/>
      <c r="C1323" s="53"/>
      <c r="D1323" s="53"/>
      <c r="E1323" s="53"/>
      <c r="F1323" s="53"/>
      <c r="G1323" s="53"/>
      <c r="H1323" s="53"/>
      <c r="I1323" s="53"/>
      <c r="J1323" s="53"/>
      <c r="K1323" s="53"/>
      <c r="L1323" s="53"/>
      <c r="M1323" s="53"/>
      <c r="N1323" s="53"/>
      <c r="O1323" s="53"/>
      <c r="P1323" s="53"/>
      <c r="Q1323" s="53"/>
      <c r="R1323" s="53"/>
      <c r="S1323" s="53"/>
      <c r="T1323" s="53"/>
      <c r="U1323" s="53"/>
      <c r="V1323" s="53"/>
      <c r="W1323" s="53"/>
      <c r="X1323" s="53"/>
      <c r="Y1323" s="53"/>
      <c r="Z1323" s="53"/>
      <c r="AA1323" s="53"/>
      <c r="AB1323" s="53"/>
      <c r="AC1323" s="53"/>
      <c r="AD1323" s="53"/>
      <c r="AE1323" s="53"/>
      <c r="AF1323" s="53"/>
      <c r="AG1323" s="53"/>
      <c r="AH1323" s="53"/>
    </row>
    <row r="1324" spans="1:34" ht="15.75" x14ac:dyDescent="0.25">
      <c r="A1324" s="53"/>
      <c r="B1324" s="53"/>
      <c r="C1324" s="53"/>
      <c r="D1324" s="53"/>
      <c r="E1324" s="53"/>
      <c r="F1324" s="53"/>
      <c r="G1324" s="53"/>
      <c r="H1324" s="53"/>
      <c r="I1324" s="53"/>
      <c r="J1324" s="53"/>
      <c r="K1324" s="53"/>
      <c r="L1324" s="53"/>
      <c r="M1324" s="53"/>
      <c r="N1324" s="53"/>
      <c r="O1324" s="53"/>
      <c r="P1324" s="53"/>
      <c r="Q1324" s="53"/>
      <c r="R1324" s="53"/>
      <c r="S1324" s="53"/>
      <c r="T1324" s="53"/>
      <c r="U1324" s="53"/>
      <c r="V1324" s="53"/>
      <c r="W1324" s="53"/>
      <c r="X1324" s="53"/>
      <c r="Y1324" s="53"/>
      <c r="Z1324" s="53"/>
      <c r="AA1324" s="53"/>
      <c r="AB1324" s="53"/>
      <c r="AC1324" s="53"/>
      <c r="AD1324" s="53"/>
      <c r="AE1324" s="53"/>
      <c r="AF1324" s="53"/>
      <c r="AG1324" s="53"/>
      <c r="AH1324" s="53"/>
    </row>
    <row r="1325" spans="1:34" ht="15.75" x14ac:dyDescent="0.25">
      <c r="A1325" s="53"/>
      <c r="B1325" s="53"/>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row>
    <row r="1326" spans="1:34" ht="15.75" x14ac:dyDescent="0.25">
      <c r="A1326" s="53"/>
      <c r="B1326" s="53"/>
      <c r="C1326" s="53"/>
      <c r="D1326" s="53"/>
      <c r="E1326" s="53"/>
      <c r="F1326" s="53"/>
      <c r="G1326" s="53"/>
      <c r="H1326" s="53"/>
      <c r="I1326" s="53"/>
      <c r="J1326" s="53"/>
      <c r="K1326" s="53"/>
      <c r="L1326" s="53"/>
      <c r="M1326" s="53"/>
      <c r="N1326" s="53"/>
      <c r="O1326" s="53"/>
      <c r="P1326" s="53"/>
      <c r="Q1326" s="53"/>
      <c r="R1326" s="53"/>
      <c r="S1326" s="53"/>
      <c r="T1326" s="53"/>
      <c r="U1326" s="53"/>
      <c r="V1326" s="53"/>
      <c r="W1326" s="53"/>
      <c r="X1326" s="53"/>
      <c r="Y1326" s="53"/>
      <c r="Z1326" s="53"/>
      <c r="AA1326" s="53"/>
      <c r="AB1326" s="53"/>
      <c r="AC1326" s="53"/>
      <c r="AD1326" s="53"/>
      <c r="AE1326" s="53"/>
      <c r="AF1326" s="53"/>
      <c r="AG1326" s="53"/>
      <c r="AH1326" s="53"/>
    </row>
    <row r="1327" spans="1:34" ht="15.75" x14ac:dyDescent="0.25">
      <c r="A1327" s="53"/>
      <c r="B1327" s="53"/>
      <c r="C1327" s="53"/>
      <c r="D1327" s="53"/>
      <c r="E1327" s="53"/>
      <c r="F1327" s="53"/>
      <c r="G1327" s="53"/>
      <c r="H1327" s="53"/>
      <c r="I1327" s="53"/>
      <c r="J1327" s="53"/>
      <c r="K1327" s="53"/>
      <c r="L1327" s="53"/>
      <c r="M1327" s="53"/>
      <c r="N1327" s="53"/>
      <c r="O1327" s="53"/>
      <c r="P1327" s="53"/>
      <c r="Q1327" s="53"/>
      <c r="R1327" s="53"/>
      <c r="S1327" s="53"/>
      <c r="T1327" s="53"/>
      <c r="U1327" s="53"/>
      <c r="V1327" s="53"/>
      <c r="W1327" s="53"/>
      <c r="X1327" s="53"/>
      <c r="Y1327" s="53"/>
      <c r="Z1327" s="53"/>
      <c r="AA1327" s="53"/>
      <c r="AB1327" s="53"/>
      <c r="AC1327" s="53"/>
      <c r="AD1327" s="53"/>
      <c r="AE1327" s="53"/>
      <c r="AF1327" s="53"/>
      <c r="AG1327" s="53"/>
      <c r="AH1327" s="53"/>
    </row>
    <row r="1328" spans="1:34" ht="15.75" x14ac:dyDescent="0.25">
      <c r="A1328" s="53"/>
      <c r="B1328" s="53"/>
      <c r="C1328" s="53"/>
      <c r="D1328" s="53"/>
      <c r="E1328" s="53"/>
      <c r="F1328" s="53"/>
      <c r="G1328" s="53"/>
      <c r="H1328" s="53"/>
      <c r="I1328" s="53"/>
      <c r="J1328" s="53"/>
      <c r="K1328" s="53"/>
      <c r="L1328" s="53"/>
      <c r="M1328" s="53"/>
      <c r="N1328" s="53"/>
      <c r="O1328" s="53"/>
      <c r="P1328" s="53"/>
      <c r="Q1328" s="53"/>
      <c r="R1328" s="53"/>
      <c r="S1328" s="53"/>
      <c r="T1328" s="53"/>
      <c r="U1328" s="53"/>
      <c r="V1328" s="53"/>
      <c r="W1328" s="53"/>
      <c r="X1328" s="53"/>
      <c r="Y1328" s="53"/>
      <c r="Z1328" s="53"/>
      <c r="AA1328" s="53"/>
      <c r="AB1328" s="53"/>
      <c r="AC1328" s="53"/>
      <c r="AD1328" s="53"/>
      <c r="AE1328" s="53"/>
      <c r="AF1328" s="53"/>
      <c r="AG1328" s="53"/>
      <c r="AH1328" s="53"/>
    </row>
    <row r="1329" spans="1:34" ht="15.75" x14ac:dyDescent="0.25">
      <c r="A1329" s="53"/>
      <c r="B1329" s="53"/>
      <c r="C1329" s="53"/>
      <c r="D1329" s="53"/>
      <c r="E1329" s="53"/>
      <c r="F1329" s="53"/>
      <c r="G1329" s="53"/>
      <c r="H1329" s="53"/>
      <c r="I1329" s="53"/>
      <c r="J1329" s="53"/>
      <c r="K1329" s="53"/>
      <c r="L1329" s="53"/>
      <c r="M1329" s="53"/>
      <c r="N1329" s="53"/>
      <c r="O1329" s="53"/>
      <c r="P1329" s="53"/>
      <c r="Q1329" s="53"/>
      <c r="R1329" s="53"/>
      <c r="S1329" s="53"/>
      <c r="T1329" s="53"/>
      <c r="U1329" s="53"/>
      <c r="V1329" s="53"/>
      <c r="W1329" s="53"/>
      <c r="X1329" s="53"/>
      <c r="Y1329" s="53"/>
      <c r="Z1329" s="53"/>
      <c r="AA1329" s="53"/>
      <c r="AB1329" s="53"/>
      <c r="AC1329" s="53"/>
      <c r="AD1329" s="53"/>
      <c r="AE1329" s="53"/>
      <c r="AF1329" s="53"/>
      <c r="AG1329" s="53"/>
      <c r="AH1329" s="53"/>
    </row>
    <row r="1330" spans="1:34" ht="15.75" x14ac:dyDescent="0.25">
      <c r="A1330" s="53"/>
      <c r="B1330" s="53"/>
      <c r="C1330" s="53"/>
      <c r="D1330" s="53"/>
      <c r="E1330" s="53"/>
      <c r="F1330" s="53"/>
      <c r="G1330" s="53"/>
      <c r="H1330" s="53"/>
      <c r="I1330" s="53"/>
      <c r="J1330" s="53"/>
      <c r="K1330" s="53"/>
      <c r="L1330" s="53"/>
      <c r="M1330" s="53"/>
      <c r="N1330" s="53"/>
      <c r="O1330" s="53"/>
      <c r="P1330" s="53"/>
      <c r="Q1330" s="53"/>
      <c r="R1330" s="53"/>
      <c r="S1330" s="53"/>
      <c r="T1330" s="53"/>
      <c r="U1330" s="53"/>
      <c r="V1330" s="53"/>
      <c r="W1330" s="53"/>
      <c r="X1330" s="53"/>
      <c r="Y1330" s="53"/>
      <c r="Z1330" s="53"/>
      <c r="AA1330" s="53"/>
      <c r="AB1330" s="53"/>
      <c r="AC1330" s="53"/>
      <c r="AD1330" s="53"/>
      <c r="AE1330" s="53"/>
      <c r="AF1330" s="53"/>
      <c r="AG1330" s="53"/>
      <c r="AH1330" s="53"/>
    </row>
    <row r="1331" spans="1:34" ht="15.75" x14ac:dyDescent="0.25">
      <c r="A1331" s="53"/>
      <c r="B1331" s="53"/>
      <c r="C1331" s="53"/>
      <c r="D1331" s="53"/>
      <c r="E1331" s="53"/>
      <c r="F1331" s="53"/>
      <c r="G1331" s="53"/>
      <c r="H1331" s="53"/>
      <c r="I1331" s="53"/>
      <c r="J1331" s="53"/>
      <c r="K1331" s="53"/>
      <c r="L1331" s="53"/>
      <c r="M1331" s="53"/>
      <c r="N1331" s="53"/>
      <c r="O1331" s="53"/>
      <c r="P1331" s="53"/>
      <c r="Q1331" s="53"/>
      <c r="R1331" s="53"/>
      <c r="S1331" s="53"/>
      <c r="T1331" s="53"/>
      <c r="U1331" s="53"/>
      <c r="V1331" s="53"/>
      <c r="W1331" s="53"/>
      <c r="X1331" s="53"/>
      <c r="Y1331" s="53"/>
      <c r="Z1331" s="53"/>
      <c r="AA1331" s="53"/>
      <c r="AB1331" s="53"/>
      <c r="AC1331" s="53"/>
      <c r="AD1331" s="53"/>
      <c r="AE1331" s="53"/>
      <c r="AF1331" s="53"/>
      <c r="AG1331" s="53"/>
      <c r="AH1331" s="53"/>
    </row>
    <row r="1332" spans="1:34" ht="15.75" x14ac:dyDescent="0.25">
      <c r="A1332" s="53"/>
      <c r="B1332" s="53"/>
      <c r="C1332" s="53"/>
      <c r="D1332" s="53"/>
      <c r="E1332" s="53"/>
      <c r="F1332" s="53"/>
      <c r="G1332" s="53"/>
      <c r="H1332" s="53"/>
      <c r="I1332" s="53"/>
      <c r="J1332" s="53"/>
      <c r="K1332" s="53"/>
      <c r="L1332" s="53"/>
      <c r="M1332" s="53"/>
      <c r="N1332" s="53"/>
      <c r="O1332" s="53"/>
      <c r="P1332" s="53"/>
      <c r="Q1332" s="53"/>
      <c r="R1332" s="53"/>
      <c r="S1332" s="53"/>
      <c r="T1332" s="53"/>
      <c r="U1332" s="53"/>
      <c r="V1332" s="53"/>
      <c r="W1332" s="53"/>
      <c r="X1332" s="53"/>
      <c r="Y1332" s="53"/>
      <c r="Z1332" s="53"/>
      <c r="AA1332" s="53"/>
      <c r="AB1332" s="53"/>
      <c r="AC1332" s="53"/>
      <c r="AD1332" s="53"/>
      <c r="AE1332" s="53"/>
      <c r="AF1332" s="53"/>
      <c r="AG1332" s="53"/>
      <c r="AH1332" s="53"/>
    </row>
    <row r="1333" spans="1:34" ht="15.75" x14ac:dyDescent="0.25">
      <c r="A1333" s="53"/>
      <c r="B1333" s="53"/>
      <c r="C1333" s="53"/>
      <c r="D1333" s="53"/>
      <c r="E1333" s="53"/>
      <c r="F1333" s="53"/>
      <c r="G1333" s="53"/>
      <c r="H1333" s="53"/>
      <c r="I1333" s="53"/>
      <c r="J1333" s="53"/>
      <c r="K1333" s="53"/>
      <c r="L1333" s="53"/>
      <c r="M1333" s="53"/>
      <c r="N1333" s="53"/>
      <c r="O1333" s="53"/>
      <c r="P1333" s="53"/>
      <c r="Q1333" s="53"/>
      <c r="R1333" s="53"/>
      <c r="S1333" s="53"/>
      <c r="T1333" s="53"/>
      <c r="U1333" s="53"/>
      <c r="V1333" s="53"/>
      <c r="W1333" s="53"/>
      <c r="X1333" s="53"/>
      <c r="Y1333" s="53"/>
      <c r="Z1333" s="53"/>
      <c r="AA1333" s="53"/>
      <c r="AB1333" s="53"/>
      <c r="AC1333" s="53"/>
      <c r="AD1333" s="53"/>
      <c r="AE1333" s="53"/>
      <c r="AF1333" s="53"/>
      <c r="AG1333" s="53"/>
      <c r="AH1333" s="53"/>
    </row>
    <row r="1334" spans="1:34" ht="15.75" x14ac:dyDescent="0.25">
      <c r="A1334" s="53"/>
      <c r="B1334" s="53"/>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row>
    <row r="1335" spans="1:34" ht="15.75" x14ac:dyDescent="0.25">
      <c r="A1335" s="53"/>
      <c r="B1335" s="53"/>
      <c r="C1335" s="53"/>
      <c r="D1335" s="53"/>
      <c r="E1335" s="53"/>
      <c r="F1335" s="53"/>
      <c r="G1335" s="53"/>
      <c r="H1335" s="53"/>
      <c r="I1335" s="53"/>
      <c r="J1335" s="53"/>
      <c r="K1335" s="53"/>
      <c r="L1335" s="53"/>
      <c r="M1335" s="53"/>
      <c r="N1335" s="53"/>
      <c r="O1335" s="53"/>
      <c r="P1335" s="53"/>
      <c r="Q1335" s="53"/>
      <c r="R1335" s="53"/>
      <c r="S1335" s="53"/>
      <c r="T1335" s="53"/>
      <c r="U1335" s="53"/>
      <c r="V1335" s="53"/>
      <c r="W1335" s="53"/>
      <c r="X1335" s="53"/>
      <c r="Y1335" s="53"/>
      <c r="Z1335" s="53"/>
      <c r="AA1335" s="53"/>
      <c r="AB1335" s="53"/>
      <c r="AC1335" s="53"/>
      <c r="AD1335" s="53"/>
      <c r="AE1335" s="53"/>
      <c r="AF1335" s="53"/>
      <c r="AG1335" s="53"/>
      <c r="AH1335" s="53"/>
    </row>
    <row r="1336" spans="1:34" ht="15.75" x14ac:dyDescent="0.25">
      <c r="A1336" s="53"/>
      <c r="B1336" s="53"/>
      <c r="C1336" s="53"/>
      <c r="D1336" s="53"/>
      <c r="E1336" s="53"/>
      <c r="F1336" s="53"/>
      <c r="G1336" s="53"/>
      <c r="H1336" s="53"/>
      <c r="I1336" s="53"/>
      <c r="J1336" s="53"/>
      <c r="K1336" s="53"/>
      <c r="L1336" s="53"/>
      <c r="M1336" s="53"/>
      <c r="N1336" s="53"/>
      <c r="O1336" s="53"/>
      <c r="P1336" s="53"/>
      <c r="Q1336" s="53"/>
      <c r="R1336" s="53"/>
      <c r="S1336" s="53"/>
      <c r="T1336" s="53"/>
      <c r="U1336" s="53"/>
      <c r="V1336" s="53"/>
      <c r="W1336" s="53"/>
      <c r="X1336" s="53"/>
      <c r="Y1336" s="53"/>
      <c r="Z1336" s="53"/>
      <c r="AA1336" s="53"/>
      <c r="AB1336" s="53"/>
      <c r="AC1336" s="53"/>
      <c r="AD1336" s="53"/>
      <c r="AE1336" s="53"/>
      <c r="AF1336" s="53"/>
      <c r="AG1336" s="53"/>
      <c r="AH1336" s="53"/>
    </row>
    <row r="1337" spans="1:34" ht="15.75" x14ac:dyDescent="0.25">
      <c r="A1337" s="53"/>
      <c r="B1337" s="53"/>
      <c r="C1337" s="53"/>
      <c r="D1337" s="53"/>
      <c r="E1337" s="53"/>
      <c r="F1337" s="53"/>
      <c r="G1337" s="53"/>
      <c r="H1337" s="53"/>
      <c r="I1337" s="53"/>
      <c r="J1337" s="53"/>
      <c r="K1337" s="53"/>
      <c r="L1337" s="53"/>
      <c r="M1337" s="53"/>
      <c r="N1337" s="53"/>
      <c r="O1337" s="53"/>
      <c r="P1337" s="53"/>
      <c r="Q1337" s="53"/>
      <c r="R1337" s="53"/>
      <c r="S1337" s="53"/>
      <c r="T1337" s="53"/>
      <c r="U1337" s="53"/>
      <c r="V1337" s="53"/>
      <c r="W1337" s="53"/>
      <c r="X1337" s="53"/>
      <c r="Y1337" s="53"/>
      <c r="Z1337" s="53"/>
      <c r="AA1337" s="53"/>
      <c r="AB1337" s="53"/>
      <c r="AC1337" s="53"/>
      <c r="AD1337" s="53"/>
      <c r="AE1337" s="53"/>
      <c r="AF1337" s="53"/>
      <c r="AG1337" s="53"/>
      <c r="AH1337" s="53"/>
    </row>
    <row r="1338" spans="1:34" ht="15.75" x14ac:dyDescent="0.25">
      <c r="A1338" s="53"/>
      <c r="B1338" s="53"/>
      <c r="C1338" s="53"/>
      <c r="D1338" s="53"/>
      <c r="E1338" s="53"/>
      <c r="F1338" s="53"/>
      <c r="G1338" s="53"/>
      <c r="H1338" s="53"/>
      <c r="I1338" s="53"/>
      <c r="J1338" s="53"/>
      <c r="K1338" s="53"/>
      <c r="L1338" s="53"/>
      <c r="M1338" s="53"/>
      <c r="N1338" s="53"/>
      <c r="O1338" s="53"/>
      <c r="P1338" s="53"/>
      <c r="Q1338" s="53"/>
      <c r="R1338" s="53"/>
      <c r="S1338" s="53"/>
      <c r="T1338" s="53"/>
      <c r="U1338" s="53"/>
      <c r="V1338" s="53"/>
      <c r="W1338" s="53"/>
      <c r="X1338" s="53"/>
      <c r="Y1338" s="53"/>
      <c r="Z1338" s="53"/>
      <c r="AA1338" s="53"/>
      <c r="AB1338" s="53"/>
      <c r="AC1338" s="53"/>
      <c r="AD1338" s="53"/>
      <c r="AE1338" s="53"/>
      <c r="AF1338" s="53"/>
      <c r="AG1338" s="53"/>
      <c r="AH1338" s="53"/>
    </row>
    <row r="1339" spans="1:34" ht="15.75" x14ac:dyDescent="0.25">
      <c r="A1339" s="53"/>
      <c r="B1339" s="53"/>
      <c r="C1339" s="53"/>
      <c r="D1339" s="53"/>
      <c r="E1339" s="53"/>
      <c r="F1339" s="53"/>
      <c r="G1339" s="53"/>
      <c r="H1339" s="53"/>
      <c r="I1339" s="53"/>
      <c r="J1339" s="53"/>
      <c r="K1339" s="53"/>
      <c r="L1339" s="53"/>
      <c r="M1339" s="53"/>
      <c r="N1339" s="53"/>
      <c r="O1339" s="53"/>
      <c r="P1339" s="53"/>
      <c r="Q1339" s="53"/>
      <c r="R1339" s="53"/>
      <c r="S1339" s="53"/>
      <c r="T1339" s="53"/>
      <c r="U1339" s="53"/>
      <c r="V1339" s="53"/>
      <c r="W1339" s="53"/>
      <c r="X1339" s="53"/>
      <c r="Y1339" s="53"/>
      <c r="Z1339" s="53"/>
      <c r="AA1339" s="53"/>
      <c r="AB1339" s="53"/>
      <c r="AC1339" s="53"/>
      <c r="AD1339" s="53"/>
      <c r="AE1339" s="53"/>
      <c r="AF1339" s="53"/>
      <c r="AG1339" s="53"/>
      <c r="AH1339" s="53"/>
    </row>
    <row r="1340" spans="1:34" ht="15.75" x14ac:dyDescent="0.25">
      <c r="A1340" s="53"/>
      <c r="B1340" s="53"/>
      <c r="C1340" s="53"/>
      <c r="D1340" s="53"/>
      <c r="E1340" s="53"/>
      <c r="F1340" s="53"/>
      <c r="G1340" s="53"/>
      <c r="H1340" s="53"/>
      <c r="I1340" s="53"/>
      <c r="J1340" s="53"/>
      <c r="K1340" s="53"/>
      <c r="L1340" s="53"/>
      <c r="M1340" s="53"/>
      <c r="N1340" s="53"/>
      <c r="O1340" s="53"/>
      <c r="P1340" s="53"/>
      <c r="Q1340" s="53"/>
      <c r="R1340" s="53"/>
      <c r="S1340" s="53"/>
      <c r="T1340" s="53"/>
      <c r="U1340" s="53"/>
      <c r="V1340" s="53"/>
      <c r="W1340" s="53"/>
      <c r="X1340" s="53"/>
      <c r="Y1340" s="53"/>
      <c r="Z1340" s="53"/>
      <c r="AA1340" s="53"/>
      <c r="AB1340" s="53"/>
      <c r="AC1340" s="53"/>
      <c r="AD1340" s="53"/>
      <c r="AE1340" s="53"/>
      <c r="AF1340" s="53"/>
      <c r="AG1340" s="53"/>
      <c r="AH1340" s="53"/>
    </row>
    <row r="1341" spans="1:34" ht="15.75" x14ac:dyDescent="0.25">
      <c r="A1341" s="53"/>
      <c r="B1341" s="53"/>
      <c r="C1341" s="53"/>
      <c r="D1341" s="53"/>
      <c r="E1341" s="53"/>
      <c r="F1341" s="53"/>
      <c r="G1341" s="53"/>
      <c r="H1341" s="53"/>
      <c r="I1341" s="53"/>
      <c r="J1341" s="53"/>
      <c r="K1341" s="53"/>
      <c r="L1341" s="53"/>
      <c r="M1341" s="53"/>
      <c r="N1341" s="53"/>
      <c r="O1341" s="53"/>
      <c r="P1341" s="53"/>
      <c r="Q1341" s="53"/>
      <c r="R1341" s="53"/>
      <c r="S1341" s="53"/>
      <c r="T1341" s="53"/>
      <c r="U1341" s="53"/>
      <c r="V1341" s="53"/>
      <c r="W1341" s="53"/>
      <c r="X1341" s="53"/>
      <c r="Y1341" s="53"/>
      <c r="Z1341" s="53"/>
      <c r="AA1341" s="53"/>
      <c r="AB1341" s="53"/>
      <c r="AC1341" s="53"/>
      <c r="AD1341" s="53"/>
      <c r="AE1341" s="53"/>
      <c r="AF1341" s="53"/>
      <c r="AG1341" s="53"/>
      <c r="AH1341" s="53"/>
    </row>
    <row r="1342" spans="1:34" ht="15.75" x14ac:dyDescent="0.25">
      <c r="A1342" s="53"/>
      <c r="B1342" s="53"/>
      <c r="C1342" s="53"/>
      <c r="D1342" s="53"/>
      <c r="E1342" s="53"/>
      <c r="F1342" s="53"/>
      <c r="G1342" s="53"/>
      <c r="H1342" s="53"/>
      <c r="I1342" s="53"/>
      <c r="J1342" s="53"/>
      <c r="K1342" s="53"/>
      <c r="L1342" s="53"/>
      <c r="M1342" s="53"/>
      <c r="N1342" s="53"/>
      <c r="O1342" s="53"/>
      <c r="P1342" s="53"/>
      <c r="Q1342" s="53"/>
      <c r="R1342" s="53"/>
      <c r="S1342" s="53"/>
      <c r="T1342" s="53"/>
      <c r="U1342" s="53"/>
      <c r="V1342" s="53"/>
      <c r="W1342" s="53"/>
      <c r="X1342" s="53"/>
      <c r="Y1342" s="53"/>
      <c r="Z1342" s="53"/>
      <c r="AA1342" s="53"/>
      <c r="AB1342" s="53"/>
      <c r="AC1342" s="53"/>
      <c r="AD1342" s="53"/>
      <c r="AE1342" s="53"/>
      <c r="AF1342" s="53"/>
      <c r="AG1342" s="53"/>
      <c r="AH1342" s="53"/>
    </row>
    <row r="1343" spans="1:34" ht="15.75" x14ac:dyDescent="0.25">
      <c r="A1343" s="53"/>
      <c r="B1343" s="53"/>
      <c r="C1343" s="53"/>
      <c r="D1343" s="53"/>
      <c r="E1343" s="53"/>
      <c r="F1343" s="53"/>
      <c r="G1343" s="53"/>
      <c r="H1343" s="53"/>
      <c r="I1343" s="53"/>
      <c r="J1343" s="53"/>
      <c r="K1343" s="53"/>
      <c r="L1343" s="53"/>
      <c r="M1343" s="53"/>
      <c r="N1343" s="53"/>
      <c r="O1343" s="53"/>
      <c r="P1343" s="53"/>
      <c r="Q1343" s="53"/>
      <c r="R1343" s="53"/>
      <c r="S1343" s="53"/>
      <c r="T1343" s="53"/>
      <c r="U1343" s="53"/>
      <c r="V1343" s="53"/>
      <c r="W1343" s="53"/>
      <c r="X1343" s="53"/>
      <c r="Y1343" s="53"/>
      <c r="Z1343" s="53"/>
      <c r="AA1343" s="53"/>
      <c r="AB1343" s="53"/>
      <c r="AC1343" s="53"/>
      <c r="AD1343" s="53"/>
      <c r="AE1343" s="53"/>
      <c r="AF1343" s="53"/>
      <c r="AG1343" s="53"/>
      <c r="AH1343" s="53"/>
    </row>
    <row r="1344" spans="1:34" ht="15.75" x14ac:dyDescent="0.25">
      <c r="A1344" s="53"/>
      <c r="B1344" s="53"/>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row>
    <row r="1345" spans="1:34" ht="15.75" x14ac:dyDescent="0.25">
      <c r="A1345" s="53"/>
      <c r="B1345" s="53"/>
      <c r="C1345" s="53"/>
      <c r="D1345" s="53"/>
      <c r="E1345" s="53"/>
      <c r="F1345" s="53"/>
      <c r="G1345" s="53"/>
      <c r="H1345" s="53"/>
      <c r="I1345" s="53"/>
      <c r="J1345" s="53"/>
      <c r="K1345" s="53"/>
      <c r="L1345" s="53"/>
      <c r="M1345" s="53"/>
      <c r="N1345" s="53"/>
      <c r="O1345" s="53"/>
      <c r="P1345" s="53"/>
      <c r="Q1345" s="53"/>
      <c r="R1345" s="53"/>
      <c r="S1345" s="53"/>
      <c r="T1345" s="53"/>
      <c r="U1345" s="53"/>
      <c r="V1345" s="53"/>
      <c r="W1345" s="53"/>
      <c r="X1345" s="53"/>
      <c r="Y1345" s="53"/>
      <c r="Z1345" s="53"/>
      <c r="AA1345" s="53"/>
      <c r="AB1345" s="53"/>
      <c r="AC1345" s="53"/>
      <c r="AD1345" s="53"/>
      <c r="AE1345" s="53"/>
      <c r="AF1345" s="53"/>
      <c r="AG1345" s="53"/>
      <c r="AH1345" s="53"/>
    </row>
    <row r="1346" spans="1:34" ht="15.75" x14ac:dyDescent="0.25">
      <c r="A1346" s="53"/>
      <c r="B1346" s="53"/>
      <c r="C1346" s="53"/>
      <c r="D1346" s="53"/>
      <c r="E1346" s="53"/>
      <c r="F1346" s="53"/>
      <c r="G1346" s="53"/>
      <c r="H1346" s="53"/>
      <c r="I1346" s="53"/>
      <c r="J1346" s="53"/>
      <c r="K1346" s="53"/>
      <c r="L1346" s="53"/>
      <c r="M1346" s="53"/>
      <c r="N1346" s="53"/>
      <c r="O1346" s="53"/>
      <c r="P1346" s="53"/>
      <c r="Q1346" s="53"/>
      <c r="R1346" s="53"/>
      <c r="S1346" s="53"/>
      <c r="T1346" s="53"/>
      <c r="U1346" s="53"/>
      <c r="V1346" s="53"/>
      <c r="W1346" s="53"/>
      <c r="X1346" s="53"/>
      <c r="Y1346" s="53"/>
      <c r="Z1346" s="53"/>
      <c r="AA1346" s="53"/>
      <c r="AB1346" s="53"/>
      <c r="AC1346" s="53"/>
      <c r="AD1346" s="53"/>
      <c r="AE1346" s="53"/>
      <c r="AF1346" s="53"/>
      <c r="AG1346" s="53"/>
      <c r="AH1346" s="53"/>
    </row>
    <row r="1347" spans="1:34" ht="15.75" x14ac:dyDescent="0.25">
      <c r="A1347" s="53"/>
      <c r="B1347" s="53"/>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row>
    <row r="1348" spans="1:34" ht="15.75" x14ac:dyDescent="0.25">
      <c r="A1348" s="53"/>
      <c r="B1348" s="53"/>
      <c r="C1348" s="53"/>
      <c r="D1348" s="53"/>
      <c r="E1348" s="53"/>
      <c r="F1348" s="53"/>
      <c r="G1348" s="53"/>
      <c r="H1348" s="53"/>
      <c r="I1348" s="53"/>
      <c r="J1348" s="53"/>
      <c r="K1348" s="53"/>
      <c r="L1348" s="53"/>
      <c r="M1348" s="53"/>
      <c r="N1348" s="53"/>
      <c r="O1348" s="53"/>
      <c r="P1348" s="53"/>
      <c r="Q1348" s="53"/>
      <c r="R1348" s="53"/>
      <c r="S1348" s="53"/>
      <c r="T1348" s="53"/>
      <c r="U1348" s="53"/>
      <c r="V1348" s="53"/>
      <c r="W1348" s="53"/>
      <c r="X1348" s="53"/>
      <c r="Y1348" s="53"/>
      <c r="Z1348" s="53"/>
      <c r="AA1348" s="53"/>
      <c r="AB1348" s="53"/>
      <c r="AC1348" s="53"/>
      <c r="AD1348" s="53"/>
      <c r="AE1348" s="53"/>
      <c r="AF1348" s="53"/>
      <c r="AG1348" s="53"/>
      <c r="AH1348" s="53"/>
    </row>
    <row r="1349" spans="1:34" ht="15.75" x14ac:dyDescent="0.25">
      <c r="A1349" s="53"/>
      <c r="B1349" s="53"/>
      <c r="C1349" s="53"/>
      <c r="D1349" s="53"/>
      <c r="E1349" s="53"/>
      <c r="F1349" s="53"/>
      <c r="G1349" s="53"/>
      <c r="H1349" s="53"/>
      <c r="I1349" s="53"/>
      <c r="J1349" s="53"/>
      <c r="K1349" s="53"/>
      <c r="L1349" s="53"/>
      <c r="M1349" s="53"/>
      <c r="N1349" s="53"/>
      <c r="O1349" s="53"/>
      <c r="P1349" s="53"/>
      <c r="Q1349" s="53"/>
      <c r="R1349" s="53"/>
      <c r="S1349" s="53"/>
      <c r="T1349" s="53"/>
      <c r="U1349" s="53"/>
      <c r="V1349" s="53"/>
      <c r="W1349" s="53"/>
      <c r="X1349" s="53"/>
      <c r="Y1349" s="53"/>
      <c r="Z1349" s="53"/>
      <c r="AA1349" s="53"/>
      <c r="AB1349" s="53"/>
      <c r="AC1349" s="53"/>
      <c r="AD1349" s="53"/>
      <c r="AE1349" s="53"/>
      <c r="AF1349" s="53"/>
      <c r="AG1349" s="53"/>
      <c r="AH1349" s="53"/>
    </row>
    <row r="1350" spans="1:34" ht="15.75" x14ac:dyDescent="0.25">
      <c r="A1350" s="53"/>
      <c r="B1350" s="53"/>
      <c r="C1350" s="53"/>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3"/>
      <c r="AD1350" s="53"/>
      <c r="AE1350" s="53"/>
      <c r="AF1350" s="53"/>
      <c r="AG1350" s="53"/>
      <c r="AH1350" s="53"/>
    </row>
    <row r="1351" spans="1:34" ht="15.75" x14ac:dyDescent="0.25">
      <c r="A1351" s="53"/>
      <c r="B1351" s="53"/>
      <c r="C1351" s="53"/>
      <c r="D1351" s="53"/>
      <c r="E1351" s="53"/>
      <c r="F1351" s="53"/>
      <c r="G1351" s="53"/>
      <c r="H1351" s="53"/>
      <c r="I1351" s="53"/>
      <c r="J1351" s="53"/>
      <c r="K1351" s="53"/>
      <c r="L1351" s="53"/>
      <c r="M1351" s="53"/>
      <c r="N1351" s="53"/>
      <c r="O1351" s="53"/>
      <c r="P1351" s="53"/>
      <c r="Q1351" s="53"/>
      <c r="R1351" s="53"/>
      <c r="S1351" s="53"/>
      <c r="T1351" s="53"/>
      <c r="U1351" s="53"/>
      <c r="V1351" s="53"/>
      <c r="W1351" s="53"/>
      <c r="X1351" s="53"/>
      <c r="Y1351" s="53"/>
      <c r="Z1351" s="53"/>
      <c r="AA1351" s="53"/>
      <c r="AB1351" s="53"/>
      <c r="AC1351" s="53"/>
      <c r="AD1351" s="53"/>
      <c r="AE1351" s="53"/>
      <c r="AF1351" s="53"/>
      <c r="AG1351" s="53"/>
      <c r="AH1351" s="53"/>
    </row>
    <row r="1352" spans="1:34" ht="15.75" x14ac:dyDescent="0.25">
      <c r="A1352" s="53"/>
      <c r="B1352" s="53"/>
      <c r="C1352" s="53"/>
      <c r="D1352" s="53"/>
      <c r="E1352" s="53"/>
      <c r="F1352" s="53"/>
      <c r="G1352" s="53"/>
      <c r="H1352" s="53"/>
      <c r="I1352" s="53"/>
      <c r="J1352" s="53"/>
      <c r="K1352" s="53"/>
      <c r="L1352" s="53"/>
      <c r="M1352" s="53"/>
      <c r="N1352" s="53"/>
      <c r="O1352" s="53"/>
      <c r="P1352" s="53"/>
      <c r="Q1352" s="53"/>
      <c r="R1352" s="53"/>
      <c r="S1352" s="53"/>
      <c r="T1352" s="53"/>
      <c r="U1352" s="53"/>
      <c r="V1352" s="53"/>
      <c r="W1352" s="53"/>
      <c r="X1352" s="53"/>
      <c r="Y1352" s="53"/>
      <c r="Z1352" s="53"/>
      <c r="AA1352" s="53"/>
      <c r="AB1352" s="53"/>
      <c r="AC1352" s="53"/>
      <c r="AD1352" s="53"/>
      <c r="AE1352" s="53"/>
      <c r="AF1352" s="53"/>
      <c r="AG1352" s="53"/>
      <c r="AH1352" s="53"/>
    </row>
    <row r="1353" spans="1:34" ht="15.75" x14ac:dyDescent="0.25">
      <c r="A1353" s="53"/>
      <c r="B1353" s="53"/>
      <c r="C1353" s="53"/>
      <c r="D1353" s="53"/>
      <c r="E1353" s="53"/>
      <c r="F1353" s="53"/>
      <c r="G1353" s="53"/>
      <c r="H1353" s="53"/>
      <c r="I1353" s="53"/>
      <c r="J1353" s="53"/>
      <c r="K1353" s="53"/>
      <c r="L1353" s="53"/>
      <c r="M1353" s="53"/>
      <c r="N1353" s="53"/>
      <c r="O1353" s="53"/>
      <c r="P1353" s="53"/>
      <c r="Q1353" s="53"/>
      <c r="R1353" s="53"/>
      <c r="S1353" s="53"/>
      <c r="T1353" s="53"/>
      <c r="U1353" s="53"/>
      <c r="V1353" s="53"/>
      <c r="W1353" s="53"/>
      <c r="X1353" s="53"/>
      <c r="Y1353" s="53"/>
      <c r="Z1353" s="53"/>
      <c r="AA1353" s="53"/>
      <c r="AB1353" s="53"/>
      <c r="AC1353" s="53"/>
      <c r="AD1353" s="53"/>
      <c r="AE1353" s="53"/>
      <c r="AF1353" s="53"/>
      <c r="AG1353" s="53"/>
      <c r="AH1353" s="53"/>
    </row>
    <row r="1354" spans="1:34" ht="15.75" x14ac:dyDescent="0.25">
      <c r="A1354" s="53"/>
      <c r="B1354" s="53"/>
      <c r="C1354" s="53"/>
      <c r="D1354" s="53"/>
      <c r="E1354" s="53"/>
      <c r="F1354" s="53"/>
      <c r="G1354" s="53"/>
      <c r="H1354" s="53"/>
      <c r="I1354" s="53"/>
      <c r="J1354" s="53"/>
      <c r="K1354" s="53"/>
      <c r="L1354" s="53"/>
      <c r="M1354" s="53"/>
      <c r="N1354" s="53"/>
      <c r="O1354" s="53"/>
      <c r="P1354" s="53"/>
      <c r="Q1354" s="53"/>
      <c r="R1354" s="53"/>
      <c r="S1354" s="53"/>
      <c r="T1354" s="53"/>
      <c r="U1354" s="53"/>
      <c r="V1354" s="53"/>
      <c r="W1354" s="53"/>
      <c r="X1354" s="53"/>
      <c r="Y1354" s="53"/>
      <c r="Z1354" s="53"/>
      <c r="AA1354" s="53"/>
      <c r="AB1354" s="53"/>
      <c r="AC1354" s="53"/>
      <c r="AD1354" s="53"/>
      <c r="AE1354" s="53"/>
      <c r="AF1354" s="53"/>
      <c r="AG1354" s="53"/>
      <c r="AH1354" s="53"/>
    </row>
    <row r="1355" spans="1:34" ht="15.75" x14ac:dyDescent="0.25">
      <c r="A1355" s="53"/>
      <c r="B1355" s="53"/>
      <c r="C1355" s="53"/>
      <c r="D1355" s="53"/>
      <c r="E1355" s="53"/>
      <c r="F1355" s="53"/>
      <c r="G1355" s="53"/>
      <c r="H1355" s="53"/>
      <c r="I1355" s="53"/>
      <c r="J1355" s="53"/>
      <c r="K1355" s="53"/>
      <c r="L1355" s="53"/>
      <c r="M1355" s="53"/>
      <c r="N1355" s="53"/>
      <c r="O1355" s="53"/>
      <c r="P1355" s="53"/>
      <c r="Q1355" s="53"/>
      <c r="R1355" s="53"/>
      <c r="S1355" s="53"/>
      <c r="T1355" s="53"/>
      <c r="U1355" s="53"/>
      <c r="V1355" s="53"/>
      <c r="W1355" s="53"/>
      <c r="X1355" s="53"/>
      <c r="Y1355" s="53"/>
      <c r="Z1355" s="53"/>
      <c r="AA1355" s="53"/>
      <c r="AB1355" s="53"/>
      <c r="AC1355" s="53"/>
      <c r="AD1355" s="53"/>
      <c r="AE1355" s="53"/>
      <c r="AF1355" s="53"/>
      <c r="AG1355" s="53"/>
      <c r="AH1355" s="53"/>
    </row>
    <row r="1356" spans="1:34" ht="15.75" x14ac:dyDescent="0.25">
      <c r="A1356" s="53"/>
      <c r="B1356" s="53"/>
      <c r="C1356" s="53"/>
      <c r="D1356" s="53"/>
      <c r="E1356" s="53"/>
      <c r="F1356" s="53"/>
      <c r="G1356" s="53"/>
      <c r="H1356" s="53"/>
      <c r="I1356" s="53"/>
      <c r="J1356" s="53"/>
      <c r="K1356" s="53"/>
      <c r="L1356" s="53"/>
      <c r="M1356" s="53"/>
      <c r="N1356" s="53"/>
      <c r="O1356" s="53"/>
      <c r="P1356" s="53"/>
      <c r="Q1356" s="53"/>
      <c r="R1356" s="53"/>
      <c r="S1356" s="53"/>
      <c r="T1356" s="53"/>
      <c r="U1356" s="53"/>
      <c r="V1356" s="53"/>
      <c r="W1356" s="53"/>
      <c r="X1356" s="53"/>
      <c r="Y1356" s="53"/>
      <c r="Z1356" s="53"/>
      <c r="AA1356" s="53"/>
      <c r="AB1356" s="53"/>
      <c r="AC1356" s="53"/>
      <c r="AD1356" s="53"/>
      <c r="AE1356" s="53"/>
      <c r="AF1356" s="53"/>
      <c r="AG1356" s="53"/>
      <c r="AH1356" s="53"/>
    </row>
    <row r="1357" spans="1:34" ht="15.75" x14ac:dyDescent="0.25">
      <c r="A1357" s="53"/>
      <c r="B1357" s="53"/>
      <c r="C1357" s="53"/>
      <c r="D1357" s="53"/>
      <c r="E1357" s="53"/>
      <c r="F1357" s="53"/>
      <c r="G1357" s="53"/>
      <c r="H1357" s="53"/>
      <c r="I1357" s="53"/>
      <c r="J1357" s="53"/>
      <c r="K1357" s="53"/>
      <c r="L1357" s="53"/>
      <c r="M1357" s="53"/>
      <c r="N1357" s="53"/>
      <c r="O1357" s="53"/>
      <c r="P1357" s="53"/>
      <c r="Q1357" s="53"/>
      <c r="R1357" s="53"/>
      <c r="S1357" s="53"/>
      <c r="T1357" s="53"/>
      <c r="U1357" s="53"/>
      <c r="V1357" s="53"/>
      <c r="W1357" s="53"/>
      <c r="X1357" s="53"/>
      <c r="Y1357" s="53"/>
      <c r="Z1357" s="53"/>
      <c r="AA1357" s="53"/>
      <c r="AB1357" s="53"/>
      <c r="AC1357" s="53"/>
      <c r="AD1357" s="53"/>
      <c r="AE1357" s="53"/>
      <c r="AF1357" s="53"/>
      <c r="AG1357" s="53"/>
      <c r="AH1357" s="53"/>
    </row>
    <row r="1358" spans="1:34" ht="15.75" x14ac:dyDescent="0.25">
      <c r="A1358" s="53"/>
      <c r="B1358" s="53"/>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row>
    <row r="1359" spans="1:34" ht="15.75" x14ac:dyDescent="0.25">
      <c r="A1359" s="53"/>
      <c r="B1359" s="53"/>
      <c r="C1359" s="53"/>
      <c r="D1359" s="53"/>
      <c r="E1359" s="53"/>
      <c r="F1359" s="53"/>
      <c r="G1359" s="53"/>
      <c r="H1359" s="53"/>
      <c r="I1359" s="53"/>
      <c r="J1359" s="53"/>
      <c r="K1359" s="53"/>
      <c r="L1359" s="53"/>
      <c r="M1359" s="53"/>
      <c r="N1359" s="53"/>
      <c r="O1359" s="53"/>
      <c r="P1359" s="53"/>
      <c r="Q1359" s="53"/>
      <c r="R1359" s="53"/>
      <c r="S1359" s="53"/>
      <c r="T1359" s="53"/>
      <c r="U1359" s="53"/>
      <c r="V1359" s="53"/>
      <c r="W1359" s="53"/>
      <c r="X1359" s="53"/>
      <c r="Y1359" s="53"/>
      <c r="Z1359" s="53"/>
      <c r="AA1359" s="53"/>
      <c r="AB1359" s="53"/>
      <c r="AC1359" s="53"/>
      <c r="AD1359" s="53"/>
      <c r="AE1359" s="53"/>
      <c r="AF1359" s="53"/>
      <c r="AG1359" s="53"/>
      <c r="AH1359" s="53"/>
    </row>
    <row r="1360" spans="1:34" ht="15.75" x14ac:dyDescent="0.25">
      <c r="A1360" s="53"/>
      <c r="B1360" s="53"/>
      <c r="C1360" s="53"/>
      <c r="D1360" s="53"/>
      <c r="E1360" s="53"/>
      <c r="F1360" s="53"/>
      <c r="G1360" s="53"/>
      <c r="H1360" s="53"/>
      <c r="I1360" s="53"/>
      <c r="J1360" s="53"/>
      <c r="K1360" s="53"/>
      <c r="L1360" s="53"/>
      <c r="M1360" s="53"/>
      <c r="N1360" s="53"/>
      <c r="O1360" s="53"/>
      <c r="P1360" s="53"/>
      <c r="Q1360" s="53"/>
      <c r="R1360" s="53"/>
      <c r="S1360" s="53"/>
      <c r="T1360" s="53"/>
      <c r="U1360" s="53"/>
      <c r="V1360" s="53"/>
      <c r="W1360" s="53"/>
      <c r="X1360" s="53"/>
      <c r="Y1360" s="53"/>
      <c r="Z1360" s="53"/>
      <c r="AA1360" s="53"/>
      <c r="AB1360" s="53"/>
      <c r="AC1360" s="53"/>
      <c r="AD1360" s="53"/>
      <c r="AE1360" s="53"/>
      <c r="AF1360" s="53"/>
      <c r="AG1360" s="53"/>
      <c r="AH1360" s="53"/>
    </row>
    <row r="1361" spans="1:34" ht="15.75" x14ac:dyDescent="0.25">
      <c r="A1361" s="53"/>
      <c r="B1361" s="53"/>
      <c r="C1361" s="53"/>
      <c r="D1361" s="53"/>
      <c r="E1361" s="53"/>
      <c r="F1361" s="53"/>
      <c r="G1361" s="53"/>
      <c r="H1361" s="53"/>
      <c r="I1361" s="53"/>
      <c r="J1361" s="53"/>
      <c r="K1361" s="53"/>
      <c r="L1361" s="53"/>
      <c r="M1361" s="53"/>
      <c r="N1361" s="53"/>
      <c r="O1361" s="53"/>
      <c r="P1361" s="53"/>
      <c r="Q1361" s="53"/>
      <c r="R1361" s="53"/>
      <c r="S1361" s="53"/>
      <c r="T1361" s="53"/>
      <c r="U1361" s="53"/>
      <c r="V1361" s="53"/>
      <c r="W1361" s="53"/>
      <c r="X1361" s="53"/>
      <c r="Y1361" s="53"/>
      <c r="Z1361" s="53"/>
      <c r="AA1361" s="53"/>
      <c r="AB1361" s="53"/>
      <c r="AC1361" s="53"/>
      <c r="AD1361" s="53"/>
      <c r="AE1361" s="53"/>
      <c r="AF1361" s="53"/>
      <c r="AG1361" s="53"/>
      <c r="AH1361" s="53"/>
    </row>
    <row r="1362" spans="1:34" ht="15.75" x14ac:dyDescent="0.25">
      <c r="A1362" s="53"/>
      <c r="B1362" s="53"/>
      <c r="C1362" s="53"/>
      <c r="D1362" s="53"/>
      <c r="E1362" s="53"/>
      <c r="F1362" s="53"/>
      <c r="G1362" s="53"/>
      <c r="H1362" s="53"/>
      <c r="I1362" s="53"/>
      <c r="J1362" s="53"/>
      <c r="K1362" s="53"/>
      <c r="L1362" s="53"/>
      <c r="M1362" s="53"/>
      <c r="N1362" s="53"/>
      <c r="O1362" s="53"/>
      <c r="P1362" s="53"/>
      <c r="Q1362" s="53"/>
      <c r="R1362" s="53"/>
      <c r="S1362" s="53"/>
      <c r="T1362" s="53"/>
      <c r="U1362" s="53"/>
      <c r="V1362" s="53"/>
      <c r="W1362" s="53"/>
      <c r="X1362" s="53"/>
      <c r="Y1362" s="53"/>
      <c r="Z1362" s="53"/>
      <c r="AA1362" s="53"/>
      <c r="AB1362" s="53"/>
      <c r="AC1362" s="53"/>
      <c r="AD1362" s="53"/>
      <c r="AE1362" s="53"/>
      <c r="AF1362" s="53"/>
      <c r="AG1362" s="53"/>
      <c r="AH1362" s="53"/>
    </row>
    <row r="1363" spans="1:34" ht="15.75" x14ac:dyDescent="0.25">
      <c r="A1363" s="53"/>
      <c r="B1363" s="53"/>
      <c r="C1363" s="53"/>
      <c r="D1363" s="53"/>
      <c r="E1363" s="53"/>
      <c r="F1363" s="53"/>
      <c r="G1363" s="53"/>
      <c r="H1363" s="53"/>
      <c r="I1363" s="53"/>
      <c r="J1363" s="53"/>
      <c r="K1363" s="53"/>
      <c r="L1363" s="53"/>
      <c r="M1363" s="53"/>
      <c r="N1363" s="53"/>
      <c r="O1363" s="53"/>
      <c r="P1363" s="53"/>
      <c r="Q1363" s="53"/>
      <c r="R1363" s="53"/>
      <c r="S1363" s="53"/>
      <c r="T1363" s="53"/>
      <c r="U1363" s="53"/>
      <c r="V1363" s="53"/>
      <c r="W1363" s="53"/>
      <c r="X1363" s="53"/>
      <c r="Y1363" s="53"/>
      <c r="Z1363" s="53"/>
      <c r="AA1363" s="53"/>
      <c r="AB1363" s="53"/>
      <c r="AC1363" s="53"/>
      <c r="AD1363" s="53"/>
      <c r="AE1363" s="53"/>
      <c r="AF1363" s="53"/>
      <c r="AG1363" s="53"/>
      <c r="AH1363" s="53"/>
    </row>
    <row r="1364" spans="1:34" ht="15.75" x14ac:dyDescent="0.25">
      <c r="A1364" s="53"/>
      <c r="B1364" s="53"/>
      <c r="C1364" s="53"/>
      <c r="D1364" s="53"/>
      <c r="E1364" s="53"/>
      <c r="F1364" s="53"/>
      <c r="G1364" s="53"/>
      <c r="H1364" s="53"/>
      <c r="I1364" s="53"/>
      <c r="J1364" s="53"/>
      <c r="K1364" s="53"/>
      <c r="L1364" s="53"/>
      <c r="M1364" s="53"/>
      <c r="N1364" s="53"/>
      <c r="O1364" s="53"/>
      <c r="P1364" s="53"/>
      <c r="Q1364" s="53"/>
      <c r="R1364" s="53"/>
      <c r="S1364" s="53"/>
      <c r="T1364" s="53"/>
      <c r="U1364" s="53"/>
      <c r="V1364" s="53"/>
      <c r="W1364" s="53"/>
      <c r="X1364" s="53"/>
      <c r="Y1364" s="53"/>
      <c r="Z1364" s="53"/>
      <c r="AA1364" s="53"/>
      <c r="AB1364" s="53"/>
      <c r="AC1364" s="53"/>
      <c r="AD1364" s="53"/>
      <c r="AE1364" s="53"/>
      <c r="AF1364" s="53"/>
      <c r="AG1364" s="53"/>
      <c r="AH1364" s="53"/>
    </row>
    <row r="1365" spans="1:34" ht="15.75" x14ac:dyDescent="0.25">
      <c r="A1365" s="53"/>
      <c r="B1365" s="53"/>
      <c r="C1365" s="53"/>
      <c r="D1365" s="53"/>
      <c r="E1365" s="53"/>
      <c r="F1365" s="53"/>
      <c r="G1365" s="53"/>
      <c r="H1365" s="53"/>
      <c r="I1365" s="53"/>
      <c r="J1365" s="53"/>
      <c r="K1365" s="53"/>
      <c r="L1365" s="53"/>
      <c r="M1365" s="53"/>
      <c r="N1365" s="53"/>
      <c r="O1365" s="53"/>
      <c r="P1365" s="53"/>
      <c r="Q1365" s="53"/>
      <c r="R1365" s="53"/>
      <c r="S1365" s="53"/>
      <c r="T1365" s="53"/>
      <c r="U1365" s="53"/>
      <c r="V1365" s="53"/>
      <c r="W1365" s="53"/>
      <c r="X1365" s="53"/>
      <c r="Y1365" s="53"/>
      <c r="Z1365" s="53"/>
      <c r="AA1365" s="53"/>
      <c r="AB1365" s="53"/>
      <c r="AC1365" s="53"/>
      <c r="AD1365" s="53"/>
      <c r="AE1365" s="53"/>
      <c r="AF1365" s="53"/>
      <c r="AG1365" s="53"/>
      <c r="AH1365" s="53"/>
    </row>
    <row r="1366" spans="1:34" ht="15.75" x14ac:dyDescent="0.25">
      <c r="A1366" s="53"/>
      <c r="B1366" s="53"/>
      <c r="C1366" s="53"/>
      <c r="D1366" s="53"/>
      <c r="E1366" s="53"/>
      <c r="F1366" s="53"/>
      <c r="G1366" s="53"/>
      <c r="H1366" s="53"/>
      <c r="I1366" s="53"/>
      <c r="J1366" s="53"/>
      <c r="K1366" s="53"/>
      <c r="L1366" s="53"/>
      <c r="M1366" s="53"/>
      <c r="N1366" s="53"/>
      <c r="O1366" s="53"/>
      <c r="P1366" s="53"/>
      <c r="Q1366" s="53"/>
      <c r="R1366" s="53"/>
      <c r="S1366" s="53"/>
      <c r="T1366" s="53"/>
      <c r="U1366" s="53"/>
      <c r="V1366" s="53"/>
      <c r="W1366" s="53"/>
      <c r="X1366" s="53"/>
      <c r="Y1366" s="53"/>
      <c r="Z1366" s="53"/>
      <c r="AA1366" s="53"/>
      <c r="AB1366" s="53"/>
      <c r="AC1366" s="53"/>
      <c r="AD1366" s="53"/>
      <c r="AE1366" s="53"/>
      <c r="AF1366" s="53"/>
      <c r="AG1366" s="53"/>
      <c r="AH1366" s="53"/>
    </row>
    <row r="1367" spans="1:34" ht="15.75" x14ac:dyDescent="0.25">
      <c r="A1367" s="53"/>
      <c r="B1367" s="53"/>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row>
    <row r="1368" spans="1:34" ht="15.75" x14ac:dyDescent="0.25">
      <c r="A1368" s="53"/>
      <c r="B1368" s="53"/>
      <c r="C1368" s="53"/>
      <c r="D1368" s="53"/>
      <c r="E1368" s="53"/>
      <c r="F1368" s="53"/>
      <c r="G1368" s="53"/>
      <c r="H1368" s="53"/>
      <c r="I1368" s="53"/>
      <c r="J1368" s="53"/>
      <c r="K1368" s="53"/>
      <c r="L1368" s="53"/>
      <c r="M1368" s="53"/>
      <c r="N1368" s="53"/>
      <c r="O1368" s="53"/>
      <c r="P1368" s="53"/>
      <c r="Q1368" s="53"/>
      <c r="R1368" s="53"/>
      <c r="S1368" s="53"/>
      <c r="T1368" s="53"/>
      <c r="U1368" s="53"/>
      <c r="V1368" s="53"/>
      <c r="W1368" s="53"/>
      <c r="X1368" s="53"/>
      <c r="Y1368" s="53"/>
      <c r="Z1368" s="53"/>
      <c r="AA1368" s="53"/>
      <c r="AB1368" s="53"/>
      <c r="AC1368" s="53"/>
      <c r="AD1368" s="53"/>
      <c r="AE1368" s="53"/>
      <c r="AF1368" s="53"/>
      <c r="AG1368" s="53"/>
      <c r="AH1368" s="53"/>
    </row>
    <row r="1369" spans="1:34" ht="15.75" x14ac:dyDescent="0.25">
      <c r="A1369" s="53"/>
      <c r="B1369" s="53"/>
      <c r="C1369" s="53"/>
      <c r="D1369" s="53"/>
      <c r="E1369" s="53"/>
      <c r="F1369" s="53"/>
      <c r="G1369" s="53"/>
      <c r="H1369" s="53"/>
      <c r="I1369" s="53"/>
      <c r="J1369" s="53"/>
      <c r="K1369" s="53"/>
      <c r="L1369" s="53"/>
      <c r="M1369" s="53"/>
      <c r="N1369" s="53"/>
      <c r="O1369" s="53"/>
      <c r="P1369" s="53"/>
      <c r="Q1369" s="53"/>
      <c r="R1369" s="53"/>
      <c r="S1369" s="53"/>
      <c r="T1369" s="53"/>
      <c r="U1369" s="53"/>
      <c r="V1369" s="53"/>
      <c r="W1369" s="53"/>
      <c r="X1369" s="53"/>
      <c r="Y1369" s="53"/>
      <c r="Z1369" s="53"/>
      <c r="AA1369" s="53"/>
      <c r="AB1369" s="53"/>
      <c r="AC1369" s="53"/>
      <c r="AD1369" s="53"/>
      <c r="AE1369" s="53"/>
      <c r="AF1369" s="53"/>
      <c r="AG1369" s="53"/>
      <c r="AH1369" s="53"/>
    </row>
    <row r="1370" spans="1:34" ht="15.75" x14ac:dyDescent="0.25">
      <c r="A1370" s="53"/>
      <c r="B1370" s="53"/>
      <c r="C1370" s="53"/>
      <c r="D1370" s="53"/>
      <c r="E1370" s="53"/>
      <c r="F1370" s="53"/>
      <c r="G1370" s="53"/>
      <c r="H1370" s="53"/>
      <c r="I1370" s="53"/>
      <c r="J1370" s="53"/>
      <c r="K1370" s="53"/>
      <c r="L1370" s="53"/>
      <c r="M1370" s="53"/>
      <c r="N1370" s="53"/>
      <c r="O1370" s="53"/>
      <c r="P1370" s="53"/>
      <c r="Q1370" s="53"/>
      <c r="R1370" s="53"/>
      <c r="S1370" s="53"/>
      <c r="T1370" s="53"/>
      <c r="U1370" s="53"/>
      <c r="V1370" s="53"/>
      <c r="W1370" s="53"/>
      <c r="X1370" s="53"/>
      <c r="Y1370" s="53"/>
      <c r="Z1370" s="53"/>
      <c r="AA1370" s="53"/>
      <c r="AB1370" s="53"/>
      <c r="AC1370" s="53"/>
      <c r="AD1370" s="53"/>
      <c r="AE1370" s="53"/>
      <c r="AF1370" s="53"/>
      <c r="AG1370" s="53"/>
      <c r="AH1370" s="53"/>
    </row>
    <row r="1371" spans="1:34" ht="15.75" x14ac:dyDescent="0.25">
      <c r="A1371" s="53"/>
      <c r="B1371" s="53"/>
      <c r="C1371" s="53"/>
      <c r="D1371" s="53"/>
      <c r="E1371" s="53"/>
      <c r="F1371" s="53"/>
      <c r="G1371" s="53"/>
      <c r="H1371" s="53"/>
      <c r="I1371" s="53"/>
      <c r="J1371" s="53"/>
      <c r="K1371" s="53"/>
      <c r="L1371" s="53"/>
      <c r="M1371" s="53"/>
      <c r="N1371" s="53"/>
      <c r="O1371" s="53"/>
      <c r="P1371" s="53"/>
      <c r="Q1371" s="53"/>
      <c r="R1371" s="53"/>
      <c r="S1371" s="53"/>
      <c r="T1371" s="53"/>
      <c r="U1371" s="53"/>
      <c r="V1371" s="53"/>
      <c r="W1371" s="53"/>
      <c r="X1371" s="53"/>
      <c r="Y1371" s="53"/>
      <c r="Z1371" s="53"/>
      <c r="AA1371" s="53"/>
      <c r="AB1371" s="53"/>
      <c r="AC1371" s="53"/>
      <c r="AD1371" s="53"/>
      <c r="AE1371" s="53"/>
      <c r="AF1371" s="53"/>
      <c r="AG1371" s="53"/>
      <c r="AH1371" s="53"/>
    </row>
    <row r="1372" spans="1:34" ht="15.75" x14ac:dyDescent="0.25">
      <c r="A1372" s="53"/>
      <c r="B1372" s="53"/>
      <c r="C1372" s="53"/>
      <c r="D1372" s="53"/>
      <c r="E1372" s="53"/>
      <c r="F1372" s="53"/>
      <c r="G1372" s="53"/>
      <c r="H1372" s="53"/>
      <c r="I1372" s="53"/>
      <c r="J1372" s="53"/>
      <c r="K1372" s="53"/>
      <c r="L1372" s="53"/>
      <c r="M1372" s="53"/>
      <c r="N1372" s="53"/>
      <c r="O1372" s="53"/>
      <c r="P1372" s="53"/>
      <c r="Q1372" s="53"/>
      <c r="R1372" s="53"/>
      <c r="S1372" s="53"/>
      <c r="T1372" s="53"/>
      <c r="U1372" s="53"/>
      <c r="V1372" s="53"/>
      <c r="W1372" s="53"/>
      <c r="X1372" s="53"/>
      <c r="Y1372" s="53"/>
      <c r="Z1372" s="53"/>
      <c r="AA1372" s="53"/>
      <c r="AB1372" s="53"/>
      <c r="AC1372" s="53"/>
      <c r="AD1372" s="53"/>
      <c r="AE1372" s="53"/>
      <c r="AF1372" s="53"/>
      <c r="AG1372" s="53"/>
      <c r="AH1372" s="53"/>
    </row>
    <row r="1373" spans="1:34" ht="15.75" x14ac:dyDescent="0.25">
      <c r="A1373" s="53"/>
      <c r="B1373" s="53"/>
      <c r="C1373" s="53"/>
      <c r="D1373" s="53"/>
      <c r="E1373" s="53"/>
      <c r="F1373" s="53"/>
      <c r="G1373" s="53"/>
      <c r="H1373" s="53"/>
      <c r="I1373" s="53"/>
      <c r="J1373" s="53"/>
      <c r="K1373" s="53"/>
      <c r="L1373" s="53"/>
      <c r="M1373" s="53"/>
      <c r="N1373" s="53"/>
      <c r="O1373" s="53"/>
      <c r="P1373" s="53"/>
      <c r="Q1373" s="53"/>
      <c r="R1373" s="53"/>
      <c r="S1373" s="53"/>
      <c r="T1373" s="53"/>
      <c r="U1373" s="53"/>
      <c r="V1373" s="53"/>
      <c r="W1373" s="53"/>
      <c r="X1373" s="53"/>
      <c r="Y1373" s="53"/>
      <c r="Z1373" s="53"/>
      <c r="AA1373" s="53"/>
      <c r="AB1373" s="53"/>
      <c r="AC1373" s="53"/>
      <c r="AD1373" s="53"/>
      <c r="AE1373" s="53"/>
      <c r="AF1373" s="53"/>
      <c r="AG1373" s="53"/>
      <c r="AH1373" s="53"/>
    </row>
    <row r="1374" spans="1:34" ht="15.75" x14ac:dyDescent="0.25">
      <c r="A1374" s="53"/>
      <c r="B1374" s="53"/>
      <c r="C1374" s="53"/>
      <c r="D1374" s="53"/>
      <c r="E1374" s="53"/>
      <c r="F1374" s="53"/>
      <c r="G1374" s="53"/>
      <c r="H1374" s="53"/>
      <c r="I1374" s="53"/>
      <c r="J1374" s="53"/>
      <c r="K1374" s="53"/>
      <c r="L1374" s="53"/>
      <c r="M1374" s="53"/>
      <c r="N1374" s="53"/>
      <c r="O1374" s="53"/>
      <c r="P1374" s="53"/>
      <c r="Q1374" s="53"/>
      <c r="R1374" s="53"/>
      <c r="S1374" s="53"/>
      <c r="T1374" s="53"/>
      <c r="U1374" s="53"/>
      <c r="V1374" s="53"/>
      <c r="W1374" s="53"/>
      <c r="X1374" s="53"/>
      <c r="Y1374" s="53"/>
      <c r="Z1374" s="53"/>
      <c r="AA1374" s="53"/>
      <c r="AB1374" s="53"/>
      <c r="AC1374" s="53"/>
      <c r="AD1374" s="53"/>
      <c r="AE1374" s="53"/>
      <c r="AF1374" s="53"/>
      <c r="AG1374" s="53"/>
      <c r="AH1374" s="53"/>
    </row>
    <row r="1375" spans="1:34" ht="15.75" x14ac:dyDescent="0.25">
      <c r="A1375" s="53"/>
      <c r="B1375" s="53"/>
      <c r="C1375" s="53"/>
      <c r="D1375" s="53"/>
      <c r="E1375" s="53"/>
      <c r="F1375" s="53"/>
      <c r="G1375" s="53"/>
      <c r="H1375" s="53"/>
      <c r="I1375" s="53"/>
      <c r="J1375" s="53"/>
      <c r="K1375" s="53"/>
      <c r="L1375" s="53"/>
      <c r="M1375" s="53"/>
      <c r="N1375" s="53"/>
      <c r="O1375" s="53"/>
      <c r="P1375" s="53"/>
      <c r="Q1375" s="53"/>
      <c r="R1375" s="53"/>
      <c r="S1375" s="53"/>
      <c r="T1375" s="53"/>
      <c r="U1375" s="53"/>
      <c r="V1375" s="53"/>
      <c r="W1375" s="53"/>
      <c r="X1375" s="53"/>
      <c r="Y1375" s="53"/>
      <c r="Z1375" s="53"/>
      <c r="AA1375" s="53"/>
      <c r="AB1375" s="53"/>
      <c r="AC1375" s="53"/>
      <c r="AD1375" s="53"/>
      <c r="AE1375" s="53"/>
      <c r="AF1375" s="53"/>
      <c r="AG1375" s="53"/>
      <c r="AH1375" s="53"/>
    </row>
    <row r="1376" spans="1:34" ht="15.75" x14ac:dyDescent="0.25">
      <c r="A1376" s="53"/>
      <c r="B1376" s="53"/>
      <c r="C1376" s="53"/>
      <c r="D1376" s="53"/>
      <c r="E1376" s="53"/>
      <c r="F1376" s="53"/>
      <c r="G1376" s="53"/>
      <c r="H1376" s="53"/>
      <c r="I1376" s="53"/>
      <c r="J1376" s="53"/>
      <c r="K1376" s="53"/>
      <c r="L1376" s="53"/>
      <c r="M1376" s="53"/>
      <c r="N1376" s="53"/>
      <c r="O1376" s="53"/>
      <c r="P1376" s="53"/>
      <c r="Q1376" s="53"/>
      <c r="R1376" s="53"/>
      <c r="S1376" s="53"/>
      <c r="T1376" s="53"/>
      <c r="U1376" s="53"/>
      <c r="V1376" s="53"/>
      <c r="W1376" s="53"/>
      <c r="X1376" s="53"/>
      <c r="Y1376" s="53"/>
      <c r="Z1376" s="53"/>
      <c r="AA1376" s="53"/>
      <c r="AB1376" s="53"/>
      <c r="AC1376" s="53"/>
      <c r="AD1376" s="53"/>
      <c r="AE1376" s="53"/>
      <c r="AF1376" s="53"/>
      <c r="AG1376" s="53"/>
      <c r="AH1376" s="53"/>
    </row>
    <row r="1377" spans="1:34" ht="15.75" x14ac:dyDescent="0.25">
      <c r="A1377" s="53"/>
      <c r="B1377" s="53"/>
      <c r="C1377" s="53"/>
      <c r="D1377" s="53"/>
      <c r="E1377" s="53"/>
      <c r="F1377" s="53"/>
      <c r="G1377" s="53"/>
      <c r="H1377" s="53"/>
      <c r="I1377" s="53"/>
      <c r="J1377" s="53"/>
      <c r="K1377" s="53"/>
      <c r="L1377" s="53"/>
      <c r="M1377" s="53"/>
      <c r="N1377" s="53"/>
      <c r="O1377" s="53"/>
      <c r="P1377" s="53"/>
      <c r="Q1377" s="53"/>
      <c r="R1377" s="53"/>
      <c r="S1377" s="53"/>
      <c r="T1377" s="53"/>
      <c r="U1377" s="53"/>
      <c r="V1377" s="53"/>
      <c r="W1377" s="53"/>
      <c r="X1377" s="53"/>
      <c r="Y1377" s="53"/>
      <c r="Z1377" s="53"/>
      <c r="AA1377" s="53"/>
      <c r="AB1377" s="53"/>
      <c r="AC1377" s="53"/>
      <c r="AD1377" s="53"/>
      <c r="AE1377" s="53"/>
      <c r="AF1377" s="53"/>
      <c r="AG1377" s="53"/>
      <c r="AH1377" s="53"/>
    </row>
    <row r="1378" spans="1:34" ht="15.75" x14ac:dyDescent="0.25">
      <c r="A1378" s="53"/>
      <c r="B1378" s="53"/>
      <c r="C1378" s="53"/>
      <c r="D1378" s="53"/>
      <c r="E1378" s="53"/>
      <c r="F1378" s="53"/>
      <c r="G1378" s="53"/>
      <c r="H1378" s="53"/>
      <c r="I1378" s="53"/>
      <c r="J1378" s="53"/>
      <c r="K1378" s="53"/>
      <c r="L1378" s="53"/>
      <c r="M1378" s="53"/>
      <c r="N1378" s="53"/>
      <c r="O1378" s="53"/>
      <c r="P1378" s="53"/>
      <c r="Q1378" s="53"/>
      <c r="R1378" s="53"/>
      <c r="S1378" s="53"/>
      <c r="T1378" s="53"/>
      <c r="U1378" s="53"/>
      <c r="V1378" s="53"/>
      <c r="W1378" s="53"/>
      <c r="X1378" s="53"/>
      <c r="Y1378" s="53"/>
      <c r="Z1378" s="53"/>
      <c r="AA1378" s="53"/>
      <c r="AB1378" s="53"/>
      <c r="AC1378" s="53"/>
      <c r="AD1378" s="53"/>
      <c r="AE1378" s="53"/>
      <c r="AF1378" s="53"/>
      <c r="AG1378" s="53"/>
      <c r="AH1378" s="53"/>
    </row>
    <row r="1379" spans="1:34" ht="15.75" x14ac:dyDescent="0.25">
      <c r="A1379" s="53"/>
      <c r="B1379" s="53"/>
      <c r="C1379" s="53"/>
      <c r="D1379" s="53"/>
      <c r="E1379" s="53"/>
      <c r="F1379" s="53"/>
      <c r="G1379" s="53"/>
      <c r="H1379" s="53"/>
      <c r="I1379" s="53"/>
      <c r="J1379" s="53"/>
      <c r="K1379" s="53"/>
      <c r="L1379" s="53"/>
      <c r="M1379" s="53"/>
      <c r="N1379" s="53"/>
      <c r="O1379" s="53"/>
      <c r="P1379" s="53"/>
      <c r="Q1379" s="53"/>
      <c r="R1379" s="53"/>
      <c r="S1379" s="53"/>
      <c r="T1379" s="53"/>
      <c r="U1379" s="53"/>
      <c r="V1379" s="53"/>
      <c r="W1379" s="53"/>
      <c r="X1379" s="53"/>
      <c r="Y1379" s="53"/>
      <c r="Z1379" s="53"/>
      <c r="AA1379" s="53"/>
      <c r="AB1379" s="53"/>
      <c r="AC1379" s="53"/>
      <c r="AD1379" s="53"/>
      <c r="AE1379" s="53"/>
      <c r="AF1379" s="53"/>
      <c r="AG1379" s="53"/>
      <c r="AH1379" s="53"/>
    </row>
    <row r="1380" spans="1:34" ht="15.75" x14ac:dyDescent="0.25">
      <c r="A1380" s="53"/>
      <c r="B1380" s="53"/>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row>
    <row r="1381" spans="1:34" ht="15.75" x14ac:dyDescent="0.25">
      <c r="A1381" s="53"/>
      <c r="B1381" s="53"/>
      <c r="C1381" s="53"/>
      <c r="D1381" s="53"/>
      <c r="E1381" s="53"/>
      <c r="F1381" s="53"/>
      <c r="G1381" s="53"/>
      <c r="H1381" s="53"/>
      <c r="I1381" s="53"/>
      <c r="J1381" s="53"/>
      <c r="K1381" s="53"/>
      <c r="L1381" s="53"/>
      <c r="M1381" s="53"/>
      <c r="N1381" s="53"/>
      <c r="O1381" s="53"/>
      <c r="P1381" s="53"/>
      <c r="Q1381" s="53"/>
      <c r="R1381" s="53"/>
      <c r="S1381" s="53"/>
      <c r="T1381" s="53"/>
      <c r="U1381" s="53"/>
      <c r="V1381" s="53"/>
      <c r="W1381" s="53"/>
      <c r="X1381" s="53"/>
      <c r="Y1381" s="53"/>
      <c r="Z1381" s="53"/>
      <c r="AA1381" s="53"/>
      <c r="AB1381" s="53"/>
      <c r="AC1381" s="53"/>
      <c r="AD1381" s="53"/>
      <c r="AE1381" s="53"/>
      <c r="AF1381" s="53"/>
      <c r="AG1381" s="53"/>
      <c r="AH1381" s="53"/>
    </row>
    <row r="1382" spans="1:34" ht="15.75" x14ac:dyDescent="0.25">
      <c r="A1382" s="53"/>
      <c r="B1382" s="53"/>
      <c r="C1382" s="53"/>
      <c r="D1382" s="53"/>
      <c r="E1382" s="53"/>
      <c r="F1382" s="53"/>
      <c r="G1382" s="53"/>
      <c r="H1382" s="53"/>
      <c r="I1382" s="53"/>
      <c r="J1382" s="53"/>
      <c r="K1382" s="53"/>
      <c r="L1382" s="53"/>
      <c r="M1382" s="53"/>
      <c r="N1382" s="53"/>
      <c r="O1382" s="53"/>
      <c r="P1382" s="53"/>
      <c r="Q1382" s="53"/>
      <c r="R1382" s="53"/>
      <c r="S1382" s="53"/>
      <c r="T1382" s="53"/>
      <c r="U1382" s="53"/>
      <c r="V1382" s="53"/>
      <c r="W1382" s="53"/>
      <c r="X1382" s="53"/>
      <c r="Y1382" s="53"/>
      <c r="Z1382" s="53"/>
      <c r="AA1382" s="53"/>
      <c r="AB1382" s="53"/>
      <c r="AC1382" s="53"/>
      <c r="AD1382" s="53"/>
      <c r="AE1382" s="53"/>
      <c r="AF1382" s="53"/>
      <c r="AG1382" s="53"/>
      <c r="AH1382" s="53"/>
    </row>
    <row r="1383" spans="1:34" ht="15.75" x14ac:dyDescent="0.25">
      <c r="A1383" s="53"/>
      <c r="B1383" s="53"/>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row>
    <row r="1384" spans="1:34" ht="15.75" x14ac:dyDescent="0.25">
      <c r="A1384" s="53"/>
      <c r="B1384" s="53"/>
      <c r="C1384" s="53"/>
      <c r="D1384" s="53"/>
      <c r="E1384" s="53"/>
      <c r="F1384" s="53"/>
      <c r="G1384" s="53"/>
      <c r="H1384" s="53"/>
      <c r="I1384" s="53"/>
      <c r="J1384" s="53"/>
      <c r="K1384" s="53"/>
      <c r="L1384" s="53"/>
      <c r="M1384" s="53"/>
      <c r="N1384" s="53"/>
      <c r="O1384" s="53"/>
      <c r="P1384" s="53"/>
      <c r="Q1384" s="53"/>
      <c r="R1384" s="53"/>
      <c r="S1384" s="53"/>
      <c r="T1384" s="53"/>
      <c r="U1384" s="53"/>
      <c r="V1384" s="53"/>
      <c r="W1384" s="53"/>
      <c r="X1384" s="53"/>
      <c r="Y1384" s="53"/>
      <c r="Z1384" s="53"/>
      <c r="AA1384" s="53"/>
      <c r="AB1384" s="53"/>
      <c r="AC1384" s="53"/>
      <c r="AD1384" s="53"/>
      <c r="AE1384" s="53"/>
      <c r="AF1384" s="53"/>
      <c r="AG1384" s="53"/>
      <c r="AH1384" s="53"/>
    </row>
    <row r="1385" spans="1:34" ht="15.75" x14ac:dyDescent="0.25">
      <c r="A1385" s="53"/>
      <c r="B1385" s="53"/>
      <c r="C1385" s="53"/>
      <c r="D1385" s="53"/>
      <c r="E1385" s="53"/>
      <c r="F1385" s="53"/>
      <c r="G1385" s="53"/>
      <c r="H1385" s="53"/>
      <c r="I1385" s="53"/>
      <c r="J1385" s="53"/>
      <c r="K1385" s="53"/>
      <c r="L1385" s="53"/>
      <c r="M1385" s="53"/>
      <c r="N1385" s="53"/>
      <c r="O1385" s="53"/>
      <c r="P1385" s="53"/>
      <c r="Q1385" s="53"/>
      <c r="R1385" s="53"/>
      <c r="S1385" s="53"/>
      <c r="T1385" s="53"/>
      <c r="U1385" s="53"/>
      <c r="V1385" s="53"/>
      <c r="W1385" s="53"/>
      <c r="X1385" s="53"/>
      <c r="Y1385" s="53"/>
      <c r="Z1385" s="53"/>
      <c r="AA1385" s="53"/>
      <c r="AB1385" s="53"/>
      <c r="AC1385" s="53"/>
      <c r="AD1385" s="53"/>
      <c r="AE1385" s="53"/>
      <c r="AF1385" s="53"/>
      <c r="AG1385" s="53"/>
      <c r="AH1385" s="53"/>
    </row>
    <row r="1386" spans="1:34" ht="15.75" x14ac:dyDescent="0.25">
      <c r="A1386" s="53"/>
      <c r="B1386" s="53"/>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row>
    <row r="1387" spans="1:34" ht="15.75" x14ac:dyDescent="0.25">
      <c r="A1387" s="53"/>
      <c r="B1387" s="53"/>
      <c r="C1387" s="53"/>
      <c r="D1387" s="53"/>
      <c r="E1387" s="53"/>
      <c r="F1387" s="53"/>
      <c r="G1387" s="53"/>
      <c r="H1387" s="53"/>
      <c r="I1387" s="53"/>
      <c r="J1387" s="53"/>
      <c r="K1387" s="53"/>
      <c r="L1387" s="53"/>
      <c r="M1387" s="53"/>
      <c r="N1387" s="53"/>
      <c r="O1387" s="53"/>
      <c r="P1387" s="53"/>
      <c r="Q1387" s="53"/>
      <c r="R1387" s="53"/>
      <c r="S1387" s="53"/>
      <c r="T1387" s="53"/>
      <c r="U1387" s="53"/>
      <c r="V1387" s="53"/>
      <c r="W1387" s="53"/>
      <c r="X1387" s="53"/>
      <c r="Y1387" s="53"/>
      <c r="Z1387" s="53"/>
      <c r="AA1387" s="53"/>
      <c r="AB1387" s="53"/>
      <c r="AC1387" s="53"/>
      <c r="AD1387" s="53"/>
      <c r="AE1387" s="53"/>
      <c r="AF1387" s="53"/>
      <c r="AG1387" s="53"/>
      <c r="AH1387" s="53"/>
    </row>
    <row r="1388" spans="1:34" ht="15.75" x14ac:dyDescent="0.25">
      <c r="A1388" s="53"/>
      <c r="B1388" s="53"/>
      <c r="C1388" s="53"/>
      <c r="D1388" s="53"/>
      <c r="E1388" s="53"/>
      <c r="F1388" s="53"/>
      <c r="G1388" s="53"/>
      <c r="H1388" s="53"/>
      <c r="I1388" s="53"/>
      <c r="J1388" s="53"/>
      <c r="K1388" s="53"/>
      <c r="L1388" s="53"/>
      <c r="M1388" s="53"/>
      <c r="N1388" s="53"/>
      <c r="O1388" s="53"/>
      <c r="P1388" s="53"/>
      <c r="Q1388" s="53"/>
      <c r="R1388" s="53"/>
      <c r="S1388" s="53"/>
      <c r="T1388" s="53"/>
      <c r="U1388" s="53"/>
      <c r="V1388" s="53"/>
      <c r="W1388" s="53"/>
      <c r="X1388" s="53"/>
      <c r="Y1388" s="53"/>
      <c r="Z1388" s="53"/>
      <c r="AA1388" s="53"/>
      <c r="AB1388" s="53"/>
      <c r="AC1388" s="53"/>
      <c r="AD1388" s="53"/>
      <c r="AE1388" s="53"/>
      <c r="AF1388" s="53"/>
      <c r="AG1388" s="53"/>
      <c r="AH1388" s="53"/>
    </row>
    <row r="1389" spans="1:34" ht="15.75" x14ac:dyDescent="0.25">
      <c r="A1389" s="53"/>
      <c r="B1389" s="53"/>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row>
    <row r="1390" spans="1:34" ht="15.75" x14ac:dyDescent="0.25">
      <c r="A1390" s="53"/>
      <c r="B1390" s="53"/>
      <c r="C1390" s="53"/>
      <c r="D1390" s="53"/>
      <c r="E1390" s="53"/>
      <c r="F1390" s="53"/>
      <c r="G1390" s="53"/>
      <c r="H1390" s="53"/>
      <c r="I1390" s="53"/>
      <c r="J1390" s="53"/>
      <c r="K1390" s="53"/>
      <c r="L1390" s="53"/>
      <c r="M1390" s="53"/>
      <c r="N1390" s="53"/>
      <c r="O1390" s="53"/>
      <c r="P1390" s="53"/>
      <c r="Q1390" s="53"/>
      <c r="R1390" s="53"/>
      <c r="S1390" s="53"/>
      <c r="T1390" s="53"/>
      <c r="U1390" s="53"/>
      <c r="V1390" s="53"/>
      <c r="W1390" s="53"/>
      <c r="X1390" s="53"/>
      <c r="Y1390" s="53"/>
      <c r="Z1390" s="53"/>
      <c r="AA1390" s="53"/>
      <c r="AB1390" s="53"/>
      <c r="AC1390" s="53"/>
      <c r="AD1390" s="53"/>
      <c r="AE1390" s="53"/>
      <c r="AF1390" s="53"/>
      <c r="AG1390" s="53"/>
      <c r="AH1390" s="53"/>
    </row>
    <row r="1391" spans="1:34" ht="15.75" x14ac:dyDescent="0.25">
      <c r="A1391" s="53"/>
      <c r="B1391" s="53"/>
      <c r="C1391" s="53"/>
      <c r="D1391" s="53"/>
      <c r="E1391" s="53"/>
      <c r="F1391" s="53"/>
      <c r="G1391" s="53"/>
      <c r="H1391" s="53"/>
      <c r="I1391" s="53"/>
      <c r="J1391" s="53"/>
      <c r="K1391" s="53"/>
      <c r="L1391" s="53"/>
      <c r="M1391" s="53"/>
      <c r="N1391" s="53"/>
      <c r="O1391" s="53"/>
      <c r="P1391" s="53"/>
      <c r="Q1391" s="53"/>
      <c r="R1391" s="53"/>
      <c r="S1391" s="53"/>
      <c r="T1391" s="53"/>
      <c r="U1391" s="53"/>
      <c r="V1391" s="53"/>
      <c r="W1391" s="53"/>
      <c r="X1391" s="53"/>
      <c r="Y1391" s="53"/>
      <c r="Z1391" s="53"/>
      <c r="AA1391" s="53"/>
      <c r="AB1391" s="53"/>
      <c r="AC1391" s="53"/>
      <c r="AD1391" s="53"/>
      <c r="AE1391" s="53"/>
      <c r="AF1391" s="53"/>
      <c r="AG1391" s="53"/>
      <c r="AH1391" s="53"/>
    </row>
    <row r="1392" spans="1:34" ht="15.75" x14ac:dyDescent="0.25">
      <c r="A1392" s="53"/>
      <c r="B1392" s="53"/>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row>
    <row r="1393" spans="1:34" ht="15.75" x14ac:dyDescent="0.25">
      <c r="A1393" s="53"/>
      <c r="B1393" s="53"/>
      <c r="C1393" s="53"/>
      <c r="D1393" s="53"/>
      <c r="E1393" s="53"/>
      <c r="F1393" s="53"/>
      <c r="G1393" s="53"/>
      <c r="H1393" s="53"/>
      <c r="I1393" s="53"/>
      <c r="J1393" s="53"/>
      <c r="K1393" s="53"/>
      <c r="L1393" s="53"/>
      <c r="M1393" s="53"/>
      <c r="N1393" s="53"/>
      <c r="O1393" s="53"/>
      <c r="P1393" s="53"/>
      <c r="Q1393" s="53"/>
      <c r="R1393" s="53"/>
      <c r="S1393" s="53"/>
      <c r="T1393" s="53"/>
      <c r="U1393" s="53"/>
      <c r="V1393" s="53"/>
      <c r="W1393" s="53"/>
      <c r="X1393" s="53"/>
      <c r="Y1393" s="53"/>
      <c r="Z1393" s="53"/>
      <c r="AA1393" s="53"/>
      <c r="AB1393" s="53"/>
      <c r="AC1393" s="53"/>
      <c r="AD1393" s="53"/>
      <c r="AE1393" s="53"/>
      <c r="AF1393" s="53"/>
      <c r="AG1393" s="53"/>
      <c r="AH1393" s="53"/>
    </row>
    <row r="1394" spans="1:34" ht="15.75" x14ac:dyDescent="0.25">
      <c r="A1394" s="53"/>
      <c r="B1394" s="53"/>
      <c r="C1394" s="53"/>
      <c r="D1394" s="53"/>
      <c r="E1394" s="53"/>
      <c r="F1394" s="53"/>
      <c r="G1394" s="53"/>
      <c r="H1394" s="53"/>
      <c r="I1394" s="53"/>
      <c r="J1394" s="53"/>
      <c r="K1394" s="53"/>
      <c r="L1394" s="53"/>
      <c r="M1394" s="53"/>
      <c r="N1394" s="53"/>
      <c r="O1394" s="53"/>
      <c r="P1394" s="53"/>
      <c r="Q1394" s="53"/>
      <c r="R1394" s="53"/>
      <c r="S1394" s="53"/>
      <c r="T1394" s="53"/>
      <c r="U1394" s="53"/>
      <c r="V1394" s="53"/>
      <c r="W1394" s="53"/>
      <c r="X1394" s="53"/>
      <c r="Y1394" s="53"/>
      <c r="Z1394" s="53"/>
      <c r="AA1394" s="53"/>
      <c r="AB1394" s="53"/>
      <c r="AC1394" s="53"/>
      <c r="AD1394" s="53"/>
      <c r="AE1394" s="53"/>
      <c r="AF1394" s="53"/>
      <c r="AG1394" s="53"/>
      <c r="AH1394" s="53"/>
    </row>
    <row r="1395" spans="1:34" ht="15.75" x14ac:dyDescent="0.25">
      <c r="A1395" s="53"/>
      <c r="B1395" s="53"/>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row>
    <row r="1396" spans="1:34" ht="15.75" x14ac:dyDescent="0.25">
      <c r="A1396" s="53"/>
      <c r="B1396" s="53"/>
      <c r="C1396" s="53"/>
      <c r="D1396" s="53"/>
      <c r="E1396" s="53"/>
      <c r="F1396" s="53"/>
      <c r="G1396" s="53"/>
      <c r="H1396" s="53"/>
      <c r="I1396" s="53"/>
      <c r="J1396" s="53"/>
      <c r="K1396" s="53"/>
      <c r="L1396" s="53"/>
      <c r="M1396" s="53"/>
      <c r="N1396" s="53"/>
      <c r="O1396" s="53"/>
      <c r="P1396" s="53"/>
      <c r="Q1396" s="53"/>
      <c r="R1396" s="53"/>
      <c r="S1396" s="53"/>
      <c r="T1396" s="53"/>
      <c r="U1396" s="53"/>
      <c r="V1396" s="53"/>
      <c r="W1396" s="53"/>
      <c r="X1396" s="53"/>
      <c r="Y1396" s="53"/>
      <c r="Z1396" s="53"/>
      <c r="AA1396" s="53"/>
      <c r="AB1396" s="53"/>
      <c r="AC1396" s="53"/>
      <c r="AD1396" s="53"/>
      <c r="AE1396" s="53"/>
      <c r="AF1396" s="53"/>
      <c r="AG1396" s="53"/>
      <c r="AH1396" s="53"/>
    </row>
    <row r="1397" spans="1:34" ht="15.75" x14ac:dyDescent="0.25">
      <c r="A1397" s="53"/>
      <c r="B1397" s="53"/>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row>
    <row r="1398" spans="1:34" ht="15.75" x14ac:dyDescent="0.25">
      <c r="A1398" s="53"/>
      <c r="B1398" s="53"/>
      <c r="C1398" s="53"/>
      <c r="D1398" s="53"/>
      <c r="E1398" s="53"/>
      <c r="F1398" s="53"/>
      <c r="G1398" s="53"/>
      <c r="H1398" s="53"/>
      <c r="I1398" s="53"/>
      <c r="J1398" s="53"/>
      <c r="K1398" s="53"/>
      <c r="L1398" s="53"/>
      <c r="M1398" s="53"/>
      <c r="N1398" s="53"/>
      <c r="O1398" s="53"/>
      <c r="P1398" s="53"/>
      <c r="Q1398" s="53"/>
      <c r="R1398" s="53"/>
      <c r="S1398" s="53"/>
      <c r="T1398" s="53"/>
      <c r="U1398" s="53"/>
      <c r="V1398" s="53"/>
      <c r="W1398" s="53"/>
      <c r="X1398" s="53"/>
      <c r="Y1398" s="53"/>
      <c r="Z1398" s="53"/>
      <c r="AA1398" s="53"/>
      <c r="AB1398" s="53"/>
      <c r="AC1398" s="53"/>
      <c r="AD1398" s="53"/>
      <c r="AE1398" s="53"/>
      <c r="AF1398" s="53"/>
      <c r="AG1398" s="53"/>
      <c r="AH1398" s="53"/>
    </row>
    <row r="1399" spans="1:34" ht="15.75" x14ac:dyDescent="0.25">
      <c r="A1399" s="53"/>
      <c r="B1399" s="53"/>
      <c r="C1399" s="53"/>
      <c r="D1399" s="53"/>
      <c r="E1399" s="53"/>
      <c r="F1399" s="53"/>
      <c r="G1399" s="53"/>
      <c r="H1399" s="53"/>
      <c r="I1399" s="53"/>
      <c r="J1399" s="53"/>
      <c r="K1399" s="53"/>
      <c r="L1399" s="53"/>
      <c r="M1399" s="53"/>
      <c r="N1399" s="53"/>
      <c r="O1399" s="53"/>
      <c r="P1399" s="53"/>
      <c r="Q1399" s="53"/>
      <c r="R1399" s="53"/>
      <c r="S1399" s="53"/>
      <c r="T1399" s="53"/>
      <c r="U1399" s="53"/>
      <c r="V1399" s="53"/>
      <c r="W1399" s="53"/>
      <c r="X1399" s="53"/>
      <c r="Y1399" s="53"/>
      <c r="Z1399" s="53"/>
      <c r="AA1399" s="53"/>
      <c r="AB1399" s="53"/>
      <c r="AC1399" s="53"/>
      <c r="AD1399" s="53"/>
      <c r="AE1399" s="53"/>
      <c r="AF1399" s="53"/>
      <c r="AG1399" s="53"/>
      <c r="AH1399" s="53"/>
    </row>
    <row r="1400" spans="1:34" ht="15.75" x14ac:dyDescent="0.25">
      <c r="A1400" s="53"/>
      <c r="B1400" s="53"/>
      <c r="C1400" s="53"/>
      <c r="D1400" s="53"/>
      <c r="E1400" s="53"/>
      <c r="F1400" s="53"/>
      <c r="G1400" s="53"/>
      <c r="H1400" s="53"/>
      <c r="I1400" s="53"/>
      <c r="J1400" s="53"/>
      <c r="K1400" s="53"/>
      <c r="L1400" s="53"/>
      <c r="M1400" s="53"/>
      <c r="N1400" s="53"/>
      <c r="O1400" s="53"/>
      <c r="P1400" s="53"/>
      <c r="Q1400" s="53"/>
      <c r="R1400" s="53"/>
      <c r="S1400" s="53"/>
      <c r="T1400" s="53"/>
      <c r="U1400" s="53"/>
      <c r="V1400" s="53"/>
      <c r="W1400" s="53"/>
      <c r="X1400" s="53"/>
      <c r="Y1400" s="53"/>
      <c r="Z1400" s="53"/>
      <c r="AA1400" s="53"/>
      <c r="AB1400" s="53"/>
      <c r="AC1400" s="53"/>
      <c r="AD1400" s="53"/>
      <c r="AE1400" s="53"/>
      <c r="AF1400" s="53"/>
      <c r="AG1400" s="53"/>
      <c r="AH1400" s="53"/>
    </row>
    <row r="1401" spans="1:34" ht="15.75" x14ac:dyDescent="0.25">
      <c r="A1401" s="53"/>
      <c r="B1401" s="53"/>
      <c r="C1401" s="53"/>
      <c r="D1401" s="53"/>
      <c r="E1401" s="53"/>
      <c r="F1401" s="53"/>
      <c r="G1401" s="53"/>
      <c r="H1401" s="53"/>
      <c r="I1401" s="53"/>
      <c r="J1401" s="53"/>
      <c r="K1401" s="53"/>
      <c r="L1401" s="53"/>
      <c r="M1401" s="53"/>
      <c r="N1401" s="53"/>
      <c r="O1401" s="53"/>
      <c r="P1401" s="53"/>
      <c r="Q1401" s="53"/>
      <c r="R1401" s="53"/>
      <c r="S1401" s="53"/>
      <c r="T1401" s="53"/>
      <c r="U1401" s="53"/>
      <c r="V1401" s="53"/>
      <c r="W1401" s="53"/>
      <c r="X1401" s="53"/>
      <c r="Y1401" s="53"/>
      <c r="Z1401" s="53"/>
      <c r="AA1401" s="53"/>
      <c r="AB1401" s="53"/>
      <c r="AC1401" s="53"/>
      <c r="AD1401" s="53"/>
      <c r="AE1401" s="53"/>
      <c r="AF1401" s="53"/>
      <c r="AG1401" s="53"/>
      <c r="AH1401" s="53"/>
    </row>
    <row r="1402" spans="1:34" ht="15.75" x14ac:dyDescent="0.25">
      <c r="A1402" s="53"/>
      <c r="B1402" s="53"/>
      <c r="C1402" s="53"/>
      <c r="D1402" s="53"/>
      <c r="E1402" s="53"/>
      <c r="F1402" s="53"/>
      <c r="G1402" s="53"/>
      <c r="H1402" s="53"/>
      <c r="I1402" s="53"/>
      <c r="J1402" s="53"/>
      <c r="K1402" s="53"/>
      <c r="L1402" s="53"/>
      <c r="M1402" s="53"/>
      <c r="N1402" s="53"/>
      <c r="O1402" s="53"/>
      <c r="P1402" s="53"/>
      <c r="Q1402" s="53"/>
      <c r="R1402" s="53"/>
      <c r="S1402" s="53"/>
      <c r="T1402" s="53"/>
      <c r="U1402" s="53"/>
      <c r="V1402" s="53"/>
      <c r="W1402" s="53"/>
      <c r="X1402" s="53"/>
      <c r="Y1402" s="53"/>
      <c r="Z1402" s="53"/>
      <c r="AA1402" s="53"/>
      <c r="AB1402" s="53"/>
      <c r="AC1402" s="53"/>
      <c r="AD1402" s="53"/>
      <c r="AE1402" s="53"/>
      <c r="AF1402" s="53"/>
      <c r="AG1402" s="53"/>
      <c r="AH1402" s="53"/>
    </row>
    <row r="1403" spans="1:34" ht="15.75" x14ac:dyDescent="0.25">
      <c r="A1403" s="53"/>
      <c r="B1403" s="53"/>
      <c r="C1403" s="53"/>
      <c r="D1403" s="53"/>
      <c r="E1403" s="53"/>
      <c r="F1403" s="53"/>
      <c r="G1403" s="53"/>
      <c r="H1403" s="53"/>
      <c r="I1403" s="53"/>
      <c r="J1403" s="53"/>
      <c r="K1403" s="53"/>
      <c r="L1403" s="53"/>
      <c r="M1403" s="53"/>
      <c r="N1403" s="53"/>
      <c r="O1403" s="53"/>
      <c r="P1403" s="53"/>
      <c r="Q1403" s="53"/>
      <c r="R1403" s="53"/>
      <c r="S1403" s="53"/>
      <c r="T1403" s="53"/>
      <c r="U1403" s="53"/>
      <c r="V1403" s="53"/>
      <c r="W1403" s="53"/>
      <c r="X1403" s="53"/>
      <c r="Y1403" s="53"/>
      <c r="Z1403" s="53"/>
      <c r="AA1403" s="53"/>
      <c r="AB1403" s="53"/>
      <c r="AC1403" s="53"/>
      <c r="AD1403" s="53"/>
      <c r="AE1403" s="53"/>
      <c r="AF1403" s="53"/>
      <c r="AG1403" s="53"/>
      <c r="AH1403" s="53"/>
    </row>
    <row r="1404" spans="1:34" ht="15.75" x14ac:dyDescent="0.25">
      <c r="A1404" s="53"/>
      <c r="B1404" s="53"/>
      <c r="C1404" s="53"/>
      <c r="D1404" s="53"/>
      <c r="E1404" s="53"/>
      <c r="F1404" s="53"/>
      <c r="G1404" s="53"/>
      <c r="H1404" s="53"/>
      <c r="I1404" s="53"/>
      <c r="J1404" s="53"/>
      <c r="K1404" s="53"/>
      <c r="L1404" s="53"/>
      <c r="M1404" s="53"/>
      <c r="N1404" s="53"/>
      <c r="O1404" s="53"/>
      <c r="P1404" s="53"/>
      <c r="Q1404" s="53"/>
      <c r="R1404" s="53"/>
      <c r="S1404" s="53"/>
      <c r="T1404" s="53"/>
      <c r="U1404" s="53"/>
      <c r="V1404" s="53"/>
      <c r="W1404" s="53"/>
      <c r="X1404" s="53"/>
      <c r="Y1404" s="53"/>
      <c r="Z1404" s="53"/>
      <c r="AA1404" s="53"/>
      <c r="AB1404" s="53"/>
      <c r="AC1404" s="53"/>
      <c r="AD1404" s="53"/>
      <c r="AE1404" s="53"/>
      <c r="AF1404" s="53"/>
      <c r="AG1404" s="53"/>
      <c r="AH1404" s="53"/>
    </row>
    <row r="1405" spans="1:34" ht="15.75" x14ac:dyDescent="0.25">
      <c r="A1405" s="53"/>
      <c r="B1405" s="53"/>
      <c r="C1405" s="53"/>
      <c r="D1405" s="53"/>
      <c r="E1405" s="53"/>
      <c r="F1405" s="53"/>
      <c r="G1405" s="53"/>
      <c r="H1405" s="53"/>
      <c r="I1405" s="53"/>
      <c r="J1405" s="53"/>
      <c r="K1405" s="53"/>
      <c r="L1405" s="53"/>
      <c r="M1405" s="53"/>
      <c r="N1405" s="53"/>
      <c r="O1405" s="53"/>
      <c r="P1405" s="53"/>
      <c r="Q1405" s="53"/>
      <c r="R1405" s="53"/>
      <c r="S1405" s="53"/>
      <c r="T1405" s="53"/>
      <c r="U1405" s="53"/>
      <c r="V1405" s="53"/>
      <c r="W1405" s="53"/>
      <c r="X1405" s="53"/>
      <c r="Y1405" s="53"/>
      <c r="Z1405" s="53"/>
      <c r="AA1405" s="53"/>
      <c r="AB1405" s="53"/>
      <c r="AC1405" s="53"/>
      <c r="AD1405" s="53"/>
      <c r="AE1405" s="53"/>
      <c r="AF1405" s="53"/>
      <c r="AG1405" s="53"/>
      <c r="AH1405" s="53"/>
    </row>
    <row r="1406" spans="1:34" ht="15.75" x14ac:dyDescent="0.25">
      <c r="A1406" s="53"/>
      <c r="B1406" s="53"/>
      <c r="C1406" s="53"/>
      <c r="D1406" s="53"/>
      <c r="E1406" s="53"/>
      <c r="F1406" s="53"/>
      <c r="G1406" s="53"/>
      <c r="H1406" s="53"/>
      <c r="I1406" s="53"/>
      <c r="J1406" s="53"/>
      <c r="K1406" s="53"/>
      <c r="L1406" s="53"/>
      <c r="M1406" s="53"/>
      <c r="N1406" s="53"/>
      <c r="O1406" s="53"/>
      <c r="P1406" s="53"/>
      <c r="Q1406" s="53"/>
      <c r="R1406" s="53"/>
      <c r="S1406" s="53"/>
      <c r="T1406" s="53"/>
      <c r="U1406" s="53"/>
      <c r="V1406" s="53"/>
      <c r="W1406" s="53"/>
      <c r="X1406" s="53"/>
      <c r="Y1406" s="53"/>
      <c r="Z1406" s="53"/>
      <c r="AA1406" s="53"/>
      <c r="AB1406" s="53"/>
      <c r="AC1406" s="53"/>
      <c r="AD1406" s="53"/>
      <c r="AE1406" s="53"/>
      <c r="AF1406" s="53"/>
      <c r="AG1406" s="53"/>
      <c r="AH1406" s="53"/>
    </row>
    <row r="1407" spans="1:34" ht="15.75" x14ac:dyDescent="0.25">
      <c r="A1407" s="53"/>
      <c r="B1407" s="53"/>
      <c r="C1407" s="53"/>
      <c r="D1407" s="53"/>
      <c r="E1407" s="53"/>
      <c r="F1407" s="53"/>
      <c r="G1407" s="53"/>
      <c r="H1407" s="53"/>
      <c r="I1407" s="53"/>
      <c r="J1407" s="53"/>
      <c r="K1407" s="53"/>
      <c r="L1407" s="53"/>
      <c r="M1407" s="53"/>
      <c r="N1407" s="53"/>
      <c r="O1407" s="53"/>
      <c r="P1407" s="53"/>
      <c r="Q1407" s="53"/>
      <c r="R1407" s="53"/>
      <c r="S1407" s="53"/>
      <c r="T1407" s="53"/>
      <c r="U1407" s="53"/>
      <c r="V1407" s="53"/>
      <c r="W1407" s="53"/>
      <c r="X1407" s="53"/>
      <c r="Y1407" s="53"/>
      <c r="Z1407" s="53"/>
      <c r="AA1407" s="53"/>
      <c r="AB1407" s="53"/>
      <c r="AC1407" s="53"/>
      <c r="AD1407" s="53"/>
      <c r="AE1407" s="53"/>
      <c r="AF1407" s="53"/>
      <c r="AG1407" s="53"/>
      <c r="AH1407" s="53"/>
    </row>
    <row r="1408" spans="1:34" ht="15.75" x14ac:dyDescent="0.25">
      <c r="A1408" s="53"/>
      <c r="B1408" s="53"/>
      <c r="C1408" s="53"/>
      <c r="D1408" s="53"/>
      <c r="E1408" s="53"/>
      <c r="F1408" s="53"/>
      <c r="G1408" s="53"/>
      <c r="H1408" s="53"/>
      <c r="I1408" s="53"/>
      <c r="J1408" s="53"/>
      <c r="K1408" s="53"/>
      <c r="L1408" s="53"/>
      <c r="M1408" s="53"/>
      <c r="N1408" s="53"/>
      <c r="O1408" s="53"/>
      <c r="P1408" s="53"/>
      <c r="Q1408" s="53"/>
      <c r="R1408" s="53"/>
      <c r="S1408" s="53"/>
      <c r="T1408" s="53"/>
      <c r="U1408" s="53"/>
      <c r="V1408" s="53"/>
      <c r="W1408" s="53"/>
      <c r="X1408" s="53"/>
      <c r="Y1408" s="53"/>
      <c r="Z1408" s="53"/>
      <c r="AA1408" s="53"/>
      <c r="AB1408" s="53"/>
      <c r="AC1408" s="53"/>
      <c r="AD1408" s="53"/>
      <c r="AE1408" s="53"/>
      <c r="AF1408" s="53"/>
      <c r="AG1408" s="53"/>
      <c r="AH1408" s="53"/>
    </row>
    <row r="1409" spans="1:34" ht="15.75" x14ac:dyDescent="0.25">
      <c r="A1409" s="53"/>
      <c r="B1409" s="53"/>
      <c r="C1409" s="53"/>
      <c r="D1409" s="53"/>
      <c r="E1409" s="53"/>
      <c r="F1409" s="53"/>
      <c r="G1409" s="53"/>
      <c r="H1409" s="53"/>
      <c r="I1409" s="53"/>
      <c r="J1409" s="53"/>
      <c r="K1409" s="53"/>
      <c r="L1409" s="53"/>
      <c r="M1409" s="53"/>
      <c r="N1409" s="53"/>
      <c r="O1409" s="53"/>
      <c r="P1409" s="53"/>
      <c r="Q1409" s="53"/>
      <c r="R1409" s="53"/>
      <c r="S1409" s="53"/>
      <c r="T1409" s="53"/>
      <c r="U1409" s="53"/>
      <c r="V1409" s="53"/>
      <c r="W1409" s="53"/>
      <c r="X1409" s="53"/>
      <c r="Y1409" s="53"/>
      <c r="Z1409" s="53"/>
      <c r="AA1409" s="53"/>
      <c r="AB1409" s="53"/>
      <c r="AC1409" s="53"/>
      <c r="AD1409" s="53"/>
      <c r="AE1409" s="53"/>
      <c r="AF1409" s="53"/>
      <c r="AG1409" s="53"/>
      <c r="AH1409" s="53"/>
    </row>
    <row r="1410" spans="1:34" ht="15.75" x14ac:dyDescent="0.25">
      <c r="A1410" s="53"/>
      <c r="B1410" s="53"/>
      <c r="C1410" s="53"/>
      <c r="D1410" s="53"/>
      <c r="E1410" s="53"/>
      <c r="F1410" s="53"/>
      <c r="G1410" s="53"/>
      <c r="H1410" s="53"/>
      <c r="I1410" s="53"/>
      <c r="J1410" s="53"/>
      <c r="K1410" s="53"/>
      <c r="L1410" s="53"/>
      <c r="M1410" s="53"/>
      <c r="N1410" s="53"/>
      <c r="O1410" s="53"/>
      <c r="P1410" s="53"/>
      <c r="Q1410" s="53"/>
      <c r="R1410" s="53"/>
      <c r="S1410" s="53"/>
      <c r="T1410" s="53"/>
      <c r="U1410" s="53"/>
      <c r="V1410" s="53"/>
      <c r="W1410" s="53"/>
      <c r="X1410" s="53"/>
      <c r="Y1410" s="53"/>
      <c r="Z1410" s="53"/>
      <c r="AA1410" s="53"/>
      <c r="AB1410" s="53"/>
      <c r="AC1410" s="53"/>
      <c r="AD1410" s="53"/>
      <c r="AE1410" s="53"/>
      <c r="AF1410" s="53"/>
      <c r="AG1410" s="53"/>
      <c r="AH1410" s="53"/>
    </row>
    <row r="1411" spans="1:34" ht="15.75" x14ac:dyDescent="0.25">
      <c r="A1411" s="53"/>
      <c r="B1411" s="53"/>
      <c r="C1411" s="53"/>
      <c r="D1411" s="53"/>
      <c r="E1411" s="53"/>
      <c r="F1411" s="53"/>
      <c r="G1411" s="53"/>
      <c r="H1411" s="53"/>
      <c r="I1411" s="53"/>
      <c r="J1411" s="53"/>
      <c r="K1411" s="53"/>
      <c r="L1411" s="53"/>
      <c r="M1411" s="53"/>
      <c r="N1411" s="53"/>
      <c r="O1411" s="53"/>
      <c r="P1411" s="53"/>
      <c r="Q1411" s="53"/>
      <c r="R1411" s="53"/>
      <c r="S1411" s="53"/>
      <c r="T1411" s="53"/>
      <c r="U1411" s="53"/>
      <c r="V1411" s="53"/>
      <c r="W1411" s="53"/>
      <c r="X1411" s="53"/>
      <c r="Y1411" s="53"/>
      <c r="Z1411" s="53"/>
      <c r="AA1411" s="53"/>
      <c r="AB1411" s="53"/>
      <c r="AC1411" s="53"/>
      <c r="AD1411" s="53"/>
      <c r="AE1411" s="53"/>
      <c r="AF1411" s="53"/>
      <c r="AG1411" s="53"/>
      <c r="AH1411" s="53"/>
    </row>
    <row r="1412" spans="1:34" ht="15.75" x14ac:dyDescent="0.25">
      <c r="A1412" s="53"/>
      <c r="B1412" s="53"/>
      <c r="C1412" s="53"/>
      <c r="D1412" s="53"/>
      <c r="E1412" s="53"/>
      <c r="F1412" s="53"/>
      <c r="G1412" s="53"/>
      <c r="H1412" s="53"/>
      <c r="I1412" s="53"/>
      <c r="J1412" s="53"/>
      <c r="K1412" s="53"/>
      <c r="L1412" s="53"/>
      <c r="M1412" s="53"/>
      <c r="N1412" s="53"/>
      <c r="O1412" s="53"/>
      <c r="P1412" s="53"/>
      <c r="Q1412" s="53"/>
      <c r="R1412" s="53"/>
      <c r="S1412" s="53"/>
      <c r="T1412" s="53"/>
      <c r="U1412" s="53"/>
      <c r="V1412" s="53"/>
      <c r="W1412" s="53"/>
      <c r="X1412" s="53"/>
      <c r="Y1412" s="53"/>
      <c r="Z1412" s="53"/>
      <c r="AA1412" s="53"/>
      <c r="AB1412" s="53"/>
      <c r="AC1412" s="53"/>
      <c r="AD1412" s="53"/>
      <c r="AE1412" s="53"/>
      <c r="AF1412" s="53"/>
      <c r="AG1412" s="53"/>
      <c r="AH1412" s="53"/>
    </row>
    <row r="1413" spans="1:34" ht="15.75" x14ac:dyDescent="0.25">
      <c r="A1413" s="53"/>
      <c r="B1413" s="53"/>
      <c r="C1413" s="53"/>
      <c r="D1413" s="53"/>
      <c r="E1413" s="53"/>
      <c r="F1413" s="53"/>
      <c r="G1413" s="53"/>
      <c r="H1413" s="53"/>
      <c r="I1413" s="53"/>
      <c r="J1413" s="53"/>
      <c r="K1413" s="53"/>
      <c r="L1413" s="53"/>
      <c r="M1413" s="53"/>
      <c r="N1413" s="53"/>
      <c r="O1413" s="53"/>
      <c r="P1413" s="53"/>
      <c r="Q1413" s="53"/>
      <c r="R1413" s="53"/>
      <c r="S1413" s="53"/>
      <c r="T1413" s="53"/>
      <c r="U1413" s="53"/>
      <c r="V1413" s="53"/>
      <c r="W1413" s="53"/>
      <c r="X1413" s="53"/>
      <c r="Y1413" s="53"/>
      <c r="Z1413" s="53"/>
      <c r="AA1413" s="53"/>
      <c r="AB1413" s="53"/>
      <c r="AC1413" s="53"/>
      <c r="AD1413" s="53"/>
      <c r="AE1413" s="53"/>
      <c r="AF1413" s="53"/>
      <c r="AG1413" s="53"/>
      <c r="AH1413" s="53"/>
    </row>
    <row r="1414" spans="1:34" ht="15.75" x14ac:dyDescent="0.25">
      <c r="A1414" s="53"/>
      <c r="B1414" s="53"/>
      <c r="C1414" s="53"/>
      <c r="D1414" s="53"/>
      <c r="E1414" s="53"/>
      <c r="F1414" s="53"/>
      <c r="G1414" s="53"/>
      <c r="H1414" s="53"/>
      <c r="I1414" s="53"/>
      <c r="J1414" s="53"/>
      <c r="K1414" s="53"/>
      <c r="L1414" s="53"/>
      <c r="M1414" s="53"/>
      <c r="N1414" s="53"/>
      <c r="O1414" s="53"/>
      <c r="P1414" s="53"/>
      <c r="Q1414" s="53"/>
      <c r="R1414" s="53"/>
      <c r="S1414" s="53"/>
      <c r="T1414" s="53"/>
      <c r="U1414" s="53"/>
      <c r="V1414" s="53"/>
      <c r="W1414" s="53"/>
      <c r="X1414" s="53"/>
      <c r="Y1414" s="53"/>
      <c r="Z1414" s="53"/>
      <c r="AA1414" s="53"/>
      <c r="AB1414" s="53"/>
      <c r="AC1414" s="53"/>
      <c r="AD1414" s="53"/>
      <c r="AE1414" s="53"/>
      <c r="AF1414" s="53"/>
      <c r="AG1414" s="53"/>
      <c r="AH1414" s="53"/>
    </row>
    <row r="1415" spans="1:34" ht="15.75" x14ac:dyDescent="0.25">
      <c r="A1415" s="53"/>
      <c r="B1415" s="53"/>
      <c r="C1415" s="53"/>
      <c r="D1415" s="53"/>
      <c r="E1415" s="53"/>
      <c r="F1415" s="53"/>
      <c r="G1415" s="53"/>
      <c r="H1415" s="53"/>
      <c r="I1415" s="53"/>
      <c r="J1415" s="53"/>
      <c r="K1415" s="53"/>
      <c r="L1415" s="53"/>
      <c r="M1415" s="53"/>
      <c r="N1415" s="53"/>
      <c r="O1415" s="53"/>
      <c r="P1415" s="53"/>
      <c r="Q1415" s="53"/>
      <c r="R1415" s="53"/>
      <c r="S1415" s="53"/>
      <c r="T1415" s="53"/>
      <c r="U1415" s="53"/>
      <c r="V1415" s="53"/>
      <c r="W1415" s="53"/>
      <c r="X1415" s="53"/>
      <c r="Y1415" s="53"/>
      <c r="Z1415" s="53"/>
      <c r="AA1415" s="53"/>
      <c r="AB1415" s="53"/>
      <c r="AC1415" s="53"/>
      <c r="AD1415" s="53"/>
      <c r="AE1415" s="53"/>
      <c r="AF1415" s="53"/>
      <c r="AG1415" s="53"/>
      <c r="AH1415" s="53"/>
    </row>
    <row r="1416" spans="1:34" ht="15.75" x14ac:dyDescent="0.25">
      <c r="A1416" s="53"/>
      <c r="B1416" s="53"/>
      <c r="C1416" s="53"/>
      <c r="D1416" s="53"/>
      <c r="E1416" s="53"/>
      <c r="F1416" s="53"/>
      <c r="G1416" s="53"/>
      <c r="H1416" s="53"/>
      <c r="I1416" s="53"/>
      <c r="J1416" s="53"/>
      <c r="K1416" s="53"/>
      <c r="L1416" s="53"/>
      <c r="M1416" s="53"/>
      <c r="N1416" s="53"/>
      <c r="O1416" s="53"/>
      <c r="P1416" s="53"/>
      <c r="Q1416" s="53"/>
      <c r="R1416" s="53"/>
      <c r="S1416" s="53"/>
      <c r="T1416" s="53"/>
      <c r="U1416" s="53"/>
      <c r="V1416" s="53"/>
      <c r="W1416" s="53"/>
      <c r="X1416" s="53"/>
      <c r="Y1416" s="53"/>
      <c r="Z1416" s="53"/>
      <c r="AA1416" s="53"/>
      <c r="AB1416" s="53"/>
      <c r="AC1416" s="53"/>
      <c r="AD1416" s="53"/>
      <c r="AE1416" s="53"/>
      <c r="AF1416" s="53"/>
      <c r="AG1416" s="53"/>
      <c r="AH1416" s="53"/>
    </row>
    <row r="1417" spans="1:34" ht="15.75" x14ac:dyDescent="0.25">
      <c r="A1417" s="53"/>
      <c r="B1417" s="53"/>
      <c r="C1417" s="53"/>
      <c r="D1417" s="53"/>
      <c r="E1417" s="53"/>
      <c r="F1417" s="53"/>
      <c r="G1417" s="53"/>
      <c r="H1417" s="53"/>
      <c r="I1417" s="53"/>
      <c r="J1417" s="53"/>
      <c r="K1417" s="53"/>
      <c r="L1417" s="53"/>
      <c r="M1417" s="53"/>
      <c r="N1417" s="53"/>
      <c r="O1417" s="53"/>
      <c r="P1417" s="53"/>
      <c r="Q1417" s="53"/>
      <c r="R1417" s="53"/>
      <c r="S1417" s="53"/>
      <c r="T1417" s="53"/>
      <c r="U1417" s="53"/>
      <c r="V1417" s="53"/>
      <c r="W1417" s="53"/>
      <c r="X1417" s="53"/>
      <c r="Y1417" s="53"/>
      <c r="Z1417" s="53"/>
      <c r="AA1417" s="53"/>
      <c r="AB1417" s="53"/>
      <c r="AC1417" s="53"/>
      <c r="AD1417" s="53"/>
      <c r="AE1417" s="53"/>
      <c r="AF1417" s="53"/>
      <c r="AG1417" s="53"/>
      <c r="AH1417" s="53"/>
    </row>
    <row r="1418" spans="1:34" ht="15.75" x14ac:dyDescent="0.25">
      <c r="A1418" s="53"/>
      <c r="B1418" s="53"/>
      <c r="C1418" s="53"/>
      <c r="D1418" s="53"/>
      <c r="E1418" s="53"/>
      <c r="F1418" s="53"/>
      <c r="G1418" s="53"/>
      <c r="H1418" s="53"/>
      <c r="I1418" s="53"/>
      <c r="J1418" s="53"/>
      <c r="K1418" s="53"/>
      <c r="L1418" s="53"/>
      <c r="M1418" s="53"/>
      <c r="N1418" s="53"/>
      <c r="O1418" s="53"/>
      <c r="P1418" s="53"/>
      <c r="Q1418" s="53"/>
      <c r="R1418" s="53"/>
      <c r="S1418" s="53"/>
      <c r="T1418" s="53"/>
      <c r="U1418" s="53"/>
      <c r="V1418" s="53"/>
      <c r="W1418" s="53"/>
      <c r="X1418" s="53"/>
      <c r="Y1418" s="53"/>
      <c r="Z1418" s="53"/>
      <c r="AA1418" s="53"/>
      <c r="AB1418" s="53"/>
      <c r="AC1418" s="53"/>
      <c r="AD1418" s="53"/>
      <c r="AE1418" s="53"/>
      <c r="AF1418" s="53"/>
      <c r="AG1418" s="53"/>
      <c r="AH1418" s="53"/>
    </row>
    <row r="1419" spans="1:34" ht="15.75" x14ac:dyDescent="0.25">
      <c r="A1419" s="53"/>
      <c r="B1419" s="53"/>
      <c r="C1419" s="53"/>
      <c r="D1419" s="53"/>
      <c r="E1419" s="53"/>
      <c r="F1419" s="53"/>
      <c r="G1419" s="53"/>
      <c r="H1419" s="53"/>
      <c r="I1419" s="53"/>
      <c r="J1419" s="53"/>
      <c r="K1419" s="53"/>
      <c r="L1419" s="53"/>
      <c r="M1419" s="53"/>
      <c r="N1419" s="53"/>
      <c r="O1419" s="53"/>
      <c r="P1419" s="53"/>
      <c r="Q1419" s="53"/>
      <c r="R1419" s="53"/>
      <c r="S1419" s="53"/>
      <c r="T1419" s="53"/>
      <c r="U1419" s="53"/>
      <c r="V1419" s="53"/>
      <c r="W1419" s="53"/>
      <c r="X1419" s="53"/>
      <c r="Y1419" s="53"/>
      <c r="Z1419" s="53"/>
      <c r="AA1419" s="53"/>
      <c r="AB1419" s="53"/>
      <c r="AC1419" s="53"/>
      <c r="AD1419" s="53"/>
      <c r="AE1419" s="53"/>
      <c r="AF1419" s="53"/>
      <c r="AG1419" s="53"/>
      <c r="AH1419" s="53"/>
    </row>
    <row r="1420" spans="1:34" ht="15.75" x14ac:dyDescent="0.25">
      <c r="A1420" s="53"/>
      <c r="B1420" s="53"/>
      <c r="C1420" s="53"/>
      <c r="D1420" s="53"/>
      <c r="E1420" s="53"/>
      <c r="F1420" s="53"/>
      <c r="G1420" s="53"/>
      <c r="H1420" s="53"/>
      <c r="I1420" s="53"/>
      <c r="J1420" s="53"/>
      <c r="K1420" s="53"/>
      <c r="L1420" s="53"/>
      <c r="M1420" s="53"/>
      <c r="N1420" s="53"/>
      <c r="O1420" s="53"/>
      <c r="P1420" s="53"/>
      <c r="Q1420" s="53"/>
      <c r="R1420" s="53"/>
      <c r="S1420" s="53"/>
      <c r="T1420" s="53"/>
      <c r="U1420" s="53"/>
      <c r="V1420" s="53"/>
      <c r="W1420" s="53"/>
      <c r="X1420" s="53"/>
      <c r="Y1420" s="53"/>
      <c r="Z1420" s="53"/>
      <c r="AA1420" s="53"/>
      <c r="AB1420" s="53"/>
      <c r="AC1420" s="53"/>
      <c r="AD1420" s="53"/>
      <c r="AE1420" s="53"/>
      <c r="AF1420" s="53"/>
      <c r="AG1420" s="53"/>
      <c r="AH1420" s="53"/>
    </row>
    <row r="1421" spans="1:34" ht="15.75" x14ac:dyDescent="0.25">
      <c r="A1421" s="53"/>
      <c r="B1421" s="53"/>
      <c r="C1421" s="53"/>
      <c r="D1421" s="53"/>
      <c r="E1421" s="53"/>
      <c r="F1421" s="53"/>
      <c r="G1421" s="53"/>
      <c r="H1421" s="53"/>
      <c r="I1421" s="53"/>
      <c r="J1421" s="53"/>
      <c r="K1421" s="53"/>
      <c r="L1421" s="53"/>
      <c r="M1421" s="53"/>
      <c r="N1421" s="53"/>
      <c r="O1421" s="53"/>
      <c r="P1421" s="53"/>
      <c r="Q1421" s="53"/>
      <c r="R1421" s="53"/>
      <c r="S1421" s="53"/>
      <c r="T1421" s="53"/>
      <c r="U1421" s="53"/>
      <c r="V1421" s="53"/>
      <c r="W1421" s="53"/>
      <c r="X1421" s="53"/>
      <c r="Y1421" s="53"/>
      <c r="Z1421" s="53"/>
      <c r="AA1421" s="53"/>
      <c r="AB1421" s="53"/>
      <c r="AC1421" s="53"/>
      <c r="AD1421" s="53"/>
      <c r="AE1421" s="53"/>
      <c r="AF1421" s="53"/>
      <c r="AG1421" s="53"/>
      <c r="AH1421" s="53"/>
    </row>
    <row r="1422" spans="1:34" ht="15.75" x14ac:dyDescent="0.25">
      <c r="A1422" s="53"/>
      <c r="B1422" s="53"/>
      <c r="C1422" s="53"/>
      <c r="D1422" s="53"/>
      <c r="E1422" s="53"/>
      <c r="F1422" s="53"/>
      <c r="G1422" s="53"/>
      <c r="H1422" s="53"/>
      <c r="I1422" s="53"/>
      <c r="J1422" s="53"/>
      <c r="K1422" s="53"/>
      <c r="L1422" s="53"/>
      <c r="M1422" s="53"/>
      <c r="N1422" s="53"/>
      <c r="O1422" s="53"/>
      <c r="P1422" s="53"/>
      <c r="Q1422" s="53"/>
      <c r="R1422" s="53"/>
      <c r="S1422" s="53"/>
      <c r="T1422" s="53"/>
      <c r="U1422" s="53"/>
      <c r="V1422" s="53"/>
      <c r="W1422" s="53"/>
      <c r="X1422" s="53"/>
      <c r="Y1422" s="53"/>
      <c r="Z1422" s="53"/>
      <c r="AA1422" s="53"/>
      <c r="AB1422" s="53"/>
      <c r="AC1422" s="53"/>
      <c r="AD1422" s="53"/>
      <c r="AE1422" s="53"/>
      <c r="AF1422" s="53"/>
      <c r="AG1422" s="53"/>
      <c r="AH1422" s="53"/>
    </row>
    <row r="1423" spans="1:34" ht="15.75" x14ac:dyDescent="0.25">
      <c r="A1423" s="53"/>
      <c r="B1423" s="53"/>
      <c r="C1423" s="53"/>
      <c r="D1423" s="53"/>
      <c r="E1423" s="53"/>
      <c r="F1423" s="53"/>
      <c r="G1423" s="53"/>
      <c r="H1423" s="53"/>
      <c r="I1423" s="53"/>
      <c r="J1423" s="53"/>
      <c r="K1423" s="53"/>
      <c r="L1423" s="53"/>
      <c r="M1423" s="53"/>
      <c r="N1423" s="53"/>
      <c r="O1423" s="53"/>
      <c r="P1423" s="53"/>
      <c r="Q1423" s="53"/>
      <c r="R1423" s="53"/>
      <c r="S1423" s="53"/>
      <c r="T1423" s="53"/>
      <c r="U1423" s="53"/>
      <c r="V1423" s="53"/>
      <c r="W1423" s="53"/>
      <c r="X1423" s="53"/>
      <c r="Y1423" s="53"/>
      <c r="Z1423" s="53"/>
      <c r="AA1423" s="53"/>
      <c r="AB1423" s="53"/>
      <c r="AC1423" s="53"/>
      <c r="AD1423" s="53"/>
      <c r="AE1423" s="53"/>
      <c r="AF1423" s="53"/>
      <c r="AG1423" s="53"/>
      <c r="AH1423" s="53"/>
    </row>
    <row r="1424" spans="1:34" ht="15.75" x14ac:dyDescent="0.25">
      <c r="A1424" s="53"/>
      <c r="B1424" s="53"/>
      <c r="C1424" s="53"/>
      <c r="D1424" s="53"/>
      <c r="E1424" s="53"/>
      <c r="F1424" s="53"/>
      <c r="G1424" s="53"/>
      <c r="H1424" s="53"/>
      <c r="I1424" s="53"/>
      <c r="J1424" s="53"/>
      <c r="K1424" s="53"/>
      <c r="L1424" s="53"/>
      <c r="M1424" s="53"/>
      <c r="N1424" s="53"/>
      <c r="O1424" s="53"/>
      <c r="P1424" s="53"/>
      <c r="Q1424" s="53"/>
      <c r="R1424" s="53"/>
      <c r="S1424" s="53"/>
      <c r="T1424" s="53"/>
      <c r="U1424" s="53"/>
      <c r="V1424" s="53"/>
      <c r="W1424" s="53"/>
      <c r="X1424" s="53"/>
      <c r="Y1424" s="53"/>
      <c r="Z1424" s="53"/>
      <c r="AA1424" s="53"/>
      <c r="AB1424" s="53"/>
      <c r="AC1424" s="53"/>
      <c r="AD1424" s="53"/>
      <c r="AE1424" s="53"/>
      <c r="AF1424" s="53"/>
      <c r="AG1424" s="53"/>
      <c r="AH1424" s="53"/>
    </row>
    <row r="1425" spans="1:34" ht="15.75" x14ac:dyDescent="0.25">
      <c r="A1425" s="53"/>
      <c r="B1425" s="53"/>
      <c r="C1425" s="53"/>
      <c r="D1425" s="53"/>
      <c r="E1425" s="53"/>
      <c r="F1425" s="53"/>
      <c r="G1425" s="53"/>
      <c r="H1425" s="53"/>
      <c r="I1425" s="53"/>
      <c r="J1425" s="53"/>
      <c r="K1425" s="53"/>
      <c r="L1425" s="53"/>
      <c r="M1425" s="53"/>
      <c r="N1425" s="53"/>
      <c r="O1425" s="53"/>
      <c r="P1425" s="53"/>
      <c r="Q1425" s="53"/>
      <c r="R1425" s="53"/>
      <c r="S1425" s="53"/>
      <c r="T1425" s="53"/>
      <c r="U1425" s="53"/>
      <c r="V1425" s="53"/>
      <c r="W1425" s="53"/>
      <c r="X1425" s="53"/>
      <c r="Y1425" s="53"/>
      <c r="Z1425" s="53"/>
      <c r="AA1425" s="53"/>
      <c r="AB1425" s="53"/>
      <c r="AC1425" s="53"/>
      <c r="AD1425" s="53"/>
      <c r="AE1425" s="53"/>
      <c r="AF1425" s="53"/>
      <c r="AG1425" s="53"/>
      <c r="AH1425" s="53"/>
    </row>
    <row r="1426" spans="1:34" ht="15.75" x14ac:dyDescent="0.25">
      <c r="A1426" s="53"/>
      <c r="B1426" s="53"/>
      <c r="C1426" s="53"/>
      <c r="D1426" s="53"/>
      <c r="E1426" s="53"/>
      <c r="F1426" s="53"/>
      <c r="G1426" s="53"/>
      <c r="H1426" s="53"/>
      <c r="I1426" s="53"/>
      <c r="J1426" s="53"/>
      <c r="K1426" s="53"/>
      <c r="L1426" s="53"/>
      <c r="M1426" s="53"/>
      <c r="N1426" s="53"/>
      <c r="O1426" s="53"/>
      <c r="P1426" s="53"/>
      <c r="Q1426" s="53"/>
      <c r="R1426" s="53"/>
      <c r="S1426" s="53"/>
      <c r="T1426" s="53"/>
      <c r="U1426" s="53"/>
      <c r="V1426" s="53"/>
      <c r="W1426" s="53"/>
      <c r="X1426" s="53"/>
      <c r="Y1426" s="53"/>
      <c r="Z1426" s="53"/>
      <c r="AA1426" s="53"/>
      <c r="AB1426" s="53"/>
      <c r="AC1426" s="53"/>
      <c r="AD1426" s="53"/>
      <c r="AE1426" s="53"/>
      <c r="AF1426" s="53"/>
      <c r="AG1426" s="53"/>
      <c r="AH1426" s="53"/>
    </row>
    <row r="1427" spans="1:34" ht="15.75" x14ac:dyDescent="0.25">
      <c r="A1427" s="53"/>
      <c r="B1427" s="53"/>
      <c r="C1427" s="53"/>
      <c r="D1427" s="53"/>
      <c r="E1427" s="53"/>
      <c r="F1427" s="53"/>
      <c r="G1427" s="53"/>
      <c r="H1427" s="53"/>
      <c r="I1427" s="53"/>
      <c r="J1427" s="53"/>
      <c r="K1427" s="53"/>
      <c r="L1427" s="53"/>
      <c r="M1427" s="53"/>
      <c r="N1427" s="53"/>
      <c r="O1427" s="53"/>
      <c r="P1427" s="53"/>
      <c r="Q1427" s="53"/>
      <c r="R1427" s="53"/>
      <c r="S1427" s="53"/>
      <c r="T1427" s="53"/>
      <c r="U1427" s="53"/>
      <c r="V1427" s="53"/>
      <c r="W1427" s="53"/>
      <c r="X1427" s="53"/>
      <c r="Y1427" s="53"/>
      <c r="Z1427" s="53"/>
      <c r="AA1427" s="53"/>
      <c r="AB1427" s="53"/>
      <c r="AC1427" s="53"/>
      <c r="AD1427" s="53"/>
      <c r="AE1427" s="53"/>
      <c r="AF1427" s="53"/>
      <c r="AG1427" s="53"/>
      <c r="AH1427" s="53"/>
    </row>
    <row r="1428" spans="1:34" ht="15.75" x14ac:dyDescent="0.25">
      <c r="A1428" s="53"/>
      <c r="B1428" s="53"/>
      <c r="C1428" s="53"/>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3"/>
      <c r="AD1428" s="53"/>
      <c r="AE1428" s="53"/>
      <c r="AF1428" s="53"/>
      <c r="AG1428" s="53"/>
      <c r="AH1428" s="53"/>
    </row>
    <row r="1429" spans="1:34" ht="15.75" x14ac:dyDescent="0.25">
      <c r="A1429" s="53"/>
      <c r="B1429" s="53"/>
      <c r="C1429" s="53"/>
      <c r="D1429" s="53"/>
      <c r="E1429" s="53"/>
      <c r="F1429" s="53"/>
      <c r="G1429" s="53"/>
      <c r="H1429" s="53"/>
      <c r="I1429" s="53"/>
      <c r="J1429" s="53"/>
      <c r="K1429" s="53"/>
      <c r="L1429" s="53"/>
      <c r="M1429" s="53"/>
      <c r="N1429" s="53"/>
      <c r="O1429" s="53"/>
      <c r="P1429" s="53"/>
      <c r="Q1429" s="53"/>
      <c r="R1429" s="53"/>
      <c r="S1429" s="53"/>
      <c r="T1429" s="53"/>
      <c r="U1429" s="53"/>
      <c r="V1429" s="53"/>
      <c r="W1429" s="53"/>
      <c r="X1429" s="53"/>
      <c r="Y1429" s="53"/>
      <c r="Z1429" s="53"/>
      <c r="AA1429" s="53"/>
      <c r="AB1429" s="53"/>
      <c r="AC1429" s="53"/>
      <c r="AD1429" s="53"/>
      <c r="AE1429" s="53"/>
      <c r="AF1429" s="53"/>
      <c r="AG1429" s="53"/>
      <c r="AH1429" s="53"/>
    </row>
    <row r="1430" spans="1:34" ht="15.75" x14ac:dyDescent="0.25">
      <c r="A1430" s="53"/>
      <c r="B1430" s="53"/>
      <c r="C1430" s="53"/>
      <c r="D1430" s="53"/>
      <c r="E1430" s="53"/>
      <c r="F1430" s="53"/>
      <c r="G1430" s="53"/>
      <c r="H1430" s="53"/>
      <c r="I1430" s="53"/>
      <c r="J1430" s="53"/>
      <c r="K1430" s="53"/>
      <c r="L1430" s="53"/>
      <c r="M1430" s="53"/>
      <c r="N1430" s="53"/>
      <c r="O1430" s="53"/>
      <c r="P1430" s="53"/>
      <c r="Q1430" s="53"/>
      <c r="R1430" s="53"/>
      <c r="S1430" s="53"/>
      <c r="T1430" s="53"/>
      <c r="U1430" s="53"/>
      <c r="V1430" s="53"/>
      <c r="W1430" s="53"/>
      <c r="X1430" s="53"/>
      <c r="Y1430" s="53"/>
      <c r="Z1430" s="53"/>
      <c r="AA1430" s="53"/>
      <c r="AB1430" s="53"/>
      <c r="AC1430" s="53"/>
      <c r="AD1430" s="53"/>
      <c r="AE1430" s="53"/>
      <c r="AF1430" s="53"/>
      <c r="AG1430" s="53"/>
      <c r="AH1430" s="53"/>
    </row>
    <row r="1431" spans="1:34" ht="15.75" x14ac:dyDescent="0.25">
      <c r="A1431" s="53"/>
      <c r="B1431" s="53"/>
      <c r="C1431" s="53"/>
      <c r="D1431" s="53"/>
      <c r="E1431" s="53"/>
      <c r="F1431" s="53"/>
      <c r="G1431" s="53"/>
      <c r="H1431" s="53"/>
      <c r="I1431" s="53"/>
      <c r="J1431" s="53"/>
      <c r="K1431" s="53"/>
      <c r="L1431" s="53"/>
      <c r="M1431" s="53"/>
      <c r="N1431" s="53"/>
      <c r="O1431" s="53"/>
      <c r="P1431" s="53"/>
      <c r="Q1431" s="53"/>
      <c r="R1431" s="53"/>
      <c r="S1431" s="53"/>
      <c r="T1431" s="53"/>
      <c r="U1431" s="53"/>
      <c r="V1431" s="53"/>
      <c r="W1431" s="53"/>
      <c r="X1431" s="53"/>
      <c r="Y1431" s="53"/>
      <c r="Z1431" s="53"/>
      <c r="AA1431" s="53"/>
      <c r="AB1431" s="53"/>
      <c r="AC1431" s="53"/>
      <c r="AD1431" s="53"/>
      <c r="AE1431" s="53"/>
      <c r="AF1431" s="53"/>
      <c r="AG1431" s="53"/>
      <c r="AH1431" s="53"/>
    </row>
    <row r="1432" spans="1:34" ht="15.75" x14ac:dyDescent="0.25">
      <c r="A1432" s="53"/>
      <c r="B1432" s="53"/>
      <c r="C1432" s="53"/>
      <c r="D1432" s="53"/>
      <c r="E1432" s="53"/>
      <c r="F1432" s="53"/>
      <c r="G1432" s="53"/>
      <c r="H1432" s="53"/>
      <c r="I1432" s="53"/>
      <c r="J1432" s="53"/>
      <c r="K1432" s="53"/>
      <c r="L1432" s="53"/>
      <c r="M1432" s="53"/>
      <c r="N1432" s="53"/>
      <c r="O1432" s="53"/>
      <c r="P1432" s="53"/>
      <c r="Q1432" s="53"/>
      <c r="R1432" s="53"/>
      <c r="S1432" s="53"/>
      <c r="T1432" s="53"/>
      <c r="U1432" s="53"/>
      <c r="V1432" s="53"/>
      <c r="W1432" s="53"/>
      <c r="X1432" s="53"/>
      <c r="Y1432" s="53"/>
      <c r="Z1432" s="53"/>
      <c r="AA1432" s="53"/>
      <c r="AB1432" s="53"/>
      <c r="AC1432" s="53"/>
      <c r="AD1432" s="53"/>
      <c r="AE1432" s="53"/>
      <c r="AF1432" s="53"/>
      <c r="AG1432" s="53"/>
      <c r="AH1432" s="53"/>
    </row>
    <row r="1433" spans="1:34" ht="15.75" x14ac:dyDescent="0.25">
      <c r="A1433" s="53"/>
      <c r="B1433" s="53"/>
      <c r="C1433" s="53"/>
      <c r="D1433" s="53"/>
      <c r="E1433" s="53"/>
      <c r="F1433" s="53"/>
      <c r="G1433" s="53"/>
      <c r="H1433" s="53"/>
      <c r="I1433" s="53"/>
      <c r="J1433" s="53"/>
      <c r="K1433" s="53"/>
      <c r="L1433" s="53"/>
      <c r="M1433" s="53"/>
      <c r="N1433" s="53"/>
      <c r="O1433" s="53"/>
      <c r="P1433" s="53"/>
      <c r="Q1433" s="53"/>
      <c r="R1433" s="53"/>
      <c r="S1433" s="53"/>
      <c r="T1433" s="53"/>
      <c r="U1433" s="53"/>
      <c r="V1433" s="53"/>
      <c r="W1433" s="53"/>
      <c r="X1433" s="53"/>
      <c r="Y1433" s="53"/>
      <c r="Z1433" s="53"/>
      <c r="AA1433" s="53"/>
      <c r="AB1433" s="53"/>
      <c r="AC1433" s="53"/>
      <c r="AD1433" s="53"/>
      <c r="AE1433" s="53"/>
      <c r="AF1433" s="53"/>
      <c r="AG1433" s="53"/>
      <c r="AH1433" s="53"/>
    </row>
    <row r="1434" spans="1:34" ht="15.75" x14ac:dyDescent="0.25">
      <c r="A1434" s="53"/>
      <c r="B1434" s="53"/>
      <c r="C1434" s="53"/>
      <c r="D1434" s="53"/>
      <c r="E1434" s="53"/>
      <c r="F1434" s="53"/>
      <c r="G1434" s="53"/>
      <c r="H1434" s="53"/>
      <c r="I1434" s="53"/>
      <c r="J1434" s="53"/>
      <c r="K1434" s="53"/>
      <c r="L1434" s="53"/>
      <c r="M1434" s="53"/>
      <c r="N1434" s="53"/>
      <c r="O1434" s="53"/>
      <c r="P1434" s="53"/>
      <c r="Q1434" s="53"/>
      <c r="R1434" s="53"/>
      <c r="S1434" s="53"/>
      <c r="T1434" s="53"/>
      <c r="U1434" s="53"/>
      <c r="V1434" s="53"/>
      <c r="W1434" s="53"/>
      <c r="X1434" s="53"/>
      <c r="Y1434" s="53"/>
      <c r="Z1434" s="53"/>
      <c r="AA1434" s="53"/>
      <c r="AB1434" s="53"/>
      <c r="AC1434" s="53"/>
      <c r="AD1434" s="53"/>
      <c r="AE1434" s="53"/>
      <c r="AF1434" s="53"/>
      <c r="AG1434" s="53"/>
      <c r="AH1434" s="53"/>
    </row>
    <row r="1435" spans="1:34" ht="15.75" x14ac:dyDescent="0.25">
      <c r="A1435" s="53"/>
      <c r="B1435" s="53"/>
      <c r="C1435" s="53"/>
      <c r="D1435" s="53"/>
      <c r="E1435" s="53"/>
      <c r="F1435" s="53"/>
      <c r="G1435" s="53"/>
      <c r="H1435" s="53"/>
      <c r="I1435" s="53"/>
      <c r="J1435" s="53"/>
      <c r="K1435" s="53"/>
      <c r="L1435" s="53"/>
      <c r="M1435" s="53"/>
      <c r="N1435" s="53"/>
      <c r="O1435" s="53"/>
      <c r="P1435" s="53"/>
      <c r="Q1435" s="53"/>
      <c r="R1435" s="53"/>
      <c r="S1435" s="53"/>
      <c r="T1435" s="53"/>
      <c r="U1435" s="53"/>
      <c r="V1435" s="53"/>
      <c r="W1435" s="53"/>
      <c r="X1435" s="53"/>
      <c r="Y1435" s="53"/>
      <c r="Z1435" s="53"/>
      <c r="AA1435" s="53"/>
      <c r="AB1435" s="53"/>
      <c r="AC1435" s="53"/>
      <c r="AD1435" s="53"/>
      <c r="AE1435" s="53"/>
      <c r="AF1435" s="53"/>
      <c r="AG1435" s="53"/>
      <c r="AH1435" s="53"/>
    </row>
    <row r="1436" spans="1:34" ht="15.75" x14ac:dyDescent="0.25">
      <c r="A1436" s="53"/>
      <c r="B1436" s="53"/>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row>
    <row r="1437" spans="1:34" ht="15.75" x14ac:dyDescent="0.25">
      <c r="A1437" s="53"/>
      <c r="B1437" s="53"/>
      <c r="C1437" s="53"/>
      <c r="D1437" s="53"/>
      <c r="E1437" s="53"/>
      <c r="F1437" s="53"/>
      <c r="G1437" s="53"/>
      <c r="H1437" s="53"/>
      <c r="I1437" s="53"/>
      <c r="J1437" s="53"/>
      <c r="K1437" s="53"/>
      <c r="L1437" s="53"/>
      <c r="M1437" s="53"/>
      <c r="N1437" s="53"/>
      <c r="O1437" s="53"/>
      <c r="P1437" s="53"/>
      <c r="Q1437" s="53"/>
      <c r="R1437" s="53"/>
      <c r="S1437" s="53"/>
      <c r="T1437" s="53"/>
      <c r="U1437" s="53"/>
      <c r="V1437" s="53"/>
      <c r="W1437" s="53"/>
      <c r="X1437" s="53"/>
      <c r="Y1437" s="53"/>
      <c r="Z1437" s="53"/>
      <c r="AA1437" s="53"/>
      <c r="AB1437" s="53"/>
      <c r="AC1437" s="53"/>
      <c r="AD1437" s="53"/>
      <c r="AE1437" s="53"/>
      <c r="AF1437" s="53"/>
      <c r="AG1437" s="53"/>
      <c r="AH1437" s="53"/>
    </row>
    <row r="1438" spans="1:34" ht="15.75" x14ac:dyDescent="0.25">
      <c r="A1438" s="53"/>
      <c r="B1438" s="53"/>
      <c r="C1438" s="53"/>
      <c r="D1438" s="53"/>
      <c r="E1438" s="53"/>
      <c r="F1438" s="53"/>
      <c r="G1438" s="53"/>
      <c r="H1438" s="53"/>
      <c r="I1438" s="53"/>
      <c r="J1438" s="53"/>
      <c r="K1438" s="53"/>
      <c r="L1438" s="53"/>
      <c r="M1438" s="53"/>
      <c r="N1438" s="53"/>
      <c r="O1438" s="53"/>
      <c r="P1438" s="53"/>
      <c r="Q1438" s="53"/>
      <c r="R1438" s="53"/>
      <c r="S1438" s="53"/>
      <c r="T1438" s="53"/>
      <c r="U1438" s="53"/>
      <c r="V1438" s="53"/>
      <c r="W1438" s="53"/>
      <c r="X1438" s="53"/>
      <c r="Y1438" s="53"/>
      <c r="Z1438" s="53"/>
      <c r="AA1438" s="53"/>
      <c r="AB1438" s="53"/>
      <c r="AC1438" s="53"/>
      <c r="AD1438" s="53"/>
      <c r="AE1438" s="53"/>
      <c r="AF1438" s="53"/>
      <c r="AG1438" s="53"/>
      <c r="AH1438" s="53"/>
    </row>
    <row r="1439" spans="1:34" ht="15.75" x14ac:dyDescent="0.25">
      <c r="A1439" s="53"/>
      <c r="B1439" s="53"/>
      <c r="C1439" s="53"/>
      <c r="D1439" s="53"/>
      <c r="E1439" s="53"/>
      <c r="F1439" s="53"/>
      <c r="G1439" s="53"/>
      <c r="H1439" s="53"/>
      <c r="I1439" s="53"/>
      <c r="J1439" s="53"/>
      <c r="K1439" s="53"/>
      <c r="L1439" s="53"/>
      <c r="M1439" s="53"/>
      <c r="N1439" s="53"/>
      <c r="O1439" s="53"/>
      <c r="P1439" s="53"/>
      <c r="Q1439" s="53"/>
      <c r="R1439" s="53"/>
      <c r="S1439" s="53"/>
      <c r="T1439" s="53"/>
      <c r="U1439" s="53"/>
      <c r="V1439" s="53"/>
      <c r="W1439" s="53"/>
      <c r="X1439" s="53"/>
      <c r="Y1439" s="53"/>
      <c r="Z1439" s="53"/>
      <c r="AA1439" s="53"/>
      <c r="AB1439" s="53"/>
      <c r="AC1439" s="53"/>
      <c r="AD1439" s="53"/>
      <c r="AE1439" s="53"/>
      <c r="AF1439" s="53"/>
      <c r="AG1439" s="53"/>
      <c r="AH1439" s="53"/>
    </row>
    <row r="1440" spans="1:34" ht="15.75" x14ac:dyDescent="0.25">
      <c r="A1440" s="53"/>
      <c r="B1440" s="53"/>
      <c r="C1440" s="53"/>
      <c r="D1440" s="53"/>
      <c r="E1440" s="53"/>
      <c r="F1440" s="53"/>
      <c r="G1440" s="53"/>
      <c r="H1440" s="53"/>
      <c r="I1440" s="53"/>
      <c r="J1440" s="53"/>
      <c r="K1440" s="53"/>
      <c r="L1440" s="53"/>
      <c r="M1440" s="53"/>
      <c r="N1440" s="53"/>
      <c r="O1440" s="53"/>
      <c r="P1440" s="53"/>
      <c r="Q1440" s="53"/>
      <c r="R1440" s="53"/>
      <c r="S1440" s="53"/>
      <c r="T1440" s="53"/>
      <c r="U1440" s="53"/>
      <c r="V1440" s="53"/>
      <c r="W1440" s="53"/>
      <c r="X1440" s="53"/>
      <c r="Y1440" s="53"/>
      <c r="Z1440" s="53"/>
      <c r="AA1440" s="53"/>
      <c r="AB1440" s="53"/>
      <c r="AC1440" s="53"/>
      <c r="AD1440" s="53"/>
      <c r="AE1440" s="53"/>
      <c r="AF1440" s="53"/>
      <c r="AG1440" s="53"/>
      <c r="AH1440" s="53"/>
    </row>
    <row r="1441" spans="1:34" ht="15.75" x14ac:dyDescent="0.25">
      <c r="A1441" s="53"/>
      <c r="B1441" s="53"/>
      <c r="C1441" s="53"/>
      <c r="D1441" s="53"/>
      <c r="E1441" s="53"/>
      <c r="F1441" s="53"/>
      <c r="G1441" s="53"/>
      <c r="H1441" s="53"/>
      <c r="I1441" s="53"/>
      <c r="J1441" s="53"/>
      <c r="K1441" s="53"/>
      <c r="L1441" s="53"/>
      <c r="M1441" s="53"/>
      <c r="N1441" s="53"/>
      <c r="O1441" s="53"/>
      <c r="P1441" s="53"/>
      <c r="Q1441" s="53"/>
      <c r="R1441" s="53"/>
      <c r="S1441" s="53"/>
      <c r="T1441" s="53"/>
      <c r="U1441" s="53"/>
      <c r="V1441" s="53"/>
      <c r="W1441" s="53"/>
      <c r="X1441" s="53"/>
      <c r="Y1441" s="53"/>
      <c r="Z1441" s="53"/>
      <c r="AA1441" s="53"/>
      <c r="AB1441" s="53"/>
      <c r="AC1441" s="53"/>
      <c r="AD1441" s="53"/>
      <c r="AE1441" s="53"/>
      <c r="AF1441" s="53"/>
      <c r="AG1441" s="53"/>
      <c r="AH1441" s="53"/>
    </row>
    <row r="1442" spans="1:34" ht="15.75" x14ac:dyDescent="0.25">
      <c r="A1442" s="53"/>
      <c r="B1442" s="53"/>
      <c r="C1442" s="53"/>
      <c r="D1442" s="53"/>
      <c r="E1442" s="53"/>
      <c r="F1442" s="53"/>
      <c r="G1442" s="53"/>
      <c r="H1442" s="53"/>
      <c r="I1442" s="53"/>
      <c r="J1442" s="53"/>
      <c r="K1442" s="53"/>
      <c r="L1442" s="53"/>
      <c r="M1442" s="53"/>
      <c r="N1442" s="53"/>
      <c r="O1442" s="53"/>
      <c r="P1442" s="53"/>
      <c r="Q1442" s="53"/>
      <c r="R1442" s="53"/>
      <c r="S1442" s="53"/>
      <c r="T1442" s="53"/>
      <c r="U1442" s="53"/>
      <c r="V1442" s="53"/>
      <c r="W1442" s="53"/>
      <c r="X1442" s="53"/>
      <c r="Y1442" s="53"/>
      <c r="Z1442" s="53"/>
      <c r="AA1442" s="53"/>
      <c r="AB1442" s="53"/>
      <c r="AC1442" s="53"/>
      <c r="AD1442" s="53"/>
      <c r="AE1442" s="53"/>
      <c r="AF1442" s="53"/>
      <c r="AG1442" s="53"/>
      <c r="AH1442" s="53"/>
    </row>
    <row r="1443" spans="1:34" ht="15.75" x14ac:dyDescent="0.25">
      <c r="A1443" s="53"/>
      <c r="B1443" s="53"/>
      <c r="C1443" s="53"/>
      <c r="D1443" s="53"/>
      <c r="E1443" s="53"/>
      <c r="F1443" s="53"/>
      <c r="G1443" s="53"/>
      <c r="H1443" s="53"/>
      <c r="I1443" s="53"/>
      <c r="J1443" s="53"/>
      <c r="K1443" s="53"/>
      <c r="L1443" s="53"/>
      <c r="M1443" s="53"/>
      <c r="N1443" s="53"/>
      <c r="O1443" s="53"/>
      <c r="P1443" s="53"/>
      <c r="Q1443" s="53"/>
      <c r="R1443" s="53"/>
      <c r="S1443" s="53"/>
      <c r="T1443" s="53"/>
      <c r="U1443" s="53"/>
      <c r="V1443" s="53"/>
      <c r="W1443" s="53"/>
      <c r="X1443" s="53"/>
      <c r="Y1443" s="53"/>
      <c r="Z1443" s="53"/>
      <c r="AA1443" s="53"/>
      <c r="AB1443" s="53"/>
      <c r="AC1443" s="53"/>
      <c r="AD1443" s="53"/>
      <c r="AE1443" s="53"/>
      <c r="AF1443" s="53"/>
      <c r="AG1443" s="53"/>
      <c r="AH1443" s="53"/>
    </row>
    <row r="1444" spans="1:34" ht="15.75" x14ac:dyDescent="0.25">
      <c r="A1444" s="53"/>
      <c r="B1444" s="53"/>
      <c r="C1444" s="53"/>
      <c r="D1444" s="53"/>
      <c r="E1444" s="53"/>
      <c r="F1444" s="53"/>
      <c r="G1444" s="53"/>
      <c r="H1444" s="53"/>
      <c r="I1444" s="53"/>
      <c r="J1444" s="53"/>
      <c r="K1444" s="53"/>
      <c r="L1444" s="53"/>
      <c r="M1444" s="53"/>
      <c r="N1444" s="53"/>
      <c r="O1444" s="53"/>
      <c r="P1444" s="53"/>
      <c r="Q1444" s="53"/>
      <c r="R1444" s="53"/>
      <c r="S1444" s="53"/>
      <c r="T1444" s="53"/>
      <c r="U1444" s="53"/>
      <c r="V1444" s="53"/>
      <c r="W1444" s="53"/>
      <c r="X1444" s="53"/>
      <c r="Y1444" s="53"/>
      <c r="Z1444" s="53"/>
      <c r="AA1444" s="53"/>
      <c r="AB1444" s="53"/>
      <c r="AC1444" s="53"/>
      <c r="AD1444" s="53"/>
      <c r="AE1444" s="53"/>
      <c r="AF1444" s="53"/>
      <c r="AG1444" s="53"/>
      <c r="AH1444" s="53"/>
    </row>
    <row r="1445" spans="1:34" ht="15.75" x14ac:dyDescent="0.25">
      <c r="A1445" s="53"/>
      <c r="B1445" s="53"/>
      <c r="C1445" s="53"/>
      <c r="D1445" s="53"/>
      <c r="E1445" s="53"/>
      <c r="F1445" s="53"/>
      <c r="G1445" s="53"/>
      <c r="H1445" s="53"/>
      <c r="I1445" s="53"/>
      <c r="J1445" s="53"/>
      <c r="K1445" s="53"/>
      <c r="L1445" s="53"/>
      <c r="M1445" s="53"/>
      <c r="N1445" s="53"/>
      <c r="O1445" s="53"/>
      <c r="P1445" s="53"/>
      <c r="Q1445" s="53"/>
      <c r="R1445" s="53"/>
      <c r="S1445" s="53"/>
      <c r="T1445" s="53"/>
      <c r="U1445" s="53"/>
      <c r="V1445" s="53"/>
      <c r="W1445" s="53"/>
      <c r="X1445" s="53"/>
      <c r="Y1445" s="53"/>
      <c r="Z1445" s="53"/>
      <c r="AA1445" s="53"/>
      <c r="AB1445" s="53"/>
      <c r="AC1445" s="53"/>
      <c r="AD1445" s="53"/>
      <c r="AE1445" s="53"/>
      <c r="AF1445" s="53"/>
      <c r="AG1445" s="53"/>
      <c r="AH1445" s="53"/>
    </row>
    <row r="1446" spans="1:34" ht="15.75" x14ac:dyDescent="0.25">
      <c r="A1446" s="53"/>
      <c r="B1446" s="53"/>
      <c r="C1446" s="53"/>
      <c r="D1446" s="53"/>
      <c r="E1446" s="53"/>
      <c r="F1446" s="53"/>
      <c r="G1446" s="53"/>
      <c r="H1446" s="53"/>
      <c r="I1446" s="53"/>
      <c r="J1446" s="53"/>
      <c r="K1446" s="53"/>
      <c r="L1446" s="53"/>
      <c r="M1446" s="53"/>
      <c r="N1446" s="53"/>
      <c r="O1446" s="53"/>
      <c r="P1446" s="53"/>
      <c r="Q1446" s="53"/>
      <c r="R1446" s="53"/>
      <c r="S1446" s="53"/>
      <c r="T1446" s="53"/>
      <c r="U1446" s="53"/>
      <c r="V1446" s="53"/>
      <c r="W1446" s="53"/>
      <c r="X1446" s="53"/>
      <c r="Y1446" s="53"/>
      <c r="Z1446" s="53"/>
      <c r="AA1446" s="53"/>
      <c r="AB1446" s="53"/>
      <c r="AC1446" s="53"/>
      <c r="AD1446" s="53"/>
      <c r="AE1446" s="53"/>
      <c r="AF1446" s="53"/>
      <c r="AG1446" s="53"/>
      <c r="AH1446" s="53"/>
    </row>
    <row r="1447" spans="1:34" ht="15.75" x14ac:dyDescent="0.25">
      <c r="A1447" s="53"/>
      <c r="B1447" s="53"/>
      <c r="C1447" s="53"/>
      <c r="D1447" s="53"/>
      <c r="E1447" s="53"/>
      <c r="F1447" s="53"/>
      <c r="G1447" s="53"/>
      <c r="H1447" s="53"/>
      <c r="I1447" s="53"/>
      <c r="J1447" s="53"/>
      <c r="K1447" s="53"/>
      <c r="L1447" s="53"/>
      <c r="M1447" s="53"/>
      <c r="N1447" s="53"/>
      <c r="O1447" s="53"/>
      <c r="P1447" s="53"/>
      <c r="Q1447" s="53"/>
      <c r="R1447" s="53"/>
      <c r="S1447" s="53"/>
      <c r="T1447" s="53"/>
      <c r="U1447" s="53"/>
      <c r="V1447" s="53"/>
      <c r="W1447" s="53"/>
      <c r="X1447" s="53"/>
      <c r="Y1447" s="53"/>
      <c r="Z1447" s="53"/>
      <c r="AA1447" s="53"/>
      <c r="AB1447" s="53"/>
      <c r="AC1447" s="53"/>
      <c r="AD1447" s="53"/>
      <c r="AE1447" s="53"/>
      <c r="AF1447" s="53"/>
      <c r="AG1447" s="53"/>
      <c r="AH1447" s="53"/>
    </row>
    <row r="1448" spans="1:34" ht="15.75" x14ac:dyDescent="0.25">
      <c r="A1448" s="53"/>
      <c r="B1448" s="53"/>
      <c r="C1448" s="53"/>
      <c r="D1448" s="53"/>
      <c r="E1448" s="53"/>
      <c r="F1448" s="53"/>
      <c r="G1448" s="53"/>
      <c r="H1448" s="53"/>
      <c r="I1448" s="53"/>
      <c r="J1448" s="53"/>
      <c r="K1448" s="53"/>
      <c r="L1448" s="53"/>
      <c r="M1448" s="53"/>
      <c r="N1448" s="53"/>
      <c r="O1448" s="53"/>
      <c r="P1448" s="53"/>
      <c r="Q1448" s="53"/>
      <c r="R1448" s="53"/>
      <c r="S1448" s="53"/>
      <c r="T1448" s="53"/>
      <c r="U1448" s="53"/>
      <c r="V1448" s="53"/>
      <c r="W1448" s="53"/>
      <c r="X1448" s="53"/>
      <c r="Y1448" s="53"/>
      <c r="Z1448" s="53"/>
      <c r="AA1448" s="53"/>
      <c r="AB1448" s="53"/>
      <c r="AC1448" s="53"/>
      <c r="AD1448" s="53"/>
      <c r="AE1448" s="53"/>
      <c r="AF1448" s="53"/>
      <c r="AG1448" s="53"/>
      <c r="AH1448" s="53"/>
    </row>
    <row r="1449" spans="1:34" ht="15.75" x14ac:dyDescent="0.25">
      <c r="A1449" s="53"/>
      <c r="B1449" s="53"/>
      <c r="C1449" s="53"/>
      <c r="D1449" s="53"/>
      <c r="E1449" s="53"/>
      <c r="F1449" s="53"/>
      <c r="G1449" s="53"/>
      <c r="H1449" s="53"/>
      <c r="I1449" s="53"/>
      <c r="J1449" s="53"/>
      <c r="K1449" s="53"/>
      <c r="L1449" s="53"/>
      <c r="M1449" s="53"/>
      <c r="N1449" s="53"/>
      <c r="O1449" s="53"/>
      <c r="P1449" s="53"/>
      <c r="Q1449" s="53"/>
      <c r="R1449" s="53"/>
      <c r="S1449" s="53"/>
      <c r="T1449" s="53"/>
      <c r="U1449" s="53"/>
      <c r="V1449" s="53"/>
      <c r="W1449" s="53"/>
      <c r="X1449" s="53"/>
      <c r="Y1449" s="53"/>
      <c r="Z1449" s="53"/>
      <c r="AA1449" s="53"/>
      <c r="AB1449" s="53"/>
      <c r="AC1449" s="53"/>
      <c r="AD1449" s="53"/>
      <c r="AE1449" s="53"/>
      <c r="AF1449" s="53"/>
      <c r="AG1449" s="53"/>
      <c r="AH1449" s="53"/>
    </row>
    <row r="1450" spans="1:34" ht="15.75" x14ac:dyDescent="0.25">
      <c r="A1450" s="53"/>
      <c r="B1450" s="53"/>
      <c r="C1450" s="53"/>
      <c r="D1450" s="53"/>
      <c r="E1450" s="53"/>
      <c r="F1450" s="53"/>
      <c r="G1450" s="53"/>
      <c r="H1450" s="53"/>
      <c r="I1450" s="53"/>
      <c r="J1450" s="53"/>
      <c r="K1450" s="53"/>
      <c r="L1450" s="53"/>
      <c r="M1450" s="53"/>
      <c r="N1450" s="53"/>
      <c r="O1450" s="53"/>
      <c r="P1450" s="53"/>
      <c r="Q1450" s="53"/>
      <c r="R1450" s="53"/>
      <c r="S1450" s="53"/>
      <c r="T1450" s="53"/>
      <c r="U1450" s="53"/>
      <c r="V1450" s="53"/>
      <c r="W1450" s="53"/>
      <c r="X1450" s="53"/>
      <c r="Y1450" s="53"/>
      <c r="Z1450" s="53"/>
      <c r="AA1450" s="53"/>
      <c r="AB1450" s="53"/>
      <c r="AC1450" s="53"/>
      <c r="AD1450" s="53"/>
      <c r="AE1450" s="53"/>
      <c r="AF1450" s="53"/>
      <c r="AG1450" s="53"/>
      <c r="AH1450" s="53"/>
    </row>
    <row r="1451" spans="1:34" ht="15.75" x14ac:dyDescent="0.25">
      <c r="A1451" s="53"/>
      <c r="B1451" s="53"/>
      <c r="C1451" s="53"/>
      <c r="D1451" s="53"/>
      <c r="E1451" s="53"/>
      <c r="F1451" s="53"/>
      <c r="G1451" s="53"/>
      <c r="H1451" s="53"/>
      <c r="I1451" s="53"/>
      <c r="J1451" s="53"/>
      <c r="K1451" s="53"/>
      <c r="L1451" s="53"/>
      <c r="M1451" s="53"/>
      <c r="N1451" s="53"/>
      <c r="O1451" s="53"/>
      <c r="P1451" s="53"/>
      <c r="Q1451" s="53"/>
      <c r="R1451" s="53"/>
      <c r="S1451" s="53"/>
      <c r="T1451" s="53"/>
      <c r="U1451" s="53"/>
      <c r="V1451" s="53"/>
      <c r="W1451" s="53"/>
      <c r="X1451" s="53"/>
      <c r="Y1451" s="53"/>
      <c r="Z1451" s="53"/>
      <c r="AA1451" s="53"/>
      <c r="AB1451" s="53"/>
      <c r="AC1451" s="53"/>
      <c r="AD1451" s="53"/>
      <c r="AE1451" s="53"/>
      <c r="AF1451" s="53"/>
      <c r="AG1451" s="53"/>
      <c r="AH1451" s="53"/>
    </row>
    <row r="1452" spans="1:34" ht="15.75" x14ac:dyDescent="0.25">
      <c r="A1452" s="53"/>
      <c r="B1452" s="53"/>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row>
    <row r="1453" spans="1:34" ht="15.75" x14ac:dyDescent="0.25">
      <c r="A1453" s="53"/>
      <c r="B1453" s="53"/>
      <c r="C1453" s="53"/>
      <c r="D1453" s="53"/>
      <c r="E1453" s="53"/>
      <c r="F1453" s="53"/>
      <c r="G1453" s="53"/>
      <c r="H1453" s="53"/>
      <c r="I1453" s="53"/>
      <c r="J1453" s="53"/>
      <c r="K1453" s="53"/>
      <c r="L1453" s="53"/>
      <c r="M1453" s="53"/>
      <c r="N1453" s="53"/>
      <c r="O1453" s="53"/>
      <c r="P1453" s="53"/>
      <c r="Q1453" s="53"/>
      <c r="R1453" s="53"/>
      <c r="S1453" s="53"/>
      <c r="T1453" s="53"/>
      <c r="U1453" s="53"/>
      <c r="V1453" s="53"/>
      <c r="W1453" s="53"/>
      <c r="X1453" s="53"/>
      <c r="Y1453" s="53"/>
      <c r="Z1453" s="53"/>
      <c r="AA1453" s="53"/>
      <c r="AB1453" s="53"/>
      <c r="AC1453" s="53"/>
      <c r="AD1453" s="53"/>
      <c r="AE1453" s="53"/>
      <c r="AF1453" s="53"/>
      <c r="AG1453" s="53"/>
      <c r="AH1453" s="53"/>
    </row>
    <row r="1454" spans="1:34" ht="15.75" x14ac:dyDescent="0.25">
      <c r="A1454" s="53"/>
      <c r="B1454" s="53"/>
      <c r="C1454" s="53"/>
      <c r="D1454" s="53"/>
      <c r="E1454" s="53"/>
      <c r="F1454" s="53"/>
      <c r="G1454" s="53"/>
      <c r="H1454" s="53"/>
      <c r="I1454" s="53"/>
      <c r="J1454" s="53"/>
      <c r="K1454" s="53"/>
      <c r="L1454" s="53"/>
      <c r="M1454" s="53"/>
      <c r="N1454" s="53"/>
      <c r="O1454" s="53"/>
      <c r="P1454" s="53"/>
      <c r="Q1454" s="53"/>
      <c r="R1454" s="53"/>
      <c r="S1454" s="53"/>
      <c r="T1454" s="53"/>
      <c r="U1454" s="53"/>
      <c r="V1454" s="53"/>
      <c r="W1454" s="53"/>
      <c r="X1454" s="53"/>
      <c r="Y1454" s="53"/>
      <c r="Z1454" s="53"/>
      <c r="AA1454" s="53"/>
      <c r="AB1454" s="53"/>
      <c r="AC1454" s="53"/>
      <c r="AD1454" s="53"/>
      <c r="AE1454" s="53"/>
      <c r="AF1454" s="53"/>
      <c r="AG1454" s="53"/>
      <c r="AH1454" s="53"/>
    </row>
    <row r="1455" spans="1:34" ht="15.75" x14ac:dyDescent="0.25">
      <c r="A1455" s="53"/>
      <c r="B1455" s="53"/>
      <c r="C1455" s="53"/>
      <c r="D1455" s="53"/>
      <c r="E1455" s="53"/>
      <c r="F1455" s="53"/>
      <c r="G1455" s="53"/>
      <c r="H1455" s="53"/>
      <c r="I1455" s="53"/>
      <c r="J1455" s="53"/>
      <c r="K1455" s="53"/>
      <c r="L1455" s="53"/>
      <c r="M1455" s="53"/>
      <c r="N1455" s="53"/>
      <c r="O1455" s="53"/>
      <c r="P1455" s="53"/>
      <c r="Q1455" s="53"/>
      <c r="R1455" s="53"/>
      <c r="S1455" s="53"/>
      <c r="T1455" s="53"/>
      <c r="U1455" s="53"/>
      <c r="V1455" s="53"/>
      <c r="W1455" s="53"/>
      <c r="X1455" s="53"/>
      <c r="Y1455" s="53"/>
      <c r="Z1455" s="53"/>
      <c r="AA1455" s="53"/>
      <c r="AB1455" s="53"/>
      <c r="AC1455" s="53"/>
      <c r="AD1455" s="53"/>
      <c r="AE1455" s="53"/>
      <c r="AF1455" s="53"/>
      <c r="AG1455" s="53"/>
      <c r="AH1455" s="53"/>
    </row>
    <row r="1456" spans="1:34" ht="15.75" x14ac:dyDescent="0.25">
      <c r="A1456" s="53"/>
      <c r="B1456" s="53"/>
      <c r="C1456" s="53"/>
      <c r="D1456" s="53"/>
      <c r="E1456" s="53"/>
      <c r="F1456" s="53"/>
      <c r="G1456" s="53"/>
      <c r="H1456" s="53"/>
      <c r="I1456" s="53"/>
      <c r="J1456" s="53"/>
      <c r="K1456" s="53"/>
      <c r="L1456" s="53"/>
      <c r="M1456" s="53"/>
      <c r="N1456" s="53"/>
      <c r="O1456" s="53"/>
      <c r="P1456" s="53"/>
      <c r="Q1456" s="53"/>
      <c r="R1456" s="53"/>
      <c r="S1456" s="53"/>
      <c r="T1456" s="53"/>
      <c r="U1456" s="53"/>
      <c r="V1456" s="53"/>
      <c r="W1456" s="53"/>
      <c r="X1456" s="53"/>
      <c r="Y1456" s="53"/>
      <c r="Z1456" s="53"/>
      <c r="AA1456" s="53"/>
      <c r="AB1456" s="53"/>
      <c r="AC1456" s="53"/>
      <c r="AD1456" s="53"/>
      <c r="AE1456" s="53"/>
      <c r="AF1456" s="53"/>
      <c r="AG1456" s="53"/>
      <c r="AH1456" s="53"/>
    </row>
    <row r="1457" spans="1:34" ht="15.75" x14ac:dyDescent="0.25">
      <c r="A1457" s="53"/>
      <c r="B1457" s="53"/>
      <c r="C1457" s="53"/>
      <c r="D1457" s="53"/>
      <c r="E1457" s="53"/>
      <c r="F1457" s="53"/>
      <c r="G1457" s="53"/>
      <c r="H1457" s="53"/>
      <c r="I1457" s="53"/>
      <c r="J1457" s="53"/>
      <c r="K1457" s="53"/>
      <c r="L1457" s="53"/>
      <c r="M1457" s="53"/>
      <c r="N1457" s="53"/>
      <c r="O1457" s="53"/>
      <c r="P1457" s="53"/>
      <c r="Q1457" s="53"/>
      <c r="R1457" s="53"/>
      <c r="S1457" s="53"/>
      <c r="T1457" s="53"/>
      <c r="U1457" s="53"/>
      <c r="V1457" s="53"/>
      <c r="W1457" s="53"/>
      <c r="X1457" s="53"/>
      <c r="Y1457" s="53"/>
      <c r="Z1457" s="53"/>
      <c r="AA1457" s="53"/>
      <c r="AB1457" s="53"/>
      <c r="AC1457" s="53"/>
      <c r="AD1457" s="53"/>
      <c r="AE1457" s="53"/>
      <c r="AF1457" s="53"/>
      <c r="AG1457" s="53"/>
      <c r="AH1457" s="53"/>
    </row>
    <row r="1458" spans="1:34" ht="15.75" x14ac:dyDescent="0.25">
      <c r="A1458" s="53"/>
      <c r="B1458" s="53"/>
      <c r="C1458" s="53"/>
      <c r="D1458" s="53"/>
      <c r="E1458" s="53"/>
      <c r="F1458" s="53"/>
      <c r="G1458" s="53"/>
      <c r="H1458" s="53"/>
      <c r="I1458" s="53"/>
      <c r="J1458" s="53"/>
      <c r="K1458" s="53"/>
      <c r="L1458" s="53"/>
      <c r="M1458" s="53"/>
      <c r="N1458" s="53"/>
      <c r="O1458" s="53"/>
      <c r="P1458" s="53"/>
      <c r="Q1458" s="53"/>
      <c r="R1458" s="53"/>
      <c r="S1458" s="53"/>
      <c r="T1458" s="53"/>
      <c r="U1458" s="53"/>
      <c r="V1458" s="53"/>
      <c r="W1458" s="53"/>
      <c r="X1458" s="53"/>
      <c r="Y1458" s="53"/>
      <c r="Z1458" s="53"/>
      <c r="AA1458" s="53"/>
      <c r="AB1458" s="53"/>
      <c r="AC1458" s="53"/>
      <c r="AD1458" s="53"/>
      <c r="AE1458" s="53"/>
      <c r="AF1458" s="53"/>
      <c r="AG1458" s="53"/>
      <c r="AH1458" s="53"/>
    </row>
    <row r="1459" spans="1:34" ht="15.75" x14ac:dyDescent="0.25">
      <c r="A1459" s="53"/>
      <c r="B1459" s="53"/>
      <c r="C1459" s="53"/>
      <c r="D1459" s="53"/>
      <c r="E1459" s="53"/>
      <c r="F1459" s="53"/>
      <c r="G1459" s="53"/>
      <c r="H1459" s="53"/>
      <c r="I1459" s="53"/>
      <c r="J1459" s="53"/>
      <c r="K1459" s="53"/>
      <c r="L1459" s="53"/>
      <c r="M1459" s="53"/>
      <c r="N1459" s="53"/>
      <c r="O1459" s="53"/>
      <c r="P1459" s="53"/>
      <c r="Q1459" s="53"/>
      <c r="R1459" s="53"/>
      <c r="S1459" s="53"/>
      <c r="T1459" s="53"/>
      <c r="U1459" s="53"/>
      <c r="V1459" s="53"/>
      <c r="W1459" s="53"/>
      <c r="X1459" s="53"/>
      <c r="Y1459" s="53"/>
      <c r="Z1459" s="53"/>
      <c r="AA1459" s="53"/>
      <c r="AB1459" s="53"/>
      <c r="AC1459" s="53"/>
      <c r="AD1459" s="53"/>
      <c r="AE1459" s="53"/>
      <c r="AF1459" s="53"/>
      <c r="AG1459" s="53"/>
      <c r="AH1459" s="53"/>
    </row>
    <row r="1460" spans="1:34" ht="15.75" x14ac:dyDescent="0.25">
      <c r="A1460" s="53"/>
      <c r="B1460" s="53"/>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row>
    <row r="1461" spans="1:34" ht="15.75" x14ac:dyDescent="0.25">
      <c r="A1461" s="53"/>
      <c r="B1461" s="53"/>
      <c r="C1461" s="53"/>
      <c r="D1461" s="53"/>
      <c r="E1461" s="53"/>
      <c r="F1461" s="53"/>
      <c r="G1461" s="53"/>
      <c r="H1461" s="53"/>
      <c r="I1461" s="53"/>
      <c r="J1461" s="53"/>
      <c r="K1461" s="53"/>
      <c r="L1461" s="53"/>
      <c r="M1461" s="53"/>
      <c r="N1461" s="53"/>
      <c r="O1461" s="53"/>
      <c r="P1461" s="53"/>
      <c r="Q1461" s="53"/>
      <c r="R1461" s="53"/>
      <c r="S1461" s="53"/>
      <c r="T1461" s="53"/>
      <c r="U1461" s="53"/>
      <c r="V1461" s="53"/>
      <c r="W1461" s="53"/>
      <c r="X1461" s="53"/>
      <c r="Y1461" s="53"/>
      <c r="Z1461" s="53"/>
      <c r="AA1461" s="53"/>
      <c r="AB1461" s="53"/>
      <c r="AC1461" s="53"/>
      <c r="AD1461" s="53"/>
      <c r="AE1461" s="53"/>
      <c r="AF1461" s="53"/>
      <c r="AG1461" s="53"/>
      <c r="AH1461" s="53"/>
    </row>
    <row r="1462" spans="1:34" ht="15.75" x14ac:dyDescent="0.25">
      <c r="A1462" s="53"/>
      <c r="B1462" s="53"/>
      <c r="C1462" s="53"/>
      <c r="D1462" s="53"/>
      <c r="E1462" s="53"/>
      <c r="F1462" s="53"/>
      <c r="G1462" s="53"/>
      <c r="H1462" s="53"/>
      <c r="I1462" s="53"/>
      <c r="J1462" s="53"/>
      <c r="K1462" s="53"/>
      <c r="L1462" s="53"/>
      <c r="M1462" s="53"/>
      <c r="N1462" s="53"/>
      <c r="O1462" s="53"/>
      <c r="P1462" s="53"/>
      <c r="Q1462" s="53"/>
      <c r="R1462" s="53"/>
      <c r="S1462" s="53"/>
      <c r="T1462" s="53"/>
      <c r="U1462" s="53"/>
      <c r="V1462" s="53"/>
      <c r="W1462" s="53"/>
      <c r="X1462" s="53"/>
      <c r="Y1462" s="53"/>
      <c r="Z1462" s="53"/>
      <c r="AA1462" s="53"/>
      <c r="AB1462" s="53"/>
      <c r="AC1462" s="53"/>
      <c r="AD1462" s="53"/>
      <c r="AE1462" s="53"/>
      <c r="AF1462" s="53"/>
      <c r="AG1462" s="53"/>
      <c r="AH1462" s="53"/>
    </row>
    <row r="1463" spans="1:34" ht="15.75" x14ac:dyDescent="0.25">
      <c r="A1463" s="53"/>
      <c r="B1463" s="53"/>
      <c r="C1463" s="53"/>
      <c r="D1463" s="53"/>
      <c r="E1463" s="53"/>
      <c r="F1463" s="53"/>
      <c r="G1463" s="53"/>
      <c r="H1463" s="53"/>
      <c r="I1463" s="53"/>
      <c r="J1463" s="53"/>
      <c r="K1463" s="53"/>
      <c r="L1463" s="53"/>
      <c r="M1463" s="53"/>
      <c r="N1463" s="53"/>
      <c r="O1463" s="53"/>
      <c r="P1463" s="53"/>
      <c r="Q1463" s="53"/>
      <c r="R1463" s="53"/>
      <c r="S1463" s="53"/>
      <c r="T1463" s="53"/>
      <c r="U1463" s="53"/>
      <c r="V1463" s="53"/>
      <c r="W1463" s="53"/>
      <c r="X1463" s="53"/>
      <c r="Y1463" s="53"/>
      <c r="Z1463" s="53"/>
      <c r="AA1463" s="53"/>
      <c r="AB1463" s="53"/>
      <c r="AC1463" s="53"/>
      <c r="AD1463" s="53"/>
      <c r="AE1463" s="53"/>
      <c r="AF1463" s="53"/>
      <c r="AG1463" s="53"/>
      <c r="AH1463" s="53"/>
    </row>
    <row r="1464" spans="1:34" ht="15.75" x14ac:dyDescent="0.25">
      <c r="A1464" s="53"/>
      <c r="B1464" s="53"/>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row>
    <row r="1465" spans="1:34" ht="15.75" x14ac:dyDescent="0.25">
      <c r="A1465" s="53"/>
      <c r="B1465" s="53"/>
      <c r="C1465" s="53"/>
      <c r="D1465" s="53"/>
      <c r="E1465" s="53"/>
      <c r="F1465" s="53"/>
      <c r="G1465" s="53"/>
      <c r="H1465" s="53"/>
      <c r="I1465" s="53"/>
      <c r="J1465" s="53"/>
      <c r="K1465" s="53"/>
      <c r="L1465" s="53"/>
      <c r="M1465" s="53"/>
      <c r="N1465" s="53"/>
      <c r="O1465" s="53"/>
      <c r="P1465" s="53"/>
      <c r="Q1465" s="53"/>
      <c r="R1465" s="53"/>
      <c r="S1465" s="53"/>
      <c r="T1465" s="53"/>
      <c r="U1465" s="53"/>
      <c r="V1465" s="53"/>
      <c r="W1465" s="53"/>
      <c r="X1465" s="53"/>
      <c r="Y1465" s="53"/>
      <c r="Z1465" s="53"/>
      <c r="AA1465" s="53"/>
      <c r="AB1465" s="53"/>
      <c r="AC1465" s="53"/>
      <c r="AD1465" s="53"/>
      <c r="AE1465" s="53"/>
      <c r="AF1465" s="53"/>
      <c r="AG1465" s="53"/>
      <c r="AH1465" s="53"/>
    </row>
    <row r="1466" spans="1:34" ht="15.75" x14ac:dyDescent="0.25">
      <c r="A1466" s="53"/>
      <c r="B1466" s="53"/>
      <c r="C1466" s="53"/>
      <c r="D1466" s="53"/>
      <c r="E1466" s="53"/>
      <c r="F1466" s="53"/>
      <c r="G1466" s="53"/>
      <c r="H1466" s="53"/>
      <c r="I1466" s="53"/>
      <c r="J1466" s="53"/>
      <c r="K1466" s="53"/>
      <c r="L1466" s="53"/>
      <c r="M1466" s="53"/>
      <c r="N1466" s="53"/>
      <c r="O1466" s="53"/>
      <c r="P1466" s="53"/>
      <c r="Q1466" s="53"/>
      <c r="R1466" s="53"/>
      <c r="S1466" s="53"/>
      <c r="T1466" s="53"/>
      <c r="U1466" s="53"/>
      <c r="V1466" s="53"/>
      <c r="W1466" s="53"/>
      <c r="X1466" s="53"/>
      <c r="Y1466" s="53"/>
      <c r="Z1466" s="53"/>
      <c r="AA1466" s="53"/>
      <c r="AB1466" s="53"/>
      <c r="AC1466" s="53"/>
      <c r="AD1466" s="53"/>
      <c r="AE1466" s="53"/>
      <c r="AF1466" s="53"/>
      <c r="AG1466" s="53"/>
      <c r="AH1466" s="53"/>
    </row>
    <row r="1467" spans="1:34" ht="15.75" x14ac:dyDescent="0.25">
      <c r="A1467" s="53"/>
      <c r="B1467" s="53"/>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row>
    <row r="1468" spans="1:34" ht="15.75" x14ac:dyDescent="0.25">
      <c r="A1468" s="53"/>
      <c r="B1468" s="53"/>
      <c r="C1468" s="53"/>
      <c r="D1468" s="53"/>
      <c r="E1468" s="53"/>
      <c r="F1468" s="53"/>
      <c r="G1468" s="53"/>
      <c r="H1468" s="53"/>
      <c r="I1468" s="53"/>
      <c r="J1468" s="53"/>
      <c r="K1468" s="53"/>
      <c r="L1468" s="53"/>
      <c r="M1468" s="53"/>
      <c r="N1468" s="53"/>
      <c r="O1468" s="53"/>
      <c r="P1468" s="53"/>
      <c r="Q1468" s="53"/>
      <c r="R1468" s="53"/>
      <c r="S1468" s="53"/>
      <c r="T1468" s="53"/>
      <c r="U1468" s="53"/>
      <c r="V1468" s="53"/>
      <c r="W1468" s="53"/>
      <c r="X1468" s="53"/>
      <c r="Y1468" s="53"/>
      <c r="Z1468" s="53"/>
      <c r="AA1468" s="53"/>
      <c r="AB1468" s="53"/>
      <c r="AC1468" s="53"/>
      <c r="AD1468" s="53"/>
      <c r="AE1468" s="53"/>
      <c r="AF1468" s="53"/>
      <c r="AG1468" s="53"/>
      <c r="AH1468" s="53"/>
    </row>
    <row r="1469" spans="1:34" ht="15.75" x14ac:dyDescent="0.25">
      <c r="A1469" s="53"/>
      <c r="B1469" s="53"/>
      <c r="C1469" s="53"/>
      <c r="D1469" s="53"/>
      <c r="E1469" s="53"/>
      <c r="F1469" s="53"/>
      <c r="G1469" s="53"/>
      <c r="H1469" s="53"/>
      <c r="I1469" s="53"/>
      <c r="J1469" s="53"/>
      <c r="K1469" s="53"/>
      <c r="L1469" s="53"/>
      <c r="M1469" s="53"/>
      <c r="N1469" s="53"/>
      <c r="O1469" s="53"/>
      <c r="P1469" s="53"/>
      <c r="Q1469" s="53"/>
      <c r="R1469" s="53"/>
      <c r="S1469" s="53"/>
      <c r="T1469" s="53"/>
      <c r="U1469" s="53"/>
      <c r="V1469" s="53"/>
      <c r="W1469" s="53"/>
      <c r="X1469" s="53"/>
      <c r="Y1469" s="53"/>
      <c r="Z1469" s="53"/>
      <c r="AA1469" s="53"/>
      <c r="AB1469" s="53"/>
      <c r="AC1469" s="53"/>
      <c r="AD1469" s="53"/>
      <c r="AE1469" s="53"/>
      <c r="AF1469" s="53"/>
      <c r="AG1469" s="53"/>
      <c r="AH1469" s="53"/>
    </row>
    <row r="1470" spans="1:34" ht="15.75" x14ac:dyDescent="0.25">
      <c r="A1470" s="53"/>
      <c r="B1470" s="53"/>
      <c r="C1470" s="53"/>
      <c r="D1470" s="53"/>
      <c r="E1470" s="53"/>
      <c r="F1470" s="53"/>
      <c r="G1470" s="53"/>
      <c r="H1470" s="53"/>
      <c r="I1470" s="53"/>
      <c r="J1470" s="53"/>
      <c r="K1470" s="53"/>
      <c r="L1470" s="53"/>
      <c r="M1470" s="53"/>
      <c r="N1470" s="53"/>
      <c r="O1470" s="53"/>
      <c r="P1470" s="53"/>
      <c r="Q1470" s="53"/>
      <c r="R1470" s="53"/>
      <c r="S1470" s="53"/>
      <c r="T1470" s="53"/>
      <c r="U1470" s="53"/>
      <c r="V1470" s="53"/>
      <c r="W1470" s="53"/>
      <c r="X1470" s="53"/>
      <c r="Y1470" s="53"/>
      <c r="Z1470" s="53"/>
      <c r="AA1470" s="53"/>
      <c r="AB1470" s="53"/>
      <c r="AC1470" s="53"/>
      <c r="AD1470" s="53"/>
      <c r="AE1470" s="53"/>
      <c r="AF1470" s="53"/>
      <c r="AG1470" s="53"/>
      <c r="AH1470" s="53"/>
    </row>
    <row r="1471" spans="1:34" ht="15.75" x14ac:dyDescent="0.25">
      <c r="A1471" s="53"/>
      <c r="B1471" s="53"/>
      <c r="C1471" s="53"/>
      <c r="D1471" s="53"/>
      <c r="E1471" s="53"/>
      <c r="F1471" s="53"/>
      <c r="G1471" s="53"/>
      <c r="H1471" s="53"/>
      <c r="I1471" s="53"/>
      <c r="J1471" s="53"/>
      <c r="K1471" s="53"/>
      <c r="L1471" s="53"/>
      <c r="M1471" s="53"/>
      <c r="N1471" s="53"/>
      <c r="O1471" s="53"/>
      <c r="P1471" s="53"/>
      <c r="Q1471" s="53"/>
      <c r="R1471" s="53"/>
      <c r="S1471" s="53"/>
      <c r="T1471" s="53"/>
      <c r="U1471" s="53"/>
      <c r="V1471" s="53"/>
      <c r="W1471" s="53"/>
      <c r="X1471" s="53"/>
      <c r="Y1471" s="53"/>
      <c r="Z1471" s="53"/>
      <c r="AA1471" s="53"/>
      <c r="AB1471" s="53"/>
      <c r="AC1471" s="53"/>
      <c r="AD1471" s="53"/>
      <c r="AE1471" s="53"/>
      <c r="AF1471" s="53"/>
      <c r="AG1471" s="53"/>
      <c r="AH1471" s="53"/>
    </row>
    <row r="1472" spans="1:34" ht="15.75" x14ac:dyDescent="0.25">
      <c r="A1472" s="53"/>
      <c r="B1472" s="53"/>
      <c r="C1472" s="53"/>
      <c r="D1472" s="53"/>
      <c r="E1472" s="53"/>
      <c r="F1472" s="53"/>
      <c r="G1472" s="53"/>
      <c r="H1472" s="53"/>
      <c r="I1472" s="53"/>
      <c r="J1472" s="53"/>
      <c r="K1472" s="53"/>
      <c r="L1472" s="53"/>
      <c r="M1472" s="53"/>
      <c r="N1472" s="53"/>
      <c r="O1472" s="53"/>
      <c r="P1472" s="53"/>
      <c r="Q1472" s="53"/>
      <c r="R1472" s="53"/>
      <c r="S1472" s="53"/>
      <c r="T1472" s="53"/>
      <c r="U1472" s="53"/>
      <c r="V1472" s="53"/>
      <c r="W1472" s="53"/>
      <c r="X1472" s="53"/>
      <c r="Y1472" s="53"/>
      <c r="Z1472" s="53"/>
      <c r="AA1472" s="53"/>
      <c r="AB1472" s="53"/>
      <c r="AC1472" s="53"/>
      <c r="AD1472" s="53"/>
      <c r="AE1472" s="53"/>
      <c r="AF1472" s="53"/>
      <c r="AG1472" s="53"/>
      <c r="AH1472" s="53"/>
    </row>
    <row r="1473" spans="1:34" ht="15.75" x14ac:dyDescent="0.25">
      <c r="A1473" s="53"/>
      <c r="B1473" s="53"/>
      <c r="C1473" s="53"/>
      <c r="D1473" s="53"/>
      <c r="E1473" s="53"/>
      <c r="F1473" s="53"/>
      <c r="G1473" s="53"/>
      <c r="H1473" s="53"/>
      <c r="I1473" s="53"/>
      <c r="J1473" s="53"/>
      <c r="K1473" s="53"/>
      <c r="L1473" s="53"/>
      <c r="M1473" s="53"/>
      <c r="N1473" s="53"/>
      <c r="O1473" s="53"/>
      <c r="P1473" s="53"/>
      <c r="Q1473" s="53"/>
      <c r="R1473" s="53"/>
      <c r="S1473" s="53"/>
      <c r="T1473" s="53"/>
      <c r="U1473" s="53"/>
      <c r="V1473" s="53"/>
      <c r="W1473" s="53"/>
      <c r="X1473" s="53"/>
      <c r="Y1473" s="53"/>
      <c r="Z1473" s="53"/>
      <c r="AA1473" s="53"/>
      <c r="AB1473" s="53"/>
      <c r="AC1473" s="53"/>
      <c r="AD1473" s="53"/>
      <c r="AE1473" s="53"/>
      <c r="AF1473" s="53"/>
      <c r="AG1473" s="53"/>
      <c r="AH1473" s="53"/>
    </row>
    <row r="1474" spans="1:34" ht="15.75" x14ac:dyDescent="0.25">
      <c r="A1474" s="53"/>
      <c r="B1474" s="53"/>
      <c r="C1474" s="53"/>
      <c r="D1474" s="53"/>
      <c r="E1474" s="53"/>
      <c r="F1474" s="53"/>
      <c r="G1474" s="53"/>
      <c r="H1474" s="53"/>
      <c r="I1474" s="53"/>
      <c r="J1474" s="53"/>
      <c r="K1474" s="53"/>
      <c r="L1474" s="53"/>
      <c r="M1474" s="53"/>
      <c r="N1474" s="53"/>
      <c r="O1474" s="53"/>
      <c r="P1474" s="53"/>
      <c r="Q1474" s="53"/>
      <c r="R1474" s="53"/>
      <c r="S1474" s="53"/>
      <c r="T1474" s="53"/>
      <c r="U1474" s="53"/>
      <c r="V1474" s="53"/>
      <c r="W1474" s="53"/>
      <c r="X1474" s="53"/>
      <c r="Y1474" s="53"/>
      <c r="Z1474" s="53"/>
      <c r="AA1474" s="53"/>
      <c r="AB1474" s="53"/>
      <c r="AC1474" s="53"/>
      <c r="AD1474" s="53"/>
      <c r="AE1474" s="53"/>
      <c r="AF1474" s="53"/>
      <c r="AG1474" s="53"/>
      <c r="AH1474" s="53"/>
    </row>
    <row r="1475" spans="1:34" ht="15.75" x14ac:dyDescent="0.25">
      <c r="A1475" s="53"/>
      <c r="B1475" s="53"/>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row>
    <row r="1476" spans="1:34" ht="15.75" x14ac:dyDescent="0.25">
      <c r="A1476" s="53"/>
      <c r="B1476" s="53"/>
      <c r="C1476" s="53"/>
      <c r="D1476" s="53"/>
      <c r="E1476" s="53"/>
      <c r="F1476" s="53"/>
      <c r="G1476" s="53"/>
      <c r="H1476" s="53"/>
      <c r="I1476" s="53"/>
      <c r="J1476" s="53"/>
      <c r="K1476" s="53"/>
      <c r="L1476" s="53"/>
      <c r="M1476" s="53"/>
      <c r="N1476" s="53"/>
      <c r="O1476" s="53"/>
      <c r="P1476" s="53"/>
      <c r="Q1476" s="53"/>
      <c r="R1476" s="53"/>
      <c r="S1476" s="53"/>
      <c r="T1476" s="53"/>
      <c r="U1476" s="53"/>
      <c r="V1476" s="53"/>
      <c r="W1476" s="53"/>
      <c r="X1476" s="53"/>
      <c r="Y1476" s="53"/>
      <c r="Z1476" s="53"/>
      <c r="AA1476" s="53"/>
      <c r="AB1476" s="53"/>
      <c r="AC1476" s="53"/>
      <c r="AD1476" s="53"/>
      <c r="AE1476" s="53"/>
      <c r="AF1476" s="53"/>
      <c r="AG1476" s="53"/>
      <c r="AH1476" s="53"/>
    </row>
    <row r="1477" spans="1:34" ht="15.75" x14ac:dyDescent="0.25">
      <c r="A1477" s="53"/>
      <c r="B1477" s="53"/>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row>
    <row r="1478" spans="1:34" ht="15.75" x14ac:dyDescent="0.25">
      <c r="A1478" s="53"/>
      <c r="B1478" s="53"/>
      <c r="C1478" s="53"/>
      <c r="D1478" s="53"/>
      <c r="E1478" s="53"/>
      <c r="F1478" s="53"/>
      <c r="G1478" s="53"/>
      <c r="H1478" s="53"/>
      <c r="I1478" s="53"/>
      <c r="J1478" s="53"/>
      <c r="K1478" s="53"/>
      <c r="L1478" s="53"/>
      <c r="M1478" s="53"/>
      <c r="N1478" s="53"/>
      <c r="O1478" s="53"/>
      <c r="P1478" s="53"/>
      <c r="Q1478" s="53"/>
      <c r="R1478" s="53"/>
      <c r="S1478" s="53"/>
      <c r="T1478" s="53"/>
      <c r="U1478" s="53"/>
      <c r="V1478" s="53"/>
      <c r="W1478" s="53"/>
      <c r="X1478" s="53"/>
      <c r="Y1478" s="53"/>
      <c r="Z1478" s="53"/>
      <c r="AA1478" s="53"/>
      <c r="AB1478" s="53"/>
      <c r="AC1478" s="53"/>
      <c r="AD1478" s="53"/>
      <c r="AE1478" s="53"/>
      <c r="AF1478" s="53"/>
      <c r="AG1478" s="53"/>
      <c r="AH1478" s="53"/>
    </row>
    <row r="1479" spans="1:34" ht="15.75" x14ac:dyDescent="0.25">
      <c r="A1479" s="53"/>
      <c r="B1479" s="53"/>
      <c r="C1479" s="53"/>
      <c r="D1479" s="53"/>
      <c r="E1479" s="53"/>
      <c r="F1479" s="53"/>
      <c r="G1479" s="53"/>
      <c r="H1479" s="53"/>
      <c r="I1479" s="53"/>
      <c r="J1479" s="53"/>
      <c r="K1479" s="53"/>
      <c r="L1479" s="53"/>
      <c r="M1479" s="53"/>
      <c r="N1479" s="53"/>
      <c r="O1479" s="53"/>
      <c r="P1479" s="53"/>
      <c r="Q1479" s="53"/>
      <c r="R1479" s="53"/>
      <c r="S1479" s="53"/>
      <c r="T1479" s="53"/>
      <c r="U1479" s="53"/>
      <c r="V1479" s="53"/>
      <c r="W1479" s="53"/>
      <c r="X1479" s="53"/>
      <c r="Y1479" s="53"/>
      <c r="Z1479" s="53"/>
      <c r="AA1479" s="53"/>
      <c r="AB1479" s="53"/>
      <c r="AC1479" s="53"/>
      <c r="AD1479" s="53"/>
      <c r="AE1479" s="53"/>
      <c r="AF1479" s="53"/>
      <c r="AG1479" s="53"/>
      <c r="AH1479" s="53"/>
    </row>
    <row r="1480" spans="1:34" ht="15.75" x14ac:dyDescent="0.25">
      <c r="A1480" s="53"/>
      <c r="B1480" s="53"/>
      <c r="C1480" s="53"/>
      <c r="D1480" s="53"/>
      <c r="E1480" s="53"/>
      <c r="F1480" s="53"/>
      <c r="G1480" s="53"/>
      <c r="H1480" s="53"/>
      <c r="I1480" s="53"/>
      <c r="J1480" s="53"/>
      <c r="K1480" s="53"/>
      <c r="L1480" s="53"/>
      <c r="M1480" s="53"/>
      <c r="N1480" s="53"/>
      <c r="O1480" s="53"/>
      <c r="P1480" s="53"/>
      <c r="Q1480" s="53"/>
      <c r="R1480" s="53"/>
      <c r="S1480" s="53"/>
      <c r="T1480" s="53"/>
      <c r="U1480" s="53"/>
      <c r="V1480" s="53"/>
      <c r="W1480" s="53"/>
      <c r="X1480" s="53"/>
      <c r="Y1480" s="53"/>
      <c r="Z1480" s="53"/>
      <c r="AA1480" s="53"/>
      <c r="AB1480" s="53"/>
      <c r="AC1480" s="53"/>
      <c r="AD1480" s="53"/>
      <c r="AE1480" s="53"/>
      <c r="AF1480" s="53"/>
      <c r="AG1480" s="53"/>
      <c r="AH1480" s="53"/>
    </row>
    <row r="1481" spans="1:34" ht="15.75" x14ac:dyDescent="0.25">
      <c r="A1481" s="53"/>
      <c r="B1481" s="53"/>
      <c r="C1481" s="53"/>
      <c r="D1481" s="53"/>
      <c r="E1481" s="53"/>
      <c r="F1481" s="53"/>
      <c r="G1481" s="53"/>
      <c r="H1481" s="53"/>
      <c r="I1481" s="53"/>
      <c r="J1481" s="53"/>
      <c r="K1481" s="53"/>
      <c r="L1481" s="53"/>
      <c r="M1481" s="53"/>
      <c r="N1481" s="53"/>
      <c r="O1481" s="53"/>
      <c r="P1481" s="53"/>
      <c r="Q1481" s="53"/>
      <c r="R1481" s="53"/>
      <c r="S1481" s="53"/>
      <c r="T1481" s="53"/>
      <c r="U1481" s="53"/>
      <c r="V1481" s="53"/>
      <c r="W1481" s="53"/>
      <c r="X1481" s="53"/>
      <c r="Y1481" s="53"/>
      <c r="Z1481" s="53"/>
      <c r="AA1481" s="53"/>
      <c r="AB1481" s="53"/>
      <c r="AC1481" s="53"/>
      <c r="AD1481" s="53"/>
      <c r="AE1481" s="53"/>
      <c r="AF1481" s="53"/>
      <c r="AG1481" s="53"/>
      <c r="AH1481" s="53"/>
    </row>
    <row r="1482" spans="1:34" ht="15.75" x14ac:dyDescent="0.25">
      <c r="A1482" s="53"/>
      <c r="B1482" s="53"/>
      <c r="C1482" s="53"/>
      <c r="D1482" s="53"/>
      <c r="E1482" s="53"/>
      <c r="F1482" s="53"/>
      <c r="G1482" s="53"/>
      <c r="H1482" s="53"/>
      <c r="I1482" s="53"/>
      <c r="J1482" s="53"/>
      <c r="K1482" s="53"/>
      <c r="L1482" s="53"/>
      <c r="M1482" s="53"/>
      <c r="N1482" s="53"/>
      <c r="O1482" s="53"/>
      <c r="P1482" s="53"/>
      <c r="Q1482" s="53"/>
      <c r="R1482" s="53"/>
      <c r="S1482" s="53"/>
      <c r="T1482" s="53"/>
      <c r="U1482" s="53"/>
      <c r="V1482" s="53"/>
      <c r="W1482" s="53"/>
      <c r="X1482" s="53"/>
      <c r="Y1482" s="53"/>
      <c r="Z1482" s="53"/>
      <c r="AA1482" s="53"/>
      <c r="AB1482" s="53"/>
      <c r="AC1482" s="53"/>
      <c r="AD1482" s="53"/>
      <c r="AE1482" s="53"/>
      <c r="AF1482" s="53"/>
      <c r="AG1482" s="53"/>
      <c r="AH1482" s="53"/>
    </row>
    <row r="1483" spans="1:34" ht="15.75" x14ac:dyDescent="0.25">
      <c r="A1483" s="53"/>
      <c r="B1483" s="53"/>
      <c r="C1483" s="53"/>
      <c r="D1483" s="53"/>
      <c r="E1483" s="53"/>
      <c r="F1483" s="53"/>
      <c r="G1483" s="53"/>
      <c r="H1483" s="53"/>
      <c r="I1483" s="53"/>
      <c r="J1483" s="53"/>
      <c r="K1483" s="53"/>
      <c r="L1483" s="53"/>
      <c r="M1483" s="53"/>
      <c r="N1483" s="53"/>
      <c r="O1483" s="53"/>
      <c r="P1483" s="53"/>
      <c r="Q1483" s="53"/>
      <c r="R1483" s="53"/>
      <c r="S1483" s="53"/>
      <c r="T1483" s="53"/>
      <c r="U1483" s="53"/>
      <c r="V1483" s="53"/>
      <c r="W1483" s="53"/>
      <c r="X1483" s="53"/>
      <c r="Y1483" s="53"/>
      <c r="Z1483" s="53"/>
      <c r="AA1483" s="53"/>
      <c r="AB1483" s="53"/>
      <c r="AC1483" s="53"/>
      <c r="AD1483" s="53"/>
      <c r="AE1483" s="53"/>
      <c r="AF1483" s="53"/>
      <c r="AG1483" s="53"/>
      <c r="AH1483" s="53"/>
    </row>
    <row r="1484" spans="1:34" ht="15.75" x14ac:dyDescent="0.25">
      <c r="A1484" s="53"/>
      <c r="B1484" s="53"/>
      <c r="C1484" s="53"/>
      <c r="D1484" s="53"/>
      <c r="E1484" s="53"/>
      <c r="F1484" s="53"/>
      <c r="G1484" s="53"/>
      <c r="H1484" s="53"/>
      <c r="I1484" s="53"/>
      <c r="J1484" s="53"/>
      <c r="K1484" s="53"/>
      <c r="L1484" s="53"/>
      <c r="M1484" s="53"/>
      <c r="N1484" s="53"/>
      <c r="O1484" s="53"/>
      <c r="P1484" s="53"/>
      <c r="Q1484" s="53"/>
      <c r="R1484" s="53"/>
      <c r="S1484" s="53"/>
      <c r="T1484" s="53"/>
      <c r="U1484" s="53"/>
      <c r="V1484" s="53"/>
      <c r="W1484" s="53"/>
      <c r="X1484" s="53"/>
      <c r="Y1484" s="53"/>
      <c r="Z1484" s="53"/>
      <c r="AA1484" s="53"/>
      <c r="AB1484" s="53"/>
      <c r="AC1484" s="53"/>
      <c r="AD1484" s="53"/>
      <c r="AE1484" s="53"/>
      <c r="AF1484" s="53"/>
      <c r="AG1484" s="53"/>
      <c r="AH1484" s="53"/>
    </row>
    <row r="1485" spans="1:34" ht="15.75" x14ac:dyDescent="0.25">
      <c r="A1485" s="53"/>
      <c r="B1485" s="53"/>
      <c r="C1485" s="53"/>
      <c r="D1485" s="53"/>
      <c r="E1485" s="53"/>
      <c r="F1485" s="53"/>
      <c r="G1485" s="53"/>
      <c r="H1485" s="53"/>
      <c r="I1485" s="53"/>
      <c r="J1485" s="53"/>
      <c r="K1485" s="53"/>
      <c r="L1485" s="53"/>
      <c r="M1485" s="53"/>
      <c r="N1485" s="53"/>
      <c r="O1485" s="53"/>
      <c r="P1485" s="53"/>
      <c r="Q1485" s="53"/>
      <c r="R1485" s="53"/>
      <c r="S1485" s="53"/>
      <c r="T1485" s="53"/>
      <c r="U1485" s="53"/>
      <c r="V1485" s="53"/>
      <c r="W1485" s="53"/>
      <c r="X1485" s="53"/>
      <c r="Y1485" s="53"/>
      <c r="Z1485" s="53"/>
      <c r="AA1485" s="53"/>
      <c r="AB1485" s="53"/>
      <c r="AC1485" s="53"/>
      <c r="AD1485" s="53"/>
      <c r="AE1485" s="53"/>
      <c r="AF1485" s="53"/>
      <c r="AG1485" s="53"/>
      <c r="AH1485" s="53"/>
    </row>
    <row r="1486" spans="1:34" ht="15.75" x14ac:dyDescent="0.25">
      <c r="A1486" s="53"/>
      <c r="B1486" s="53"/>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row>
    <row r="1487" spans="1:34" ht="15.75" x14ac:dyDescent="0.25">
      <c r="A1487" s="53"/>
      <c r="B1487" s="53"/>
      <c r="C1487" s="53"/>
      <c r="D1487" s="53"/>
      <c r="E1487" s="53"/>
      <c r="F1487" s="53"/>
      <c r="G1487" s="53"/>
      <c r="H1487" s="53"/>
      <c r="I1487" s="53"/>
      <c r="J1487" s="53"/>
      <c r="K1487" s="53"/>
      <c r="L1487" s="53"/>
      <c r="M1487" s="53"/>
      <c r="N1487" s="53"/>
      <c r="O1487" s="53"/>
      <c r="P1487" s="53"/>
      <c r="Q1487" s="53"/>
      <c r="R1487" s="53"/>
      <c r="S1487" s="53"/>
      <c r="T1487" s="53"/>
      <c r="U1487" s="53"/>
      <c r="V1487" s="53"/>
      <c r="W1487" s="53"/>
      <c r="X1487" s="53"/>
      <c r="Y1487" s="53"/>
      <c r="Z1487" s="53"/>
      <c r="AA1487" s="53"/>
      <c r="AB1487" s="53"/>
      <c r="AC1487" s="53"/>
      <c r="AD1487" s="53"/>
      <c r="AE1487" s="53"/>
      <c r="AF1487" s="53"/>
      <c r="AG1487" s="53"/>
      <c r="AH1487" s="53"/>
    </row>
    <row r="1488" spans="1:34" ht="15.75" x14ac:dyDescent="0.25">
      <c r="A1488" s="53"/>
      <c r="B1488" s="53"/>
      <c r="C1488" s="53"/>
      <c r="D1488" s="53"/>
      <c r="E1488" s="53"/>
      <c r="F1488" s="53"/>
      <c r="G1488" s="53"/>
      <c r="H1488" s="53"/>
      <c r="I1488" s="53"/>
      <c r="J1488" s="53"/>
      <c r="K1488" s="53"/>
      <c r="L1488" s="53"/>
      <c r="M1488" s="53"/>
      <c r="N1488" s="53"/>
      <c r="O1488" s="53"/>
      <c r="P1488" s="53"/>
      <c r="Q1488" s="53"/>
      <c r="R1488" s="53"/>
      <c r="S1488" s="53"/>
      <c r="T1488" s="53"/>
      <c r="U1488" s="53"/>
      <c r="V1488" s="53"/>
      <c r="W1488" s="53"/>
      <c r="X1488" s="53"/>
      <c r="Y1488" s="53"/>
      <c r="Z1488" s="53"/>
      <c r="AA1488" s="53"/>
      <c r="AB1488" s="53"/>
      <c r="AC1488" s="53"/>
      <c r="AD1488" s="53"/>
      <c r="AE1488" s="53"/>
      <c r="AF1488" s="53"/>
      <c r="AG1488" s="53"/>
      <c r="AH1488" s="53"/>
    </row>
    <row r="1489" spans="1:34" ht="15.75" x14ac:dyDescent="0.25">
      <c r="A1489" s="53"/>
      <c r="B1489" s="53"/>
      <c r="C1489" s="53"/>
      <c r="D1489" s="53"/>
      <c r="E1489" s="53"/>
      <c r="F1489" s="53"/>
      <c r="G1489" s="53"/>
      <c r="H1489" s="53"/>
      <c r="I1489" s="53"/>
      <c r="J1489" s="53"/>
      <c r="K1489" s="53"/>
      <c r="L1489" s="53"/>
      <c r="M1489" s="53"/>
      <c r="N1489" s="53"/>
      <c r="O1489" s="53"/>
      <c r="P1489" s="53"/>
      <c r="Q1489" s="53"/>
      <c r="R1489" s="53"/>
      <c r="S1489" s="53"/>
      <c r="T1489" s="53"/>
      <c r="U1489" s="53"/>
      <c r="V1489" s="53"/>
      <c r="W1489" s="53"/>
      <c r="X1489" s="53"/>
      <c r="Y1489" s="53"/>
      <c r="Z1489" s="53"/>
      <c r="AA1489" s="53"/>
      <c r="AB1489" s="53"/>
      <c r="AC1489" s="53"/>
      <c r="AD1489" s="53"/>
      <c r="AE1489" s="53"/>
      <c r="AF1489" s="53"/>
      <c r="AG1489" s="53"/>
      <c r="AH1489" s="53"/>
    </row>
    <row r="1490" spans="1:34" ht="15.75" x14ac:dyDescent="0.25">
      <c r="A1490" s="53"/>
      <c r="B1490" s="53"/>
      <c r="C1490" s="53"/>
      <c r="D1490" s="53"/>
      <c r="E1490" s="53"/>
      <c r="F1490" s="53"/>
      <c r="G1490" s="53"/>
      <c r="H1490" s="53"/>
      <c r="I1490" s="53"/>
      <c r="J1490" s="53"/>
      <c r="K1490" s="53"/>
      <c r="L1490" s="53"/>
      <c r="M1490" s="53"/>
      <c r="N1490" s="53"/>
      <c r="O1490" s="53"/>
      <c r="P1490" s="53"/>
      <c r="Q1490" s="53"/>
      <c r="R1490" s="53"/>
      <c r="S1490" s="53"/>
      <c r="T1490" s="53"/>
      <c r="U1490" s="53"/>
      <c r="V1490" s="53"/>
      <c r="W1490" s="53"/>
      <c r="X1490" s="53"/>
      <c r="Y1490" s="53"/>
      <c r="Z1490" s="53"/>
      <c r="AA1490" s="53"/>
      <c r="AB1490" s="53"/>
      <c r="AC1490" s="53"/>
      <c r="AD1490" s="53"/>
      <c r="AE1490" s="53"/>
      <c r="AF1490" s="53"/>
      <c r="AG1490" s="53"/>
      <c r="AH1490" s="53"/>
    </row>
    <row r="1491" spans="1:34" ht="15.75" x14ac:dyDescent="0.25">
      <c r="A1491" s="53"/>
      <c r="B1491" s="53"/>
      <c r="C1491" s="53"/>
      <c r="D1491" s="53"/>
      <c r="E1491" s="53"/>
      <c r="F1491" s="53"/>
      <c r="G1491" s="53"/>
      <c r="H1491" s="53"/>
      <c r="I1491" s="53"/>
      <c r="J1491" s="53"/>
      <c r="K1491" s="53"/>
      <c r="L1491" s="53"/>
      <c r="M1491" s="53"/>
      <c r="N1491" s="53"/>
      <c r="O1491" s="53"/>
      <c r="P1491" s="53"/>
      <c r="Q1491" s="53"/>
      <c r="R1491" s="53"/>
      <c r="S1491" s="53"/>
      <c r="T1491" s="53"/>
      <c r="U1491" s="53"/>
      <c r="V1491" s="53"/>
      <c r="W1491" s="53"/>
      <c r="X1491" s="53"/>
      <c r="Y1491" s="53"/>
      <c r="Z1491" s="53"/>
      <c r="AA1491" s="53"/>
      <c r="AB1491" s="53"/>
      <c r="AC1491" s="53"/>
      <c r="AD1491" s="53"/>
      <c r="AE1491" s="53"/>
      <c r="AF1491" s="53"/>
      <c r="AG1491" s="53"/>
      <c r="AH1491" s="53"/>
    </row>
    <row r="1492" spans="1:34" ht="15.75" x14ac:dyDescent="0.25">
      <c r="A1492" s="53"/>
      <c r="B1492" s="53"/>
      <c r="C1492" s="53"/>
      <c r="D1492" s="53"/>
      <c r="E1492" s="53"/>
      <c r="F1492" s="53"/>
      <c r="G1492" s="53"/>
      <c r="H1492" s="53"/>
      <c r="I1492" s="53"/>
      <c r="J1492" s="53"/>
      <c r="K1492" s="53"/>
      <c r="L1492" s="53"/>
      <c r="M1492" s="53"/>
      <c r="N1492" s="53"/>
      <c r="O1492" s="53"/>
      <c r="P1492" s="53"/>
      <c r="Q1492" s="53"/>
      <c r="R1492" s="53"/>
      <c r="S1492" s="53"/>
      <c r="T1492" s="53"/>
      <c r="U1492" s="53"/>
      <c r="V1492" s="53"/>
      <c r="W1492" s="53"/>
      <c r="X1492" s="53"/>
      <c r="Y1492" s="53"/>
      <c r="Z1492" s="53"/>
      <c r="AA1492" s="53"/>
      <c r="AB1492" s="53"/>
      <c r="AC1492" s="53"/>
      <c r="AD1492" s="53"/>
      <c r="AE1492" s="53"/>
      <c r="AF1492" s="53"/>
      <c r="AG1492" s="53"/>
      <c r="AH1492" s="53"/>
    </row>
    <row r="1493" spans="1:34" ht="15.75" x14ac:dyDescent="0.25">
      <c r="A1493" s="53"/>
      <c r="B1493" s="53"/>
      <c r="C1493" s="53"/>
      <c r="D1493" s="53"/>
      <c r="E1493" s="53"/>
      <c r="F1493" s="53"/>
      <c r="G1493" s="53"/>
      <c r="H1493" s="53"/>
      <c r="I1493" s="53"/>
      <c r="J1493" s="53"/>
      <c r="K1493" s="53"/>
      <c r="L1493" s="53"/>
      <c r="M1493" s="53"/>
      <c r="N1493" s="53"/>
      <c r="O1493" s="53"/>
      <c r="P1493" s="53"/>
      <c r="Q1493" s="53"/>
      <c r="R1493" s="53"/>
      <c r="S1493" s="53"/>
      <c r="T1493" s="53"/>
      <c r="U1493" s="53"/>
      <c r="V1493" s="53"/>
      <c r="W1493" s="53"/>
      <c r="X1493" s="53"/>
      <c r="Y1493" s="53"/>
      <c r="Z1493" s="53"/>
      <c r="AA1493" s="53"/>
      <c r="AB1493" s="53"/>
      <c r="AC1493" s="53"/>
      <c r="AD1493" s="53"/>
      <c r="AE1493" s="53"/>
      <c r="AF1493" s="53"/>
      <c r="AG1493" s="53"/>
      <c r="AH1493" s="53"/>
    </row>
    <row r="1494" spans="1:34" ht="15.75" x14ac:dyDescent="0.25">
      <c r="A1494" s="53"/>
      <c r="B1494" s="53"/>
      <c r="C1494" s="53"/>
      <c r="D1494" s="53"/>
      <c r="E1494" s="53"/>
      <c r="F1494" s="53"/>
      <c r="G1494" s="53"/>
      <c r="H1494" s="53"/>
      <c r="I1494" s="53"/>
      <c r="J1494" s="53"/>
      <c r="K1494" s="53"/>
      <c r="L1494" s="53"/>
      <c r="M1494" s="53"/>
      <c r="N1494" s="53"/>
      <c r="O1494" s="53"/>
      <c r="P1494" s="53"/>
      <c r="Q1494" s="53"/>
      <c r="R1494" s="53"/>
      <c r="S1494" s="53"/>
      <c r="T1494" s="53"/>
      <c r="U1494" s="53"/>
      <c r="V1494" s="53"/>
      <c r="W1494" s="53"/>
      <c r="X1494" s="53"/>
      <c r="Y1494" s="53"/>
      <c r="Z1494" s="53"/>
      <c r="AA1494" s="53"/>
      <c r="AB1494" s="53"/>
      <c r="AC1494" s="53"/>
      <c r="AD1494" s="53"/>
      <c r="AE1494" s="53"/>
      <c r="AF1494" s="53"/>
      <c r="AG1494" s="53"/>
      <c r="AH1494" s="53"/>
    </row>
    <row r="1495" spans="1:34" ht="15.75" x14ac:dyDescent="0.25">
      <c r="A1495" s="53"/>
      <c r="B1495" s="53"/>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row>
    <row r="1496" spans="1:34" ht="15.75" x14ac:dyDescent="0.25">
      <c r="A1496" s="53"/>
      <c r="B1496" s="53"/>
      <c r="C1496" s="53"/>
      <c r="D1496" s="53"/>
      <c r="E1496" s="53"/>
      <c r="F1496" s="53"/>
      <c r="G1496" s="53"/>
      <c r="H1496" s="53"/>
      <c r="I1496" s="53"/>
      <c r="J1496" s="53"/>
      <c r="K1496" s="53"/>
      <c r="L1496" s="53"/>
      <c r="M1496" s="53"/>
      <c r="N1496" s="53"/>
      <c r="O1496" s="53"/>
      <c r="P1496" s="53"/>
      <c r="Q1496" s="53"/>
      <c r="R1496" s="53"/>
      <c r="S1496" s="53"/>
      <c r="T1496" s="53"/>
      <c r="U1496" s="53"/>
      <c r="V1496" s="53"/>
      <c r="W1496" s="53"/>
      <c r="X1496" s="53"/>
      <c r="Y1496" s="53"/>
      <c r="Z1496" s="53"/>
      <c r="AA1496" s="53"/>
      <c r="AB1496" s="53"/>
      <c r="AC1496" s="53"/>
      <c r="AD1496" s="53"/>
      <c r="AE1496" s="53"/>
      <c r="AF1496" s="53"/>
      <c r="AG1496" s="53"/>
      <c r="AH1496" s="53"/>
    </row>
    <row r="1497" spans="1:34" ht="15.75" x14ac:dyDescent="0.25">
      <c r="A1497" s="53"/>
      <c r="B1497" s="53"/>
      <c r="C1497" s="53"/>
      <c r="D1497" s="53"/>
      <c r="E1497" s="53"/>
      <c r="F1497" s="53"/>
      <c r="G1497" s="53"/>
      <c r="H1497" s="53"/>
      <c r="I1497" s="53"/>
      <c r="J1497" s="53"/>
      <c r="K1497" s="53"/>
      <c r="L1497" s="53"/>
      <c r="M1497" s="53"/>
      <c r="N1497" s="53"/>
      <c r="O1497" s="53"/>
      <c r="P1497" s="53"/>
      <c r="Q1497" s="53"/>
      <c r="R1497" s="53"/>
      <c r="S1497" s="53"/>
      <c r="T1497" s="53"/>
      <c r="U1497" s="53"/>
      <c r="V1497" s="53"/>
      <c r="W1497" s="53"/>
      <c r="X1497" s="53"/>
      <c r="Y1497" s="53"/>
      <c r="Z1497" s="53"/>
      <c r="AA1497" s="53"/>
      <c r="AB1497" s="53"/>
      <c r="AC1497" s="53"/>
      <c r="AD1497" s="53"/>
      <c r="AE1497" s="53"/>
      <c r="AF1497" s="53"/>
      <c r="AG1497" s="53"/>
      <c r="AH1497" s="53"/>
    </row>
    <row r="1498" spans="1:34" ht="15.75" x14ac:dyDescent="0.25">
      <c r="A1498" s="53"/>
      <c r="B1498" s="53"/>
      <c r="C1498" s="53"/>
      <c r="D1498" s="53"/>
      <c r="E1498" s="53"/>
      <c r="F1498" s="53"/>
      <c r="G1498" s="53"/>
      <c r="H1498" s="53"/>
      <c r="I1498" s="53"/>
      <c r="J1498" s="53"/>
      <c r="K1498" s="53"/>
      <c r="L1498" s="53"/>
      <c r="M1498" s="53"/>
      <c r="N1498" s="53"/>
      <c r="O1498" s="53"/>
      <c r="P1498" s="53"/>
      <c r="Q1498" s="53"/>
      <c r="R1498" s="53"/>
      <c r="S1498" s="53"/>
      <c r="T1498" s="53"/>
      <c r="U1498" s="53"/>
      <c r="V1498" s="53"/>
      <c r="W1498" s="53"/>
      <c r="X1498" s="53"/>
      <c r="Y1498" s="53"/>
      <c r="Z1498" s="53"/>
      <c r="AA1498" s="53"/>
      <c r="AB1498" s="53"/>
      <c r="AC1498" s="53"/>
      <c r="AD1498" s="53"/>
      <c r="AE1498" s="53"/>
      <c r="AF1498" s="53"/>
      <c r="AG1498" s="53"/>
      <c r="AH1498" s="53"/>
    </row>
    <row r="1499" spans="1:34" ht="15.75" x14ac:dyDescent="0.25">
      <c r="A1499" s="53"/>
      <c r="B1499" s="53"/>
      <c r="C1499" s="53"/>
      <c r="D1499" s="53"/>
      <c r="E1499" s="53"/>
      <c r="F1499" s="53"/>
      <c r="G1499" s="53"/>
      <c r="H1499" s="53"/>
      <c r="I1499" s="53"/>
      <c r="J1499" s="53"/>
      <c r="K1499" s="53"/>
      <c r="L1499" s="53"/>
      <c r="M1499" s="53"/>
      <c r="N1499" s="53"/>
      <c r="O1499" s="53"/>
      <c r="P1499" s="53"/>
      <c r="Q1499" s="53"/>
      <c r="R1499" s="53"/>
      <c r="S1499" s="53"/>
      <c r="T1499" s="53"/>
      <c r="U1499" s="53"/>
      <c r="V1499" s="53"/>
      <c r="W1499" s="53"/>
      <c r="X1499" s="53"/>
      <c r="Y1499" s="53"/>
      <c r="Z1499" s="53"/>
      <c r="AA1499" s="53"/>
      <c r="AB1499" s="53"/>
      <c r="AC1499" s="53"/>
      <c r="AD1499" s="53"/>
      <c r="AE1499" s="53"/>
      <c r="AF1499" s="53"/>
      <c r="AG1499" s="53"/>
      <c r="AH1499" s="53"/>
    </row>
    <row r="1500" spans="1:34" ht="15.75" x14ac:dyDescent="0.25">
      <c r="A1500" s="53"/>
      <c r="B1500" s="53"/>
      <c r="C1500" s="53"/>
      <c r="D1500" s="53"/>
      <c r="E1500" s="53"/>
      <c r="F1500" s="53"/>
      <c r="G1500" s="53"/>
      <c r="H1500" s="53"/>
      <c r="I1500" s="53"/>
      <c r="J1500" s="53"/>
      <c r="K1500" s="53"/>
      <c r="L1500" s="53"/>
      <c r="M1500" s="53"/>
      <c r="N1500" s="53"/>
      <c r="O1500" s="53"/>
      <c r="P1500" s="53"/>
      <c r="Q1500" s="53"/>
      <c r="R1500" s="53"/>
      <c r="S1500" s="53"/>
      <c r="T1500" s="53"/>
      <c r="U1500" s="53"/>
      <c r="V1500" s="53"/>
      <c r="W1500" s="53"/>
      <c r="X1500" s="53"/>
      <c r="Y1500" s="53"/>
      <c r="Z1500" s="53"/>
      <c r="AA1500" s="53"/>
      <c r="AB1500" s="53"/>
      <c r="AC1500" s="53"/>
      <c r="AD1500" s="53"/>
      <c r="AE1500" s="53"/>
      <c r="AF1500" s="53"/>
      <c r="AG1500" s="53"/>
      <c r="AH1500" s="53"/>
    </row>
    <row r="1501" spans="1:34" ht="15.75" x14ac:dyDescent="0.25">
      <c r="A1501" s="53"/>
      <c r="B1501" s="53"/>
      <c r="C1501" s="53"/>
      <c r="D1501" s="53"/>
      <c r="E1501" s="53"/>
      <c r="F1501" s="53"/>
      <c r="G1501" s="53"/>
      <c r="H1501" s="53"/>
      <c r="I1501" s="53"/>
      <c r="J1501" s="53"/>
      <c r="K1501" s="53"/>
      <c r="L1501" s="53"/>
      <c r="M1501" s="53"/>
      <c r="N1501" s="53"/>
      <c r="O1501" s="53"/>
      <c r="P1501" s="53"/>
      <c r="Q1501" s="53"/>
      <c r="R1501" s="53"/>
      <c r="S1501" s="53"/>
      <c r="T1501" s="53"/>
      <c r="U1501" s="53"/>
      <c r="V1501" s="53"/>
      <c r="W1501" s="53"/>
      <c r="X1501" s="53"/>
      <c r="Y1501" s="53"/>
      <c r="Z1501" s="53"/>
      <c r="AA1501" s="53"/>
      <c r="AB1501" s="53"/>
      <c r="AC1501" s="53"/>
      <c r="AD1501" s="53"/>
      <c r="AE1501" s="53"/>
      <c r="AF1501" s="53"/>
      <c r="AG1501" s="53"/>
      <c r="AH1501" s="53"/>
    </row>
    <row r="1502" spans="1:34" ht="15.75" x14ac:dyDescent="0.25">
      <c r="A1502" s="53"/>
      <c r="B1502" s="53"/>
      <c r="C1502" s="53"/>
      <c r="D1502" s="53"/>
      <c r="E1502" s="53"/>
      <c r="F1502" s="53"/>
      <c r="G1502" s="53"/>
      <c r="H1502" s="53"/>
      <c r="I1502" s="53"/>
      <c r="J1502" s="53"/>
      <c r="K1502" s="53"/>
      <c r="L1502" s="53"/>
      <c r="M1502" s="53"/>
      <c r="N1502" s="53"/>
      <c r="O1502" s="53"/>
      <c r="P1502" s="53"/>
      <c r="Q1502" s="53"/>
      <c r="R1502" s="53"/>
      <c r="S1502" s="53"/>
      <c r="T1502" s="53"/>
      <c r="U1502" s="53"/>
      <c r="V1502" s="53"/>
      <c r="W1502" s="53"/>
      <c r="X1502" s="53"/>
      <c r="Y1502" s="53"/>
      <c r="Z1502" s="53"/>
      <c r="AA1502" s="53"/>
      <c r="AB1502" s="53"/>
      <c r="AC1502" s="53"/>
      <c r="AD1502" s="53"/>
      <c r="AE1502" s="53"/>
      <c r="AF1502" s="53"/>
      <c r="AG1502" s="53"/>
      <c r="AH1502" s="53"/>
    </row>
    <row r="1503" spans="1:34" ht="15.75" x14ac:dyDescent="0.25">
      <c r="A1503" s="53"/>
      <c r="B1503" s="53"/>
      <c r="C1503" s="53"/>
      <c r="D1503" s="53"/>
      <c r="E1503" s="53"/>
      <c r="F1503" s="53"/>
      <c r="G1503" s="53"/>
      <c r="H1503" s="53"/>
      <c r="I1503" s="53"/>
      <c r="J1503" s="53"/>
      <c r="K1503" s="53"/>
      <c r="L1503" s="53"/>
      <c r="M1503" s="53"/>
      <c r="N1503" s="53"/>
      <c r="O1503" s="53"/>
      <c r="P1503" s="53"/>
      <c r="Q1503" s="53"/>
      <c r="R1503" s="53"/>
      <c r="S1503" s="53"/>
      <c r="T1503" s="53"/>
      <c r="U1503" s="53"/>
      <c r="V1503" s="53"/>
      <c r="W1503" s="53"/>
      <c r="X1503" s="53"/>
      <c r="Y1503" s="53"/>
      <c r="Z1503" s="53"/>
      <c r="AA1503" s="53"/>
      <c r="AB1503" s="53"/>
      <c r="AC1503" s="53"/>
      <c r="AD1503" s="53"/>
      <c r="AE1503" s="53"/>
      <c r="AF1503" s="53"/>
      <c r="AG1503" s="53"/>
      <c r="AH1503" s="53"/>
    </row>
    <row r="1504" spans="1:34" ht="15.75" x14ac:dyDescent="0.25">
      <c r="A1504" s="53"/>
      <c r="B1504" s="53"/>
      <c r="C1504" s="53"/>
      <c r="D1504" s="53"/>
      <c r="E1504" s="53"/>
      <c r="F1504" s="53"/>
      <c r="G1504" s="53"/>
      <c r="H1504" s="53"/>
      <c r="I1504" s="53"/>
      <c r="J1504" s="53"/>
      <c r="K1504" s="53"/>
      <c r="L1504" s="53"/>
      <c r="M1504" s="53"/>
      <c r="N1504" s="53"/>
      <c r="O1504" s="53"/>
      <c r="P1504" s="53"/>
      <c r="Q1504" s="53"/>
      <c r="R1504" s="53"/>
      <c r="S1504" s="53"/>
      <c r="T1504" s="53"/>
      <c r="U1504" s="53"/>
      <c r="V1504" s="53"/>
      <c r="W1504" s="53"/>
      <c r="X1504" s="53"/>
      <c r="Y1504" s="53"/>
      <c r="Z1504" s="53"/>
      <c r="AA1504" s="53"/>
      <c r="AB1504" s="53"/>
      <c r="AC1504" s="53"/>
      <c r="AD1504" s="53"/>
      <c r="AE1504" s="53"/>
      <c r="AF1504" s="53"/>
      <c r="AG1504" s="53"/>
      <c r="AH1504" s="53"/>
    </row>
    <row r="1505" spans="1:34" ht="15.75" x14ac:dyDescent="0.25">
      <c r="A1505" s="53"/>
      <c r="B1505" s="53"/>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row>
    <row r="1506" spans="1:34" ht="15.75" x14ac:dyDescent="0.25">
      <c r="A1506" s="53"/>
      <c r="B1506" s="53"/>
      <c r="C1506" s="53"/>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3"/>
      <c r="AD1506" s="53"/>
      <c r="AE1506" s="53"/>
      <c r="AF1506" s="53"/>
      <c r="AG1506" s="53"/>
      <c r="AH1506" s="53"/>
    </row>
    <row r="1507" spans="1:34" ht="15.75" x14ac:dyDescent="0.25">
      <c r="A1507" s="53"/>
      <c r="B1507" s="53"/>
      <c r="C1507" s="53"/>
      <c r="D1507" s="53"/>
      <c r="E1507" s="53"/>
      <c r="F1507" s="53"/>
      <c r="G1507" s="53"/>
      <c r="H1507" s="53"/>
      <c r="I1507" s="53"/>
      <c r="J1507" s="53"/>
      <c r="K1507" s="53"/>
      <c r="L1507" s="53"/>
      <c r="M1507" s="53"/>
      <c r="N1507" s="53"/>
      <c r="O1507" s="53"/>
      <c r="P1507" s="53"/>
      <c r="Q1507" s="53"/>
      <c r="R1507" s="53"/>
      <c r="S1507" s="53"/>
      <c r="T1507" s="53"/>
      <c r="U1507" s="53"/>
      <c r="V1507" s="53"/>
      <c r="W1507" s="53"/>
      <c r="X1507" s="53"/>
      <c r="Y1507" s="53"/>
      <c r="Z1507" s="53"/>
      <c r="AA1507" s="53"/>
      <c r="AB1507" s="53"/>
      <c r="AC1507" s="53"/>
      <c r="AD1507" s="53"/>
      <c r="AE1507" s="53"/>
      <c r="AF1507" s="53"/>
      <c r="AG1507" s="53"/>
      <c r="AH1507" s="53"/>
    </row>
    <row r="1508" spans="1:34" ht="15.75" x14ac:dyDescent="0.25">
      <c r="A1508" s="53"/>
      <c r="B1508" s="53"/>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row>
    <row r="1509" spans="1:34" ht="15.75" x14ac:dyDescent="0.25">
      <c r="A1509" s="53"/>
      <c r="B1509" s="53"/>
      <c r="C1509" s="53"/>
      <c r="D1509" s="53"/>
      <c r="E1509" s="53"/>
      <c r="F1509" s="53"/>
      <c r="G1509" s="53"/>
      <c r="H1509" s="53"/>
      <c r="I1509" s="53"/>
      <c r="J1509" s="53"/>
      <c r="K1509" s="53"/>
      <c r="L1509" s="53"/>
      <c r="M1509" s="53"/>
      <c r="N1509" s="53"/>
      <c r="O1509" s="53"/>
      <c r="P1509" s="53"/>
      <c r="Q1509" s="53"/>
      <c r="R1509" s="53"/>
      <c r="S1509" s="53"/>
      <c r="T1509" s="53"/>
      <c r="U1509" s="53"/>
      <c r="V1509" s="53"/>
      <c r="W1509" s="53"/>
      <c r="X1509" s="53"/>
      <c r="Y1509" s="53"/>
      <c r="Z1509" s="53"/>
      <c r="AA1509" s="53"/>
      <c r="AB1509" s="53"/>
      <c r="AC1509" s="53"/>
      <c r="AD1509" s="53"/>
      <c r="AE1509" s="53"/>
      <c r="AF1509" s="53"/>
      <c r="AG1509" s="53"/>
      <c r="AH1509" s="53"/>
    </row>
    <row r="1510" spans="1:34" ht="15.75" x14ac:dyDescent="0.25">
      <c r="A1510" s="53"/>
      <c r="B1510" s="53"/>
      <c r="C1510" s="53"/>
      <c r="D1510" s="53"/>
      <c r="E1510" s="53"/>
      <c r="F1510" s="53"/>
      <c r="G1510" s="53"/>
      <c r="H1510" s="53"/>
      <c r="I1510" s="53"/>
      <c r="J1510" s="53"/>
      <c r="K1510" s="53"/>
      <c r="L1510" s="53"/>
      <c r="M1510" s="53"/>
      <c r="N1510" s="53"/>
      <c r="O1510" s="53"/>
      <c r="P1510" s="53"/>
      <c r="Q1510" s="53"/>
      <c r="R1510" s="53"/>
      <c r="S1510" s="53"/>
      <c r="T1510" s="53"/>
      <c r="U1510" s="53"/>
      <c r="V1510" s="53"/>
      <c r="W1510" s="53"/>
      <c r="X1510" s="53"/>
      <c r="Y1510" s="53"/>
      <c r="Z1510" s="53"/>
      <c r="AA1510" s="53"/>
      <c r="AB1510" s="53"/>
      <c r="AC1510" s="53"/>
      <c r="AD1510" s="53"/>
      <c r="AE1510" s="53"/>
      <c r="AF1510" s="53"/>
      <c r="AG1510" s="53"/>
      <c r="AH1510" s="53"/>
    </row>
    <row r="1511" spans="1:34" ht="15.75" x14ac:dyDescent="0.25">
      <c r="A1511" s="53"/>
      <c r="B1511" s="53"/>
      <c r="C1511" s="53"/>
      <c r="D1511" s="53"/>
      <c r="E1511" s="53"/>
      <c r="F1511" s="53"/>
      <c r="G1511" s="53"/>
      <c r="H1511" s="53"/>
      <c r="I1511" s="53"/>
      <c r="J1511" s="53"/>
      <c r="K1511" s="53"/>
      <c r="L1511" s="53"/>
      <c r="M1511" s="53"/>
      <c r="N1511" s="53"/>
      <c r="O1511" s="53"/>
      <c r="P1511" s="53"/>
      <c r="Q1511" s="53"/>
      <c r="R1511" s="53"/>
      <c r="S1511" s="53"/>
      <c r="T1511" s="53"/>
      <c r="U1511" s="53"/>
      <c r="V1511" s="53"/>
      <c r="W1511" s="53"/>
      <c r="X1511" s="53"/>
      <c r="Y1511" s="53"/>
      <c r="Z1511" s="53"/>
      <c r="AA1511" s="53"/>
      <c r="AB1511" s="53"/>
      <c r="AC1511" s="53"/>
      <c r="AD1511" s="53"/>
      <c r="AE1511" s="53"/>
      <c r="AF1511" s="53"/>
      <c r="AG1511" s="53"/>
      <c r="AH1511" s="53"/>
    </row>
    <row r="1512" spans="1:34" ht="15.75" x14ac:dyDescent="0.25">
      <c r="A1512" s="53"/>
      <c r="B1512" s="53"/>
      <c r="C1512" s="53"/>
      <c r="D1512" s="53"/>
      <c r="E1512" s="53"/>
      <c r="F1512" s="53"/>
      <c r="G1512" s="53"/>
      <c r="H1512" s="53"/>
      <c r="I1512" s="53"/>
      <c r="J1512" s="53"/>
      <c r="K1512" s="53"/>
      <c r="L1512" s="53"/>
      <c r="M1512" s="53"/>
      <c r="N1512" s="53"/>
      <c r="O1512" s="53"/>
      <c r="P1512" s="53"/>
      <c r="Q1512" s="53"/>
      <c r="R1512" s="53"/>
      <c r="S1512" s="53"/>
      <c r="T1512" s="53"/>
      <c r="U1512" s="53"/>
      <c r="V1512" s="53"/>
      <c r="W1512" s="53"/>
      <c r="X1512" s="53"/>
      <c r="Y1512" s="53"/>
      <c r="Z1512" s="53"/>
      <c r="AA1512" s="53"/>
      <c r="AB1512" s="53"/>
      <c r="AC1512" s="53"/>
      <c r="AD1512" s="53"/>
      <c r="AE1512" s="53"/>
      <c r="AF1512" s="53"/>
      <c r="AG1512" s="53"/>
      <c r="AH1512" s="53"/>
    </row>
    <row r="1513" spans="1:34" ht="15.75" x14ac:dyDescent="0.25">
      <c r="A1513" s="53"/>
      <c r="B1513" s="53"/>
      <c r="C1513" s="53"/>
      <c r="D1513" s="53"/>
      <c r="E1513" s="53"/>
      <c r="F1513" s="53"/>
      <c r="G1513" s="53"/>
      <c r="H1513" s="53"/>
      <c r="I1513" s="53"/>
      <c r="J1513" s="53"/>
      <c r="K1513" s="53"/>
      <c r="L1513" s="53"/>
      <c r="M1513" s="53"/>
      <c r="N1513" s="53"/>
      <c r="O1513" s="53"/>
      <c r="P1513" s="53"/>
      <c r="Q1513" s="53"/>
      <c r="R1513" s="53"/>
      <c r="S1513" s="53"/>
      <c r="T1513" s="53"/>
      <c r="U1513" s="53"/>
      <c r="V1513" s="53"/>
      <c r="W1513" s="53"/>
      <c r="X1513" s="53"/>
      <c r="Y1513" s="53"/>
      <c r="Z1513" s="53"/>
      <c r="AA1513" s="53"/>
      <c r="AB1513" s="53"/>
      <c r="AC1513" s="53"/>
      <c r="AD1513" s="53"/>
      <c r="AE1513" s="53"/>
      <c r="AF1513" s="53"/>
      <c r="AG1513" s="53"/>
      <c r="AH1513" s="53"/>
    </row>
    <row r="1514" spans="1:34" ht="15.75" x14ac:dyDescent="0.25">
      <c r="A1514" s="53"/>
      <c r="B1514" s="53"/>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row>
    <row r="1515" spans="1:34" ht="15.75" x14ac:dyDescent="0.25">
      <c r="A1515" s="53"/>
      <c r="B1515" s="53"/>
      <c r="C1515" s="53"/>
      <c r="D1515" s="53"/>
      <c r="E1515" s="53"/>
      <c r="F1515" s="53"/>
      <c r="G1515" s="53"/>
      <c r="H1515" s="53"/>
      <c r="I1515" s="53"/>
      <c r="J1515" s="53"/>
      <c r="K1515" s="53"/>
      <c r="L1515" s="53"/>
      <c r="M1515" s="53"/>
      <c r="N1515" s="53"/>
      <c r="O1515" s="53"/>
      <c r="P1515" s="53"/>
      <c r="Q1515" s="53"/>
      <c r="R1515" s="53"/>
      <c r="S1515" s="53"/>
      <c r="T1515" s="53"/>
      <c r="U1515" s="53"/>
      <c r="V1515" s="53"/>
      <c r="W1515" s="53"/>
      <c r="X1515" s="53"/>
      <c r="Y1515" s="53"/>
      <c r="Z1515" s="53"/>
      <c r="AA1515" s="53"/>
      <c r="AB1515" s="53"/>
      <c r="AC1515" s="53"/>
      <c r="AD1515" s="53"/>
      <c r="AE1515" s="53"/>
      <c r="AF1515" s="53"/>
      <c r="AG1515" s="53"/>
      <c r="AH1515" s="53"/>
    </row>
    <row r="1516" spans="1:34" ht="15.75" x14ac:dyDescent="0.25">
      <c r="A1516" s="53"/>
      <c r="B1516" s="53"/>
      <c r="C1516" s="53"/>
      <c r="D1516" s="53"/>
      <c r="E1516" s="53"/>
      <c r="F1516" s="53"/>
      <c r="G1516" s="53"/>
      <c r="H1516" s="53"/>
      <c r="I1516" s="53"/>
      <c r="J1516" s="53"/>
      <c r="K1516" s="53"/>
      <c r="L1516" s="53"/>
      <c r="M1516" s="53"/>
      <c r="N1516" s="53"/>
      <c r="O1516" s="53"/>
      <c r="P1516" s="53"/>
      <c r="Q1516" s="53"/>
      <c r="R1516" s="53"/>
      <c r="S1516" s="53"/>
      <c r="T1516" s="53"/>
      <c r="U1516" s="53"/>
      <c r="V1516" s="53"/>
      <c r="W1516" s="53"/>
      <c r="X1516" s="53"/>
      <c r="Y1516" s="53"/>
      <c r="Z1516" s="53"/>
      <c r="AA1516" s="53"/>
      <c r="AB1516" s="53"/>
      <c r="AC1516" s="53"/>
      <c r="AD1516" s="53"/>
      <c r="AE1516" s="53"/>
      <c r="AF1516" s="53"/>
      <c r="AG1516" s="53"/>
      <c r="AH1516" s="53"/>
    </row>
    <row r="1517" spans="1:34" ht="15.75" x14ac:dyDescent="0.25">
      <c r="A1517" s="53"/>
      <c r="B1517" s="53"/>
      <c r="C1517" s="53"/>
      <c r="D1517" s="53"/>
      <c r="E1517" s="53"/>
      <c r="F1517" s="53"/>
      <c r="G1517" s="53"/>
      <c r="H1517" s="53"/>
      <c r="I1517" s="53"/>
      <c r="J1517" s="53"/>
      <c r="K1517" s="53"/>
      <c r="L1517" s="53"/>
      <c r="M1517" s="53"/>
      <c r="N1517" s="53"/>
      <c r="O1517" s="53"/>
      <c r="P1517" s="53"/>
      <c r="Q1517" s="53"/>
      <c r="R1517" s="53"/>
      <c r="S1517" s="53"/>
      <c r="T1517" s="53"/>
      <c r="U1517" s="53"/>
      <c r="V1517" s="53"/>
      <c r="W1517" s="53"/>
      <c r="X1517" s="53"/>
      <c r="Y1517" s="53"/>
      <c r="Z1517" s="53"/>
      <c r="AA1517" s="53"/>
      <c r="AB1517" s="53"/>
      <c r="AC1517" s="53"/>
      <c r="AD1517" s="53"/>
      <c r="AE1517" s="53"/>
      <c r="AF1517" s="53"/>
      <c r="AG1517" s="53"/>
      <c r="AH1517" s="53"/>
    </row>
    <row r="1518" spans="1:34" ht="15.75" x14ac:dyDescent="0.25">
      <c r="A1518" s="53"/>
      <c r="B1518" s="53"/>
      <c r="C1518" s="53"/>
      <c r="D1518" s="53"/>
      <c r="E1518" s="53"/>
      <c r="F1518" s="53"/>
      <c r="G1518" s="53"/>
      <c r="H1518" s="53"/>
      <c r="I1518" s="53"/>
      <c r="J1518" s="53"/>
      <c r="K1518" s="53"/>
      <c r="L1518" s="53"/>
      <c r="M1518" s="53"/>
      <c r="N1518" s="53"/>
      <c r="O1518" s="53"/>
      <c r="P1518" s="53"/>
      <c r="Q1518" s="53"/>
      <c r="R1518" s="53"/>
      <c r="S1518" s="53"/>
      <c r="T1518" s="53"/>
      <c r="U1518" s="53"/>
      <c r="V1518" s="53"/>
      <c r="W1518" s="53"/>
      <c r="X1518" s="53"/>
      <c r="Y1518" s="53"/>
      <c r="Z1518" s="53"/>
      <c r="AA1518" s="53"/>
      <c r="AB1518" s="53"/>
      <c r="AC1518" s="53"/>
      <c r="AD1518" s="53"/>
      <c r="AE1518" s="53"/>
      <c r="AF1518" s="53"/>
      <c r="AG1518" s="53"/>
      <c r="AH1518" s="53"/>
    </row>
    <row r="1519" spans="1:34" ht="15.75" x14ac:dyDescent="0.25">
      <c r="A1519" s="53"/>
      <c r="B1519" s="53"/>
      <c r="C1519" s="53"/>
      <c r="D1519" s="53"/>
      <c r="E1519" s="53"/>
      <c r="F1519" s="53"/>
      <c r="G1519" s="53"/>
      <c r="H1519" s="53"/>
      <c r="I1519" s="53"/>
      <c r="J1519" s="53"/>
      <c r="K1519" s="53"/>
      <c r="L1519" s="53"/>
      <c r="M1519" s="53"/>
      <c r="N1519" s="53"/>
      <c r="O1519" s="53"/>
      <c r="P1519" s="53"/>
      <c r="Q1519" s="53"/>
      <c r="R1519" s="53"/>
      <c r="S1519" s="53"/>
      <c r="T1519" s="53"/>
      <c r="U1519" s="53"/>
      <c r="V1519" s="53"/>
      <c r="W1519" s="53"/>
      <c r="X1519" s="53"/>
      <c r="Y1519" s="53"/>
      <c r="Z1519" s="53"/>
      <c r="AA1519" s="53"/>
      <c r="AB1519" s="53"/>
      <c r="AC1519" s="53"/>
      <c r="AD1519" s="53"/>
      <c r="AE1519" s="53"/>
      <c r="AF1519" s="53"/>
      <c r="AG1519" s="53"/>
      <c r="AH1519" s="53"/>
    </row>
    <row r="1520" spans="1:34" ht="15.75" x14ac:dyDescent="0.25">
      <c r="A1520" s="53"/>
      <c r="B1520" s="53"/>
      <c r="C1520" s="53"/>
      <c r="D1520" s="53"/>
      <c r="E1520" s="53"/>
      <c r="F1520" s="53"/>
      <c r="G1520" s="53"/>
      <c r="H1520" s="53"/>
      <c r="I1520" s="53"/>
      <c r="J1520" s="53"/>
      <c r="K1520" s="53"/>
      <c r="L1520" s="53"/>
      <c r="M1520" s="53"/>
      <c r="N1520" s="53"/>
      <c r="O1520" s="53"/>
      <c r="P1520" s="53"/>
      <c r="Q1520" s="53"/>
      <c r="R1520" s="53"/>
      <c r="S1520" s="53"/>
      <c r="T1520" s="53"/>
      <c r="U1520" s="53"/>
      <c r="V1520" s="53"/>
      <c r="W1520" s="53"/>
      <c r="X1520" s="53"/>
      <c r="Y1520" s="53"/>
      <c r="Z1520" s="53"/>
      <c r="AA1520" s="53"/>
      <c r="AB1520" s="53"/>
      <c r="AC1520" s="53"/>
      <c r="AD1520" s="53"/>
      <c r="AE1520" s="53"/>
      <c r="AF1520" s="53"/>
      <c r="AG1520" s="53"/>
      <c r="AH1520" s="53"/>
    </row>
    <row r="1521" spans="1:34" ht="15.75" x14ac:dyDescent="0.25">
      <c r="A1521" s="53"/>
      <c r="B1521" s="53"/>
      <c r="C1521" s="53"/>
      <c r="D1521" s="53"/>
      <c r="E1521" s="53"/>
      <c r="F1521" s="53"/>
      <c r="G1521" s="53"/>
      <c r="H1521" s="53"/>
      <c r="I1521" s="53"/>
      <c r="J1521" s="53"/>
      <c r="K1521" s="53"/>
      <c r="L1521" s="53"/>
      <c r="M1521" s="53"/>
      <c r="N1521" s="53"/>
      <c r="O1521" s="53"/>
      <c r="P1521" s="53"/>
      <c r="Q1521" s="53"/>
      <c r="R1521" s="53"/>
      <c r="S1521" s="53"/>
      <c r="T1521" s="53"/>
      <c r="U1521" s="53"/>
      <c r="V1521" s="53"/>
      <c r="W1521" s="53"/>
      <c r="X1521" s="53"/>
      <c r="Y1521" s="53"/>
      <c r="Z1521" s="53"/>
      <c r="AA1521" s="53"/>
      <c r="AB1521" s="53"/>
      <c r="AC1521" s="53"/>
      <c r="AD1521" s="53"/>
      <c r="AE1521" s="53"/>
      <c r="AF1521" s="53"/>
      <c r="AG1521" s="53"/>
      <c r="AH1521" s="53"/>
    </row>
    <row r="1522" spans="1:34" ht="15.75" x14ac:dyDescent="0.25">
      <c r="A1522" s="53"/>
      <c r="B1522" s="53"/>
      <c r="C1522" s="53"/>
      <c r="D1522" s="53"/>
      <c r="E1522" s="53"/>
      <c r="F1522" s="53"/>
      <c r="G1522" s="53"/>
      <c r="H1522" s="53"/>
      <c r="I1522" s="53"/>
      <c r="J1522" s="53"/>
      <c r="K1522" s="53"/>
      <c r="L1522" s="53"/>
      <c r="M1522" s="53"/>
      <c r="N1522" s="53"/>
      <c r="O1522" s="53"/>
      <c r="P1522" s="53"/>
      <c r="Q1522" s="53"/>
      <c r="R1522" s="53"/>
      <c r="S1522" s="53"/>
      <c r="T1522" s="53"/>
      <c r="U1522" s="53"/>
      <c r="V1522" s="53"/>
      <c r="W1522" s="53"/>
      <c r="X1522" s="53"/>
      <c r="Y1522" s="53"/>
      <c r="Z1522" s="53"/>
      <c r="AA1522" s="53"/>
      <c r="AB1522" s="53"/>
      <c r="AC1522" s="53"/>
      <c r="AD1522" s="53"/>
      <c r="AE1522" s="53"/>
      <c r="AF1522" s="53"/>
      <c r="AG1522" s="53"/>
      <c r="AH1522" s="53"/>
    </row>
    <row r="1523" spans="1:34" ht="15.75" x14ac:dyDescent="0.25">
      <c r="A1523" s="53"/>
      <c r="B1523" s="53"/>
      <c r="C1523" s="53"/>
      <c r="D1523" s="53"/>
      <c r="E1523" s="53"/>
      <c r="F1523" s="53"/>
      <c r="G1523" s="53"/>
      <c r="H1523" s="53"/>
      <c r="I1523" s="53"/>
      <c r="J1523" s="53"/>
      <c r="K1523" s="53"/>
      <c r="L1523" s="53"/>
      <c r="M1523" s="53"/>
      <c r="N1523" s="53"/>
      <c r="O1523" s="53"/>
      <c r="P1523" s="53"/>
      <c r="Q1523" s="53"/>
      <c r="R1523" s="53"/>
      <c r="S1523" s="53"/>
      <c r="T1523" s="53"/>
      <c r="U1523" s="53"/>
      <c r="V1523" s="53"/>
      <c r="W1523" s="53"/>
      <c r="X1523" s="53"/>
      <c r="Y1523" s="53"/>
      <c r="Z1523" s="53"/>
      <c r="AA1523" s="53"/>
      <c r="AB1523" s="53"/>
      <c r="AC1523" s="53"/>
      <c r="AD1523" s="53"/>
      <c r="AE1523" s="53"/>
      <c r="AF1523" s="53"/>
      <c r="AG1523" s="53"/>
      <c r="AH1523" s="53"/>
    </row>
    <row r="1524" spans="1:34" ht="15.75" x14ac:dyDescent="0.25">
      <c r="A1524" s="53"/>
      <c r="B1524" s="53"/>
      <c r="C1524" s="53"/>
      <c r="D1524" s="53"/>
      <c r="E1524" s="53"/>
      <c r="F1524" s="53"/>
      <c r="G1524" s="53"/>
      <c r="H1524" s="53"/>
      <c r="I1524" s="53"/>
      <c r="J1524" s="53"/>
      <c r="K1524" s="53"/>
      <c r="L1524" s="53"/>
      <c r="M1524" s="53"/>
      <c r="N1524" s="53"/>
      <c r="O1524" s="53"/>
      <c r="P1524" s="53"/>
      <c r="Q1524" s="53"/>
      <c r="R1524" s="53"/>
      <c r="S1524" s="53"/>
      <c r="T1524" s="53"/>
      <c r="U1524" s="53"/>
      <c r="V1524" s="53"/>
      <c r="W1524" s="53"/>
      <c r="X1524" s="53"/>
      <c r="Y1524" s="53"/>
      <c r="Z1524" s="53"/>
      <c r="AA1524" s="53"/>
      <c r="AB1524" s="53"/>
      <c r="AC1524" s="53"/>
      <c r="AD1524" s="53"/>
      <c r="AE1524" s="53"/>
      <c r="AF1524" s="53"/>
      <c r="AG1524" s="53"/>
      <c r="AH1524" s="53"/>
    </row>
    <row r="1525" spans="1:34" ht="15.75" x14ac:dyDescent="0.25">
      <c r="A1525" s="53"/>
      <c r="B1525" s="53"/>
      <c r="C1525" s="53"/>
      <c r="D1525" s="53"/>
      <c r="E1525" s="53"/>
      <c r="F1525" s="53"/>
      <c r="G1525" s="53"/>
      <c r="H1525" s="53"/>
      <c r="I1525" s="53"/>
      <c r="J1525" s="53"/>
      <c r="K1525" s="53"/>
      <c r="L1525" s="53"/>
      <c r="M1525" s="53"/>
      <c r="N1525" s="53"/>
      <c r="O1525" s="53"/>
      <c r="P1525" s="53"/>
      <c r="Q1525" s="53"/>
      <c r="R1525" s="53"/>
      <c r="S1525" s="53"/>
      <c r="T1525" s="53"/>
      <c r="U1525" s="53"/>
      <c r="V1525" s="53"/>
      <c r="W1525" s="53"/>
      <c r="X1525" s="53"/>
      <c r="Y1525" s="53"/>
      <c r="Z1525" s="53"/>
      <c r="AA1525" s="53"/>
      <c r="AB1525" s="53"/>
      <c r="AC1525" s="53"/>
      <c r="AD1525" s="53"/>
      <c r="AE1525" s="53"/>
      <c r="AF1525" s="53"/>
      <c r="AG1525" s="53"/>
      <c r="AH1525" s="53"/>
    </row>
    <row r="1526" spans="1:34" ht="15.75" x14ac:dyDescent="0.25">
      <c r="A1526" s="53"/>
      <c r="B1526" s="53"/>
      <c r="C1526" s="53"/>
      <c r="D1526" s="53"/>
      <c r="E1526" s="53"/>
      <c r="F1526" s="53"/>
      <c r="G1526" s="53"/>
      <c r="H1526" s="53"/>
      <c r="I1526" s="53"/>
      <c r="J1526" s="53"/>
      <c r="K1526" s="53"/>
      <c r="L1526" s="53"/>
      <c r="M1526" s="53"/>
      <c r="N1526" s="53"/>
      <c r="O1526" s="53"/>
      <c r="P1526" s="53"/>
      <c r="Q1526" s="53"/>
      <c r="R1526" s="53"/>
      <c r="S1526" s="53"/>
      <c r="T1526" s="53"/>
      <c r="U1526" s="53"/>
      <c r="V1526" s="53"/>
      <c r="W1526" s="53"/>
      <c r="X1526" s="53"/>
      <c r="Y1526" s="53"/>
      <c r="Z1526" s="53"/>
      <c r="AA1526" s="53"/>
      <c r="AB1526" s="53"/>
      <c r="AC1526" s="53"/>
      <c r="AD1526" s="53"/>
      <c r="AE1526" s="53"/>
      <c r="AF1526" s="53"/>
      <c r="AG1526" s="53"/>
      <c r="AH1526" s="53"/>
    </row>
    <row r="1527" spans="1:34" ht="15.75" x14ac:dyDescent="0.25">
      <c r="A1527" s="53"/>
      <c r="B1527" s="53"/>
      <c r="C1527" s="53"/>
      <c r="D1527" s="53"/>
      <c r="E1527" s="53"/>
      <c r="F1527" s="53"/>
      <c r="G1527" s="53"/>
      <c r="H1527" s="53"/>
      <c r="I1527" s="53"/>
      <c r="J1527" s="53"/>
      <c r="K1527" s="53"/>
      <c r="L1527" s="53"/>
      <c r="M1527" s="53"/>
      <c r="N1527" s="53"/>
      <c r="O1527" s="53"/>
      <c r="P1527" s="53"/>
      <c r="Q1527" s="53"/>
      <c r="R1527" s="53"/>
      <c r="S1527" s="53"/>
      <c r="T1527" s="53"/>
      <c r="U1527" s="53"/>
      <c r="V1527" s="53"/>
      <c r="W1527" s="53"/>
      <c r="X1527" s="53"/>
      <c r="Y1527" s="53"/>
      <c r="Z1527" s="53"/>
      <c r="AA1527" s="53"/>
      <c r="AB1527" s="53"/>
      <c r="AC1527" s="53"/>
      <c r="AD1527" s="53"/>
      <c r="AE1527" s="53"/>
      <c r="AF1527" s="53"/>
      <c r="AG1527" s="53"/>
      <c r="AH1527" s="53"/>
    </row>
    <row r="1528" spans="1:34" ht="15.75" x14ac:dyDescent="0.25">
      <c r="A1528" s="53"/>
      <c r="B1528" s="53"/>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row>
    <row r="1529" spans="1:34" ht="15.75" x14ac:dyDescent="0.25">
      <c r="A1529" s="53"/>
      <c r="B1529" s="53"/>
      <c r="C1529" s="53"/>
      <c r="D1529" s="53"/>
      <c r="E1529" s="53"/>
      <c r="F1529" s="53"/>
      <c r="G1529" s="53"/>
      <c r="H1529" s="53"/>
      <c r="I1529" s="53"/>
      <c r="J1529" s="53"/>
      <c r="K1529" s="53"/>
      <c r="L1529" s="53"/>
      <c r="M1529" s="53"/>
      <c r="N1529" s="53"/>
      <c r="O1529" s="53"/>
      <c r="P1529" s="53"/>
      <c r="Q1529" s="53"/>
      <c r="R1529" s="53"/>
      <c r="S1529" s="53"/>
      <c r="T1529" s="53"/>
      <c r="U1529" s="53"/>
      <c r="V1529" s="53"/>
      <c r="W1529" s="53"/>
      <c r="X1529" s="53"/>
      <c r="Y1529" s="53"/>
      <c r="Z1529" s="53"/>
      <c r="AA1529" s="53"/>
      <c r="AB1529" s="53"/>
      <c r="AC1529" s="53"/>
      <c r="AD1529" s="53"/>
      <c r="AE1529" s="53"/>
      <c r="AF1529" s="53"/>
      <c r="AG1529" s="53"/>
      <c r="AH1529" s="53"/>
    </row>
    <row r="1530" spans="1:34" ht="15.75" x14ac:dyDescent="0.25">
      <c r="A1530" s="53"/>
      <c r="B1530" s="53"/>
      <c r="C1530" s="53"/>
      <c r="D1530" s="53"/>
      <c r="E1530" s="53"/>
      <c r="F1530" s="53"/>
      <c r="G1530" s="53"/>
      <c r="H1530" s="53"/>
      <c r="I1530" s="53"/>
      <c r="J1530" s="53"/>
      <c r="K1530" s="53"/>
      <c r="L1530" s="53"/>
      <c r="M1530" s="53"/>
      <c r="N1530" s="53"/>
      <c r="O1530" s="53"/>
      <c r="P1530" s="53"/>
      <c r="Q1530" s="53"/>
      <c r="R1530" s="53"/>
      <c r="S1530" s="53"/>
      <c r="T1530" s="53"/>
      <c r="U1530" s="53"/>
      <c r="V1530" s="53"/>
      <c r="W1530" s="53"/>
      <c r="X1530" s="53"/>
      <c r="Y1530" s="53"/>
      <c r="Z1530" s="53"/>
      <c r="AA1530" s="53"/>
      <c r="AB1530" s="53"/>
      <c r="AC1530" s="53"/>
      <c r="AD1530" s="53"/>
      <c r="AE1530" s="53"/>
      <c r="AF1530" s="53"/>
      <c r="AG1530" s="53"/>
      <c r="AH1530" s="53"/>
    </row>
    <row r="1531" spans="1:34" ht="15.75" x14ac:dyDescent="0.25">
      <c r="A1531" s="53"/>
      <c r="B1531" s="53"/>
      <c r="C1531" s="53"/>
      <c r="D1531" s="53"/>
      <c r="E1531" s="53"/>
      <c r="F1531" s="53"/>
      <c r="G1531" s="53"/>
      <c r="H1531" s="53"/>
      <c r="I1531" s="53"/>
      <c r="J1531" s="53"/>
      <c r="K1531" s="53"/>
      <c r="L1531" s="53"/>
      <c r="M1531" s="53"/>
      <c r="N1531" s="53"/>
      <c r="O1531" s="53"/>
      <c r="P1531" s="53"/>
      <c r="Q1531" s="53"/>
      <c r="R1531" s="53"/>
      <c r="S1531" s="53"/>
      <c r="T1531" s="53"/>
      <c r="U1531" s="53"/>
      <c r="V1531" s="53"/>
      <c r="W1531" s="53"/>
      <c r="X1531" s="53"/>
      <c r="Y1531" s="53"/>
      <c r="Z1531" s="53"/>
      <c r="AA1531" s="53"/>
      <c r="AB1531" s="53"/>
      <c r="AC1531" s="53"/>
      <c r="AD1531" s="53"/>
      <c r="AE1531" s="53"/>
      <c r="AF1531" s="53"/>
      <c r="AG1531" s="53"/>
      <c r="AH1531" s="53"/>
    </row>
    <row r="1532" spans="1:34" ht="15.75" x14ac:dyDescent="0.25">
      <c r="A1532" s="53"/>
      <c r="B1532" s="53"/>
      <c r="C1532" s="53"/>
      <c r="D1532" s="53"/>
      <c r="E1532" s="53"/>
      <c r="F1532" s="53"/>
      <c r="G1532" s="53"/>
      <c r="H1532" s="53"/>
      <c r="I1532" s="53"/>
      <c r="J1532" s="53"/>
      <c r="K1532" s="53"/>
      <c r="L1532" s="53"/>
      <c r="M1532" s="53"/>
      <c r="N1532" s="53"/>
      <c r="O1532" s="53"/>
      <c r="P1532" s="53"/>
      <c r="Q1532" s="53"/>
      <c r="R1532" s="53"/>
      <c r="S1532" s="53"/>
      <c r="T1532" s="53"/>
      <c r="U1532" s="53"/>
      <c r="V1532" s="53"/>
      <c r="W1532" s="53"/>
      <c r="X1532" s="53"/>
      <c r="Y1532" s="53"/>
      <c r="Z1532" s="53"/>
      <c r="AA1532" s="53"/>
      <c r="AB1532" s="53"/>
      <c r="AC1532" s="53"/>
      <c r="AD1532" s="53"/>
      <c r="AE1532" s="53"/>
      <c r="AF1532" s="53"/>
      <c r="AG1532" s="53"/>
      <c r="AH1532" s="53"/>
    </row>
  </sheetData>
  <sheetProtection algorithmName="SHA-512" hashValue="3lN525lg4EST2cWSwBr0mxUs9LSBmp7NqPsYVBdzx24J30raO+E57VvERIw5F4FEe7A4mS52cJy0kDCxjexuNg==" saltValue="f9mjnMsFz9sGdhF7H0NUaA==" spinCount="100000" sheet="1" objects="1" scenarios="1"/>
  <dataConsolidate/>
  <customSheetViews>
    <customSheetView guid="{5F9ED89D-ECFA-4459-A055-6360C65F3370}" scale="85" fitToPage="1" hiddenRows="1" hiddenColumns="1">
      <selection activeCell="O47" sqref="O47"/>
      <pageMargins left="0" right="0" top="0" bottom="0" header="0" footer="0"/>
      <pageSetup paperSize="9" scale="71" orientation="landscape" r:id="rId1"/>
      <headerFooter>
        <oddFooter>&amp;CDRAFT - FOR DISCUSSION PURPOSES ONLY</oddFooter>
      </headerFooter>
    </customSheetView>
  </customSheetViews>
  <mergeCells count="14">
    <mergeCell ref="B11:C11"/>
    <mergeCell ref="B12:C12"/>
    <mergeCell ref="B19:C19"/>
    <mergeCell ref="B13:C13"/>
    <mergeCell ref="B14:C14"/>
    <mergeCell ref="B15:C15"/>
    <mergeCell ref="B16:C16"/>
    <mergeCell ref="B17:C17"/>
    <mergeCell ref="B18:C18"/>
    <mergeCell ref="B5:C5"/>
    <mergeCell ref="B8:C8"/>
    <mergeCell ref="B9:C9"/>
    <mergeCell ref="B10:C10"/>
    <mergeCell ref="C4:S4"/>
  </mergeCells>
  <conditionalFormatting sqref="AC1:AC3">
    <cfRule type="cellIs" dxfId="596" priority="75" operator="equal">
      <formula>"OK"</formula>
    </cfRule>
    <cfRule type="cellIs" dxfId="595" priority="76" operator="equal">
      <formula>"ERROR"</formula>
    </cfRule>
  </conditionalFormatting>
  <conditionalFormatting sqref="AC4">
    <cfRule type="cellIs" dxfId="594" priority="5" operator="equal">
      <formula>"Complete"</formula>
    </cfRule>
    <cfRule type="cellIs" dxfId="593" priority="6" operator="equal">
      <formula>"Incomplete"</formula>
    </cfRule>
  </conditionalFormatting>
  <conditionalFormatting sqref="AC5:AC7 AC20:AC21 AC1284:AC1299">
    <cfRule type="cellIs" dxfId="592" priority="77" operator="equal">
      <formula>"OK"</formula>
    </cfRule>
    <cfRule type="cellIs" dxfId="591" priority="78" operator="equal">
      <formula>"ERROR"</formula>
    </cfRule>
  </conditionalFormatting>
  <conditionalFormatting sqref="AC8:AC19">
    <cfRule type="cellIs" dxfId="590" priority="3" operator="equal">
      <formula>"Complete"</formula>
    </cfRule>
    <cfRule type="cellIs" dxfId="589" priority="4" operator="equal">
      <formula>"Incomplete"</formula>
    </cfRule>
  </conditionalFormatting>
  <conditionalFormatting sqref="AC234 AC339 AC444 AC549 AC654 AC759 AC864 AC969 AC1074 AC1179">
    <cfRule type="cellIs" dxfId="588" priority="1" operator="equal">
      <formula>"OK"</formula>
    </cfRule>
    <cfRule type="cellIs" dxfId="587" priority="2" operator="equal">
      <formula>"ERROR"</formula>
    </cfRule>
  </conditionalFormatting>
  <dataValidations xWindow="189" yWindow="592" count="16">
    <dataValidation allowBlank="1" showInputMessage="1" showErrorMessage="1" prompt="Enter a description to identify the contract / group of contracts to which each aggregate cap applies" sqref="C26 C131 C236 C341 C446 C551 C656 C761 C866 C971 C1076 C1181" xr:uid="{00000000-0002-0000-1100-000000000000}"/>
    <dataValidation allowBlank="1" showInputMessage="1" showErrorMessage="1" prompt="Input the maximum exposure (the aggregate cap) to claims from the premiums in column Q for the contract(s) to which this cap applies." sqref="S1181 S26 S131 S236 S341 S446 S551 S656 S761 S866 S971 S1076" xr:uid="{00000000-0002-0000-1100-000001000000}"/>
    <dataValidation allowBlank="1" showInputMessage="1" showErrorMessage="1" prompt="This should be the aggregate cap less any claims which have already been paid in respect of this contract." sqref="W1076 W971 W26 W131 W236 W341 W446 W551 W656 W761 W866 W1181" xr:uid="{00000000-0002-0000-1100-000002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551 N761 N656 N971 N5 N866 N1076 N26 N131 N236 N341 N446 N1181" xr:uid="{00000000-0002-0000-1100-000003000000}"/>
    <dataValidation allowBlank="1" showErrorMessage="1" promptTitle="V(prem,s)" prompt="See TS(200) 2.7.4.6. - volume measure for net premium risk for each segment, s." sqref="Q5 Q26 Q131 Q236 Q341 Q446 Q551 Q656 Q761 Q866 Q971 Q1076 Q1181" xr:uid="{00000000-0002-0000-1100-000004000000}"/>
    <dataValidation allowBlank="1" showErrorMessage="1" promptTitle="V(res,s)" prompt="See TS(200) 2.7.4.12. - best estimate for claims outstanding for each segment, s, this amount should be net, with deduction of the amounts recoverable from reinsurance &amp; SPVs." sqref="S5 U5" xr:uid="{00000000-0002-0000-1100-000005000000}"/>
    <dataValidation allowBlank="1" showErrorMessage="1" promptTitle="V(s)" prompt="See TS(200) 2.7.4.17. - the overall net volume measure for each segment, s." sqref="W5" xr:uid="{00000000-0002-0000-1100-000006000000}"/>
    <dataValidation allowBlank="1" showErrorMessage="1" promptTitle="Segmentation by Line of Business" prompt="Determined in accordance with Regulation 40." sqref="B5:C5" xr:uid="{00000000-0002-0000-1100-000007000000}"/>
    <dataValidation allowBlank="1" showInputMessage="1" showErrorMessage="1" prompt="Enter the reserve (as included in S8:S19) for the contract(s) to which this aggregate cap applies." sqref="U1181 U26 U131 U236 U341 U446 U551 U656 U761 U866 U971 U1076" xr:uid="{00000000-0002-0000-1100-000008000000}"/>
    <dataValidation allowBlank="1" showErrorMessage="1" sqref="G762:AH762 A132:AH132 A237:AH237 A342:AH342 A447:AH447 A552:AH552 A657:AH657 A972:AH972 A762:E762 F1182 F867 F1077 A27:AH27" xr:uid="{00000000-0002-0000-1100-000009000000}"/>
    <dataValidation allowBlank="1" showInputMessage="1" showErrorMessage="1" prompt="Premiums earned by an insurer in the 12 months before the valuation date. Premiums should be net of reinsurance, SPVs &amp; commission._x000a__x000a_If Regulation 40, paragraph 7 applies. enter 0." sqref="I5 I1076 I26 I131 I236 I341 I446 I551 I656 I761 I866 I971 I1181" xr:uid="{00000000-0002-0000-1100-00000A000000}"/>
    <dataValidation allowBlank="1" showInputMessage="1" showErrorMessage="1" prompt="Input number of aggregate caps affecting the LOB s. " sqref="Z5" xr:uid="{00000000-0002-0000-1100-00000B000000}"/>
    <dataValidation allowBlank="1" showInputMessage="1" showErrorMessage="1" prompt="Estimate of premiums to be earned on existing and planned contracts in the 12 months after the valuation date. Premiums should be net of reinsurance, SPVs &amp; commission. " sqref="G5 G26 G131 G236 G341 G446 G551 G656 G761 G866 G971 G1076 G1181" xr:uid="{00000000-0002-0000-1100-00000C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26 M131 M236 M341 M446 M551 M656 M761 M866 M971 M1076 M1181" xr:uid="{00000000-0002-0000-1100-00000D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26 O131 O236 O341 O446 O551 O656 O761 O866 O971 O1076 O1181" xr:uid="{00000000-0002-0000-1100-00000E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26 K131 K236 K341 K446 K551 K656 K761 K866 K971 K1076 K1181" xr:uid="{00000000-0002-0000-1100-00000F000000}"/>
  </dataValidations>
  <hyperlinks>
    <hyperlink ref="Z8" location="'Premium and Reserve Risk'!B25" display=" 1  - Motor Vehicle Liability &amp; 13 Prop. Reins ." xr:uid="{00000000-0004-0000-1100-000000000000}"/>
    <hyperlink ref="Z9" location="'Premium and Reserve Risk'!A130" display=" 2  - Other Motor &amp; 14 Prop. Reins." xr:uid="{00000000-0004-0000-1100-000001000000}"/>
    <hyperlink ref="Z10" location="'Premium and Reserve Risk'!A235" display=" 3  - Marine, Aviation &amp; Transport (MAT) &amp; 15 Prop. Reins." xr:uid="{00000000-0004-0000-1100-000002000000}"/>
    <hyperlink ref="Z11" location="'Premium and Reserve Risk'!A340" display=" 4  - Fire &amp; Other Damage to Property &amp; 16 Prop. Reins." xr:uid="{00000000-0004-0000-1100-000003000000}"/>
    <hyperlink ref="Z12" location="'Premium and Reserve Risk'!A445" display=" 5  - General Liability &amp; 17 Prop. Reins." xr:uid="{00000000-0004-0000-1100-000004000000}"/>
    <hyperlink ref="Z13" location="'Premium and Reserve Risk'!A550" display=" 6  - Credit &amp; Suretyship &amp; 18 Prop. Reins." xr:uid="{00000000-0004-0000-1100-000005000000}"/>
    <hyperlink ref="Z14" location="'Premium and Reserve Risk'!A655" display=" 7  - Legal Expenses &amp; 19 Prop. Reins." xr:uid="{00000000-0004-0000-1100-000006000000}"/>
    <hyperlink ref="Z15" location="'Premium and Reserve Risk'!A760" display=" 8  - Assistance &amp; 20 Prop. Reins." xr:uid="{00000000-0004-0000-1100-000007000000}"/>
    <hyperlink ref="Z16" location="'Premium and Reserve Risk'!A865" display=" 9  - Miscellaneous Financial Loss &amp; 21 Prop. Reins." xr:uid="{00000000-0004-0000-1100-000008000000}"/>
    <hyperlink ref="Z17" location="'Premium and Reserve Risk'!A970" display="25 - Non-prop. reinsurance - Casualty" xr:uid="{00000000-0004-0000-1100-000009000000}"/>
    <hyperlink ref="Z18" location="'Premium and Reserve Risk'!A1075" display="26 - Non-prop. reinsurance - MAT" xr:uid="{00000000-0004-0000-1100-00000A000000}"/>
    <hyperlink ref="Z19" location="'Premium and Reserve Risk'!A1180" display="27 - Non-prop. reinsurance - Property" xr:uid="{00000000-0004-0000-1100-00000B000000}"/>
  </hyperlinks>
  <pageMargins left="0.70866141732283472" right="0.70866141732283472" top="0.74803149606299213" bottom="0.74803149606299213" header="0.31496062992125984" footer="0.31496062992125984"/>
  <pageSetup paperSize="9" scale="49" orientation="landscape" r:id="rId2"/>
  <headerFooter>
    <oddFooter>&amp;CDRAFT - FOR DISCUSSION PURPOSES ONLY</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00B050"/>
    <pageSetUpPr fitToPage="1"/>
  </sheetPr>
  <dimension ref="A1:BI52"/>
  <sheetViews>
    <sheetView workbookViewId="0"/>
  </sheetViews>
  <sheetFormatPr defaultColWidth="0" defaultRowHeight="14.25" zeroHeight="1" x14ac:dyDescent="0.2"/>
  <cols>
    <col min="1" max="1" width="1.875" customWidth="1"/>
    <col min="2" max="2" width="12.625" customWidth="1"/>
    <col min="3" max="3" width="1.875" customWidth="1"/>
    <col min="4" max="4" width="9" customWidth="1"/>
    <col min="5" max="5" width="1.875" customWidth="1"/>
    <col min="6" max="6" width="9" customWidth="1"/>
    <col min="7" max="7" width="1.875" customWidth="1"/>
    <col min="8" max="8" width="19" customWidth="1"/>
    <col min="9" max="9" width="1.875" customWidth="1"/>
    <col min="10" max="10" width="19" customWidth="1"/>
    <col min="11" max="11" width="1.875" customWidth="1"/>
    <col min="12" max="12" width="18.625" customWidth="1"/>
    <col min="13" max="13" width="1.875" customWidth="1"/>
    <col min="14" max="14" width="18.625" customWidth="1"/>
    <col min="15" max="15" width="1.875" customWidth="1"/>
    <col min="16" max="16" width="18.875" customWidth="1"/>
    <col min="17" max="17" width="1.875" customWidth="1"/>
    <col min="18" max="18" width="18.875" customWidth="1"/>
    <col min="19" max="19" width="1.875" customWidth="1"/>
    <col min="20" max="20" width="19" customWidth="1"/>
    <col min="21" max="21" width="1.875" customWidth="1"/>
    <col min="22" max="22" width="18.875" customWidth="1"/>
    <col min="23" max="23" width="1.875" customWidth="1"/>
    <col min="24" max="24" width="19" customWidth="1"/>
    <col min="25" max="25" width="1.875" customWidth="1"/>
    <col min="26" max="26" width="17.875" customWidth="1"/>
    <col min="27" max="27" width="1.875" customWidth="1"/>
    <col min="28" max="28" width="18.375" customWidth="1"/>
    <col min="29" max="29" width="1.875" customWidth="1"/>
    <col min="30" max="30" width="17.375" customWidth="1"/>
    <col min="31" max="31" width="1.875" customWidth="1"/>
    <col min="32" max="32" width="18.375" customWidth="1"/>
    <col min="33" max="33" width="1.875" customWidth="1"/>
    <col min="34" max="34" width="19.125" customWidth="1"/>
    <col min="35" max="35" width="1.875" customWidth="1"/>
    <col min="36" max="36" width="19.375" customWidth="1"/>
    <col min="37" max="37" width="1.875" customWidth="1"/>
    <col min="38" max="38" width="19.375" customWidth="1"/>
    <col min="39" max="39" width="1.875" customWidth="1"/>
    <col min="40" max="40" width="19" customWidth="1"/>
    <col min="41" max="41" width="1.875" customWidth="1"/>
    <col min="42" max="42" width="18.875" customWidth="1"/>
    <col min="43" max="43" width="1.875" customWidth="1"/>
    <col min="44" max="44" width="19.125" customWidth="1"/>
    <col min="45" max="46" width="1.875" customWidth="1"/>
    <col min="47" max="47" width="10.375" customWidth="1"/>
    <col min="48" max="48" width="1.875" customWidth="1"/>
    <col min="49" max="61" width="9" hidden="1"/>
  </cols>
  <sheetData>
    <row r="1" spans="1:48" ht="15.75" x14ac:dyDescent="0.25">
      <c r="A1" s="59">
        <v>1</v>
      </c>
      <c r="B1" s="59"/>
      <c r="C1" s="59"/>
      <c r="D1" s="59"/>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59"/>
      <c r="AU1" s="60"/>
      <c r="AV1" s="60"/>
    </row>
    <row r="2" spans="1:48" ht="54.75" customHeight="1" x14ac:dyDescent="0.25">
      <c r="A2" s="60"/>
      <c r="B2" s="60"/>
      <c r="C2" s="60"/>
      <c r="D2" s="60"/>
      <c r="E2" s="60"/>
      <c r="F2" s="60"/>
      <c r="G2" s="60"/>
      <c r="H2" s="60"/>
      <c r="I2" s="60"/>
      <c r="J2" s="52" t="s">
        <v>54</v>
      </c>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1"/>
      <c r="AT2" s="60"/>
      <c r="AU2" s="61"/>
      <c r="AV2" s="60"/>
    </row>
    <row r="3" spans="1:48" ht="15.75" x14ac:dyDescent="0.25">
      <c r="A3" s="53"/>
      <c r="B3" s="53" t="s">
        <v>465</v>
      </c>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row>
    <row r="4" spans="1:48" ht="16.5" thickBot="1" x14ac:dyDescent="0.3">
      <c r="A4" s="53"/>
      <c r="B4" s="53"/>
      <c r="C4" s="53"/>
      <c r="D4" s="53"/>
      <c r="E4" s="53"/>
      <c r="F4" s="262"/>
      <c r="G4" s="263"/>
      <c r="H4" s="264"/>
      <c r="I4" s="263"/>
      <c r="J4" s="264"/>
      <c r="K4" s="263"/>
      <c r="L4" s="264"/>
      <c r="M4" s="263"/>
      <c r="N4" s="264"/>
      <c r="O4" s="263"/>
      <c r="P4" s="264"/>
      <c r="Q4" s="263"/>
      <c r="R4" s="264"/>
      <c r="S4" s="263"/>
      <c r="T4" s="264"/>
      <c r="U4" s="263"/>
      <c r="V4" s="264"/>
      <c r="W4" s="263"/>
      <c r="X4" s="264"/>
      <c r="Y4" s="263"/>
      <c r="Z4" s="264"/>
      <c r="AA4" s="263"/>
      <c r="AB4" s="264"/>
      <c r="AC4" s="263"/>
      <c r="AD4" s="264"/>
      <c r="AE4" s="263"/>
      <c r="AF4" s="264"/>
      <c r="AG4" s="263"/>
      <c r="AH4" s="264"/>
      <c r="AI4" s="263"/>
      <c r="AJ4" s="264"/>
      <c r="AK4" s="263"/>
      <c r="AL4" s="264"/>
      <c r="AM4" s="263"/>
      <c r="AN4" s="264"/>
      <c r="AO4" s="264"/>
      <c r="AP4" s="264"/>
      <c r="AQ4" s="263"/>
      <c r="AR4" s="264"/>
      <c r="AS4" s="53"/>
      <c r="AT4" s="53"/>
      <c r="AU4" s="334" t="str">
        <f>IF(COUNTIF(AU9:AU35,"Incomplete")&gt;0,"Incomplete","Complete")</f>
        <v>Complete</v>
      </c>
      <c r="AV4" s="53"/>
    </row>
    <row r="5" spans="1:48" ht="16.5" thickBot="1" x14ac:dyDescent="0.3">
      <c r="A5" s="53"/>
      <c r="B5" s="265" t="s">
        <v>52</v>
      </c>
      <c r="C5" s="266"/>
      <c r="D5" s="165"/>
      <c r="E5" s="165"/>
      <c r="F5" s="267"/>
      <c r="G5" s="164"/>
      <c r="H5" s="165"/>
      <c r="I5" s="164"/>
      <c r="J5" s="165"/>
      <c r="K5" s="164"/>
      <c r="L5" s="165"/>
      <c r="M5" s="164"/>
      <c r="N5" s="165"/>
      <c r="O5" s="164"/>
      <c r="P5" s="165"/>
      <c r="Q5" s="164"/>
      <c r="R5" s="165"/>
      <c r="S5" s="164"/>
      <c r="T5" s="165"/>
      <c r="U5" s="164"/>
      <c r="V5" s="165"/>
      <c r="W5" s="164"/>
      <c r="X5" s="165"/>
      <c r="Y5" s="164"/>
      <c r="Z5" s="165"/>
      <c r="AA5" s="164"/>
      <c r="AB5" s="165"/>
      <c r="AC5" s="164"/>
      <c r="AD5" s="165"/>
      <c r="AE5" s="164"/>
      <c r="AF5" s="165"/>
      <c r="AG5" s="164"/>
      <c r="AH5" s="165"/>
      <c r="AI5" s="164"/>
      <c r="AJ5" s="165"/>
      <c r="AK5" s="164"/>
      <c r="AL5" s="165"/>
      <c r="AM5" s="164"/>
      <c r="AN5" s="165"/>
      <c r="AO5" s="165"/>
      <c r="AP5" s="165"/>
      <c r="AQ5" s="164"/>
      <c r="AR5" s="165"/>
      <c r="AS5" s="268"/>
      <c r="AT5" s="53"/>
      <c r="AU5" s="53"/>
      <c r="AV5" s="53"/>
    </row>
    <row r="6" spans="1:48" ht="6" customHeight="1" x14ac:dyDescent="0.25">
      <c r="A6" s="53"/>
      <c r="B6" s="23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3"/>
      <c r="AT6" s="53"/>
      <c r="AU6" s="53"/>
      <c r="AV6" s="53"/>
    </row>
    <row r="7" spans="1:48" ht="21" customHeight="1" x14ac:dyDescent="0.25">
      <c r="A7" s="53"/>
      <c r="B7" s="107" t="s">
        <v>466</v>
      </c>
      <c r="C7" s="654"/>
      <c r="D7" s="644"/>
      <c r="E7" s="655"/>
      <c r="F7" s="645" t="s">
        <v>169</v>
      </c>
      <c r="G7" s="655"/>
      <c r="H7" s="644" t="s">
        <v>467</v>
      </c>
      <c r="I7" s="644"/>
      <c r="J7" s="644" t="s">
        <v>468</v>
      </c>
      <c r="K7" s="644"/>
      <c r="L7" s="644" t="s">
        <v>469</v>
      </c>
      <c r="M7" s="644"/>
      <c r="N7" s="644" t="s">
        <v>470</v>
      </c>
      <c r="O7" s="644"/>
      <c r="P7" s="644" t="s">
        <v>471</v>
      </c>
      <c r="Q7" s="644"/>
      <c r="R7" s="644" t="s">
        <v>472</v>
      </c>
      <c r="S7" s="644"/>
      <c r="T7" s="644" t="s">
        <v>473</v>
      </c>
      <c r="U7" s="644"/>
      <c r="V7" s="644" t="s">
        <v>474</v>
      </c>
      <c r="W7" s="644"/>
      <c r="X7" s="644" t="s">
        <v>475</v>
      </c>
      <c r="Y7" s="644"/>
      <c r="Z7" s="644" t="s">
        <v>476</v>
      </c>
      <c r="AA7" s="644"/>
      <c r="AB7" s="644" t="s">
        <v>477</v>
      </c>
      <c r="AC7" s="644"/>
      <c r="AD7" s="644" t="s">
        <v>478</v>
      </c>
      <c r="AE7" s="644"/>
      <c r="AF7" s="644" t="s">
        <v>479</v>
      </c>
      <c r="AG7" s="644"/>
      <c r="AH7" s="644" t="s">
        <v>480</v>
      </c>
      <c r="AI7" s="644"/>
      <c r="AJ7" s="644" t="s">
        <v>481</v>
      </c>
      <c r="AK7" s="644"/>
      <c r="AL7" s="644" t="s">
        <v>482</v>
      </c>
      <c r="AM7" s="644"/>
      <c r="AN7" s="644" t="s">
        <v>483</v>
      </c>
      <c r="AO7" s="644"/>
      <c r="AP7" s="644" t="s">
        <v>484</v>
      </c>
      <c r="AQ7" s="644"/>
      <c r="AR7" s="644" t="s">
        <v>485</v>
      </c>
      <c r="AS7" s="646"/>
      <c r="AT7" s="53"/>
      <c r="AU7" s="66"/>
      <c r="AV7" s="53"/>
    </row>
    <row r="8" spans="1:48" ht="6" customHeight="1" x14ac:dyDescent="0.25">
      <c r="A8" s="53"/>
      <c r="B8" s="106"/>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1"/>
      <c r="AT8" s="53"/>
      <c r="AU8" s="53"/>
      <c r="AV8" s="53"/>
    </row>
    <row r="9" spans="1:48" ht="15.75" x14ac:dyDescent="0.25">
      <c r="A9" s="53"/>
      <c r="B9" s="269" t="s">
        <v>486</v>
      </c>
      <c r="C9" s="154"/>
      <c r="D9" s="80"/>
      <c r="E9" s="154"/>
      <c r="F9" s="626">
        <f t="shared" ref="F9:F20" si="0">SUM(H9:AR9)</f>
        <v>0</v>
      </c>
      <c r="G9" s="85"/>
      <c r="H9" s="624">
        <v>0</v>
      </c>
      <c r="I9" s="85"/>
      <c r="J9" s="624">
        <v>0</v>
      </c>
      <c r="K9" s="85"/>
      <c r="L9" s="624">
        <v>0</v>
      </c>
      <c r="M9" s="85"/>
      <c r="N9" s="624">
        <v>0</v>
      </c>
      <c r="O9" s="85"/>
      <c r="P9" s="624">
        <v>0</v>
      </c>
      <c r="Q9" s="85"/>
      <c r="R9" s="624">
        <v>0</v>
      </c>
      <c r="S9" s="85"/>
      <c r="T9" s="624">
        <v>0</v>
      </c>
      <c r="U9" s="85"/>
      <c r="V9" s="624">
        <v>0</v>
      </c>
      <c r="W9" s="85"/>
      <c r="X9" s="624">
        <v>0</v>
      </c>
      <c r="Y9" s="85"/>
      <c r="Z9" s="624">
        <v>0</v>
      </c>
      <c r="AA9" s="85"/>
      <c r="AB9" s="624">
        <v>0</v>
      </c>
      <c r="AC9" s="85"/>
      <c r="AD9" s="624">
        <v>0</v>
      </c>
      <c r="AE9" s="85"/>
      <c r="AF9" s="624">
        <v>0</v>
      </c>
      <c r="AG9" s="85"/>
      <c r="AH9" s="624">
        <v>0</v>
      </c>
      <c r="AI9" s="85"/>
      <c r="AJ9" s="624">
        <v>0</v>
      </c>
      <c r="AK9" s="85"/>
      <c r="AL9" s="624">
        <v>0</v>
      </c>
      <c r="AM9" s="85"/>
      <c r="AN9" s="624">
        <v>0</v>
      </c>
      <c r="AO9" s="85"/>
      <c r="AP9" s="624">
        <v>0</v>
      </c>
      <c r="AQ9" s="85"/>
      <c r="AR9" s="624">
        <v>0</v>
      </c>
      <c r="AS9" s="81"/>
      <c r="AT9" s="53"/>
      <c r="AU9" s="334" t="str">
        <f>IF(OR(H9="",J9="",L9="",N9="",P9="",R9="",T9="",V9="",X9="",Z9="",AB9="",AD9="",AF9="",AH9="",AJ9="",AL9="",AN9="",AP9="",AR9=""),"Incomplete","Complete")</f>
        <v>Complete</v>
      </c>
      <c r="AV9" s="53"/>
    </row>
    <row r="10" spans="1:48" ht="15.75" customHeight="1" x14ac:dyDescent="0.25">
      <c r="A10" s="53"/>
      <c r="B10" s="269" t="s">
        <v>487</v>
      </c>
      <c r="C10" s="154"/>
      <c r="D10" s="80"/>
      <c r="E10" s="154"/>
      <c r="F10" s="626">
        <f t="shared" si="0"/>
        <v>0</v>
      </c>
      <c r="G10" s="85"/>
      <c r="H10" s="624">
        <v>0</v>
      </c>
      <c r="I10" s="85"/>
      <c r="J10" s="624">
        <v>0</v>
      </c>
      <c r="K10" s="85"/>
      <c r="L10" s="624">
        <v>0</v>
      </c>
      <c r="M10" s="85"/>
      <c r="N10" s="624">
        <v>0</v>
      </c>
      <c r="O10" s="85"/>
      <c r="P10" s="624">
        <v>0</v>
      </c>
      <c r="Q10" s="85"/>
      <c r="R10" s="624">
        <v>0</v>
      </c>
      <c r="S10" s="85"/>
      <c r="T10" s="624">
        <v>0</v>
      </c>
      <c r="U10" s="85"/>
      <c r="V10" s="624">
        <v>0</v>
      </c>
      <c r="W10" s="85"/>
      <c r="X10" s="624">
        <v>0</v>
      </c>
      <c r="Y10" s="85"/>
      <c r="Z10" s="624">
        <v>0</v>
      </c>
      <c r="AA10" s="85"/>
      <c r="AB10" s="624">
        <v>0</v>
      </c>
      <c r="AC10" s="85"/>
      <c r="AD10" s="624">
        <v>0</v>
      </c>
      <c r="AE10" s="85"/>
      <c r="AF10" s="624">
        <v>0</v>
      </c>
      <c r="AG10" s="85"/>
      <c r="AH10" s="624">
        <v>0</v>
      </c>
      <c r="AI10" s="85"/>
      <c r="AJ10" s="624">
        <v>0</v>
      </c>
      <c r="AK10" s="85"/>
      <c r="AL10" s="624">
        <v>0</v>
      </c>
      <c r="AM10" s="85"/>
      <c r="AN10" s="624">
        <v>0</v>
      </c>
      <c r="AO10" s="85"/>
      <c r="AP10" s="624">
        <v>0</v>
      </c>
      <c r="AQ10" s="85"/>
      <c r="AR10" s="624">
        <v>0</v>
      </c>
      <c r="AS10" s="81"/>
      <c r="AT10" s="53"/>
      <c r="AU10" s="334" t="str">
        <f t="shared" ref="AU10:AU20" si="1">IF(OR(H10="",J10="",L10="",N10="",P10="",R10="",T10="",V10="",X10="",Z10="",AB10="",AD10="",AF10="",AH10="",AJ10="",AL10="",AN10="",AP10="",AR10=""),"Incomplete","Complete")</f>
        <v>Complete</v>
      </c>
      <c r="AV10" s="53"/>
    </row>
    <row r="11" spans="1:48" ht="15.75" x14ac:dyDescent="0.25">
      <c r="A11" s="53"/>
      <c r="B11" s="269" t="s">
        <v>488</v>
      </c>
      <c r="C11" s="154"/>
      <c r="D11" s="80"/>
      <c r="E11" s="154"/>
      <c r="F11" s="626">
        <f t="shared" si="0"/>
        <v>0</v>
      </c>
      <c r="G11" s="85"/>
      <c r="H11" s="624">
        <v>0</v>
      </c>
      <c r="I11" s="85"/>
      <c r="J11" s="624">
        <v>0</v>
      </c>
      <c r="K11" s="85"/>
      <c r="L11" s="624">
        <v>0</v>
      </c>
      <c r="M11" s="85"/>
      <c r="N11" s="624">
        <v>0</v>
      </c>
      <c r="O11" s="85"/>
      <c r="P11" s="624">
        <v>0</v>
      </c>
      <c r="Q11" s="85"/>
      <c r="R11" s="624">
        <v>0</v>
      </c>
      <c r="S11" s="85"/>
      <c r="T11" s="624">
        <v>0</v>
      </c>
      <c r="U11" s="85"/>
      <c r="V11" s="624">
        <v>0</v>
      </c>
      <c r="W11" s="85"/>
      <c r="X11" s="624">
        <v>0</v>
      </c>
      <c r="Y11" s="85"/>
      <c r="Z11" s="624">
        <v>0</v>
      </c>
      <c r="AA11" s="85"/>
      <c r="AB11" s="624">
        <v>0</v>
      </c>
      <c r="AC11" s="85"/>
      <c r="AD11" s="624">
        <v>0</v>
      </c>
      <c r="AE11" s="85"/>
      <c r="AF11" s="624">
        <v>0</v>
      </c>
      <c r="AG11" s="85"/>
      <c r="AH11" s="624">
        <v>0</v>
      </c>
      <c r="AI11" s="85"/>
      <c r="AJ11" s="624">
        <v>0</v>
      </c>
      <c r="AK11" s="85"/>
      <c r="AL11" s="624">
        <v>0</v>
      </c>
      <c r="AM11" s="85"/>
      <c r="AN11" s="624">
        <v>0</v>
      </c>
      <c r="AO11" s="85"/>
      <c r="AP11" s="624">
        <v>0</v>
      </c>
      <c r="AQ11" s="85"/>
      <c r="AR11" s="624">
        <v>0</v>
      </c>
      <c r="AS11" s="81"/>
      <c r="AT11" s="53"/>
      <c r="AU11" s="334" t="str">
        <f t="shared" si="1"/>
        <v>Complete</v>
      </c>
      <c r="AV11" s="53"/>
    </row>
    <row r="12" spans="1:48" ht="15.75" x14ac:dyDescent="0.25">
      <c r="A12" s="53"/>
      <c r="B12" s="269" t="s">
        <v>489</v>
      </c>
      <c r="C12" s="154"/>
      <c r="D12" s="80"/>
      <c r="E12" s="154"/>
      <c r="F12" s="626">
        <f t="shared" si="0"/>
        <v>0</v>
      </c>
      <c r="G12" s="85"/>
      <c r="H12" s="624">
        <v>0</v>
      </c>
      <c r="I12" s="85"/>
      <c r="J12" s="624">
        <v>0</v>
      </c>
      <c r="K12" s="85"/>
      <c r="L12" s="624">
        <v>0</v>
      </c>
      <c r="M12" s="85"/>
      <c r="N12" s="624">
        <v>0</v>
      </c>
      <c r="O12" s="85"/>
      <c r="P12" s="624">
        <v>0</v>
      </c>
      <c r="Q12" s="85"/>
      <c r="R12" s="624">
        <v>0</v>
      </c>
      <c r="S12" s="85"/>
      <c r="T12" s="624">
        <v>0</v>
      </c>
      <c r="U12" s="85"/>
      <c r="V12" s="624">
        <v>0</v>
      </c>
      <c r="W12" s="85"/>
      <c r="X12" s="624">
        <v>0</v>
      </c>
      <c r="Y12" s="85"/>
      <c r="Z12" s="624">
        <v>0</v>
      </c>
      <c r="AA12" s="85"/>
      <c r="AB12" s="624">
        <v>0</v>
      </c>
      <c r="AC12" s="85"/>
      <c r="AD12" s="624">
        <v>0</v>
      </c>
      <c r="AE12" s="85"/>
      <c r="AF12" s="624">
        <v>0</v>
      </c>
      <c r="AG12" s="85"/>
      <c r="AH12" s="624">
        <v>0</v>
      </c>
      <c r="AI12" s="85"/>
      <c r="AJ12" s="624">
        <v>0</v>
      </c>
      <c r="AK12" s="85"/>
      <c r="AL12" s="624">
        <v>0</v>
      </c>
      <c r="AM12" s="85"/>
      <c r="AN12" s="624">
        <v>0</v>
      </c>
      <c r="AO12" s="85"/>
      <c r="AP12" s="624">
        <v>0</v>
      </c>
      <c r="AQ12" s="85"/>
      <c r="AR12" s="624">
        <v>0</v>
      </c>
      <c r="AS12" s="81"/>
      <c r="AT12" s="53"/>
      <c r="AU12" s="334" t="str">
        <f t="shared" si="1"/>
        <v>Complete</v>
      </c>
      <c r="AV12" s="53"/>
    </row>
    <row r="13" spans="1:48" ht="15.75" x14ac:dyDescent="0.25">
      <c r="A13" s="53"/>
      <c r="B13" s="269" t="s">
        <v>490</v>
      </c>
      <c r="C13" s="154"/>
      <c r="D13" s="80"/>
      <c r="E13" s="154"/>
      <c r="F13" s="626">
        <f t="shared" si="0"/>
        <v>0</v>
      </c>
      <c r="G13" s="85"/>
      <c r="H13" s="624">
        <v>0</v>
      </c>
      <c r="I13" s="85"/>
      <c r="J13" s="624">
        <v>0</v>
      </c>
      <c r="K13" s="85"/>
      <c r="L13" s="624">
        <v>0</v>
      </c>
      <c r="M13" s="85"/>
      <c r="N13" s="624">
        <v>0</v>
      </c>
      <c r="O13" s="85"/>
      <c r="P13" s="624">
        <v>0</v>
      </c>
      <c r="Q13" s="85"/>
      <c r="R13" s="624">
        <v>0</v>
      </c>
      <c r="S13" s="85"/>
      <c r="T13" s="624">
        <v>0</v>
      </c>
      <c r="U13" s="85"/>
      <c r="V13" s="624">
        <v>0</v>
      </c>
      <c r="W13" s="85"/>
      <c r="X13" s="624">
        <v>0</v>
      </c>
      <c r="Y13" s="85"/>
      <c r="Z13" s="624">
        <v>0</v>
      </c>
      <c r="AA13" s="85"/>
      <c r="AB13" s="624">
        <v>0</v>
      </c>
      <c r="AC13" s="85"/>
      <c r="AD13" s="624">
        <v>0</v>
      </c>
      <c r="AE13" s="85"/>
      <c r="AF13" s="624">
        <v>0</v>
      </c>
      <c r="AG13" s="85"/>
      <c r="AH13" s="624">
        <v>0</v>
      </c>
      <c r="AI13" s="85"/>
      <c r="AJ13" s="624">
        <v>0</v>
      </c>
      <c r="AK13" s="85"/>
      <c r="AL13" s="624">
        <v>0</v>
      </c>
      <c r="AM13" s="85"/>
      <c r="AN13" s="624">
        <v>0</v>
      </c>
      <c r="AO13" s="85"/>
      <c r="AP13" s="624">
        <v>0</v>
      </c>
      <c r="AQ13" s="85"/>
      <c r="AR13" s="624">
        <v>0</v>
      </c>
      <c r="AS13" s="81"/>
      <c r="AT13" s="53"/>
      <c r="AU13" s="334" t="str">
        <f t="shared" si="1"/>
        <v>Complete</v>
      </c>
      <c r="AV13" s="53"/>
    </row>
    <row r="14" spans="1:48" ht="15.75" x14ac:dyDescent="0.25">
      <c r="A14" s="53"/>
      <c r="B14" s="269" t="s">
        <v>491</v>
      </c>
      <c r="C14" s="154"/>
      <c r="D14" s="80"/>
      <c r="E14" s="154"/>
      <c r="F14" s="626">
        <f>SUM(H14:AR14)</f>
        <v>0</v>
      </c>
      <c r="G14" s="85"/>
      <c r="H14" s="625">
        <v>0</v>
      </c>
      <c r="I14" s="85"/>
      <c r="J14" s="625">
        <v>0</v>
      </c>
      <c r="K14" s="85"/>
      <c r="L14" s="625">
        <v>0</v>
      </c>
      <c r="M14" s="85"/>
      <c r="N14" s="625">
        <v>0</v>
      </c>
      <c r="O14" s="85"/>
      <c r="P14" s="625">
        <v>0</v>
      </c>
      <c r="Q14" s="85"/>
      <c r="R14" s="625">
        <v>0</v>
      </c>
      <c r="S14" s="85"/>
      <c r="T14" s="625">
        <v>0</v>
      </c>
      <c r="U14" s="85"/>
      <c r="V14" s="625">
        <v>0</v>
      </c>
      <c r="W14" s="85"/>
      <c r="X14" s="625">
        <v>0</v>
      </c>
      <c r="Y14" s="85"/>
      <c r="Z14" s="625">
        <v>0</v>
      </c>
      <c r="AA14" s="85"/>
      <c r="AB14" s="625">
        <v>0</v>
      </c>
      <c r="AC14" s="85"/>
      <c r="AD14" s="625">
        <v>0</v>
      </c>
      <c r="AE14" s="85"/>
      <c r="AF14" s="625">
        <v>0</v>
      </c>
      <c r="AG14" s="85"/>
      <c r="AH14" s="625">
        <v>0</v>
      </c>
      <c r="AI14" s="85"/>
      <c r="AJ14" s="625">
        <v>0</v>
      </c>
      <c r="AK14" s="85"/>
      <c r="AL14" s="625">
        <v>0</v>
      </c>
      <c r="AM14" s="85"/>
      <c r="AN14" s="625">
        <v>0</v>
      </c>
      <c r="AO14" s="85"/>
      <c r="AP14" s="625">
        <v>0</v>
      </c>
      <c r="AQ14" s="85"/>
      <c r="AR14" s="625">
        <v>0</v>
      </c>
      <c r="AS14" s="81"/>
      <c r="AT14" s="53"/>
      <c r="AU14" s="334" t="str">
        <f t="shared" si="1"/>
        <v>Complete</v>
      </c>
      <c r="AV14" s="53"/>
    </row>
    <row r="15" spans="1:48" ht="15.75" x14ac:dyDescent="0.25">
      <c r="A15" s="53"/>
      <c r="B15" s="269" t="s">
        <v>492</v>
      </c>
      <c r="C15" s="154"/>
      <c r="D15" s="80"/>
      <c r="E15" s="154"/>
      <c r="F15" s="626">
        <f t="shared" si="0"/>
        <v>0</v>
      </c>
      <c r="G15" s="85"/>
      <c r="H15" s="624">
        <v>0</v>
      </c>
      <c r="I15" s="85"/>
      <c r="J15" s="624">
        <v>0</v>
      </c>
      <c r="K15" s="85"/>
      <c r="L15" s="624">
        <v>0</v>
      </c>
      <c r="M15" s="85"/>
      <c r="N15" s="624">
        <v>0</v>
      </c>
      <c r="O15" s="85"/>
      <c r="P15" s="624">
        <v>0</v>
      </c>
      <c r="Q15" s="85"/>
      <c r="R15" s="624">
        <v>0</v>
      </c>
      <c r="S15" s="85"/>
      <c r="T15" s="624">
        <v>0</v>
      </c>
      <c r="U15" s="85"/>
      <c r="V15" s="624">
        <v>0</v>
      </c>
      <c r="W15" s="85"/>
      <c r="X15" s="624">
        <v>0</v>
      </c>
      <c r="Y15" s="85"/>
      <c r="Z15" s="624">
        <v>0</v>
      </c>
      <c r="AA15" s="85"/>
      <c r="AB15" s="624">
        <v>0</v>
      </c>
      <c r="AC15" s="85"/>
      <c r="AD15" s="624">
        <v>0</v>
      </c>
      <c r="AE15" s="85"/>
      <c r="AF15" s="624">
        <v>0</v>
      </c>
      <c r="AG15" s="85"/>
      <c r="AH15" s="624">
        <v>0</v>
      </c>
      <c r="AI15" s="85"/>
      <c r="AJ15" s="624">
        <v>0</v>
      </c>
      <c r="AK15" s="85"/>
      <c r="AL15" s="624">
        <v>0</v>
      </c>
      <c r="AM15" s="85"/>
      <c r="AN15" s="624">
        <v>0</v>
      </c>
      <c r="AO15" s="85"/>
      <c r="AP15" s="624">
        <v>0</v>
      </c>
      <c r="AQ15" s="85"/>
      <c r="AR15" s="624">
        <v>0</v>
      </c>
      <c r="AS15" s="81"/>
      <c r="AT15" s="53"/>
      <c r="AU15" s="334" t="str">
        <f t="shared" si="1"/>
        <v>Complete</v>
      </c>
      <c r="AV15" s="53"/>
    </row>
    <row r="16" spans="1:48" ht="15.75" x14ac:dyDescent="0.25">
      <c r="A16" s="53"/>
      <c r="B16" s="269" t="s">
        <v>493</v>
      </c>
      <c r="C16" s="154"/>
      <c r="D16" s="80"/>
      <c r="E16" s="154"/>
      <c r="F16" s="626">
        <f t="shared" si="0"/>
        <v>0</v>
      </c>
      <c r="G16" s="85"/>
      <c r="H16" s="624">
        <v>0</v>
      </c>
      <c r="I16" s="85"/>
      <c r="J16" s="624">
        <v>0</v>
      </c>
      <c r="K16" s="85"/>
      <c r="L16" s="624">
        <v>0</v>
      </c>
      <c r="M16" s="85"/>
      <c r="N16" s="624">
        <v>0</v>
      </c>
      <c r="O16" s="85"/>
      <c r="P16" s="624">
        <v>0</v>
      </c>
      <c r="Q16" s="85"/>
      <c r="R16" s="624">
        <v>0</v>
      </c>
      <c r="S16" s="85"/>
      <c r="T16" s="624">
        <v>0</v>
      </c>
      <c r="U16" s="85"/>
      <c r="V16" s="624">
        <v>0</v>
      </c>
      <c r="W16" s="85"/>
      <c r="X16" s="624">
        <v>0</v>
      </c>
      <c r="Y16" s="85"/>
      <c r="Z16" s="624">
        <v>0</v>
      </c>
      <c r="AA16" s="85"/>
      <c r="AB16" s="624">
        <v>0</v>
      </c>
      <c r="AC16" s="85"/>
      <c r="AD16" s="624">
        <v>0</v>
      </c>
      <c r="AE16" s="85"/>
      <c r="AF16" s="624">
        <v>0</v>
      </c>
      <c r="AG16" s="85"/>
      <c r="AH16" s="624">
        <v>0</v>
      </c>
      <c r="AI16" s="85"/>
      <c r="AJ16" s="624">
        <v>0</v>
      </c>
      <c r="AK16" s="85"/>
      <c r="AL16" s="624">
        <v>0</v>
      </c>
      <c r="AM16" s="85"/>
      <c r="AN16" s="624">
        <v>0</v>
      </c>
      <c r="AO16" s="85"/>
      <c r="AP16" s="624">
        <v>0</v>
      </c>
      <c r="AQ16" s="85"/>
      <c r="AR16" s="624">
        <v>0</v>
      </c>
      <c r="AS16" s="81"/>
      <c r="AT16" s="53"/>
      <c r="AU16" s="334" t="str">
        <f t="shared" si="1"/>
        <v>Complete</v>
      </c>
      <c r="AV16" s="53"/>
    </row>
    <row r="17" spans="1:48" ht="15.75" x14ac:dyDescent="0.25">
      <c r="A17" s="53"/>
      <c r="B17" s="269" t="s">
        <v>494</v>
      </c>
      <c r="C17" s="154"/>
      <c r="D17" s="80"/>
      <c r="E17" s="154"/>
      <c r="F17" s="626">
        <f t="shared" si="0"/>
        <v>0</v>
      </c>
      <c r="G17" s="85"/>
      <c r="H17" s="624">
        <v>0</v>
      </c>
      <c r="I17" s="85"/>
      <c r="J17" s="624">
        <v>0</v>
      </c>
      <c r="K17" s="85"/>
      <c r="L17" s="624">
        <v>0</v>
      </c>
      <c r="M17" s="85"/>
      <c r="N17" s="624">
        <v>0</v>
      </c>
      <c r="O17" s="85"/>
      <c r="P17" s="624">
        <v>0</v>
      </c>
      <c r="Q17" s="85"/>
      <c r="R17" s="624">
        <v>0</v>
      </c>
      <c r="S17" s="85"/>
      <c r="T17" s="624">
        <v>0</v>
      </c>
      <c r="U17" s="85"/>
      <c r="V17" s="624">
        <v>0</v>
      </c>
      <c r="W17" s="85"/>
      <c r="X17" s="624">
        <v>0</v>
      </c>
      <c r="Y17" s="85"/>
      <c r="Z17" s="624">
        <v>0</v>
      </c>
      <c r="AA17" s="85"/>
      <c r="AB17" s="624">
        <v>0</v>
      </c>
      <c r="AC17" s="85"/>
      <c r="AD17" s="624">
        <v>0</v>
      </c>
      <c r="AE17" s="85"/>
      <c r="AF17" s="624">
        <v>0</v>
      </c>
      <c r="AG17" s="85"/>
      <c r="AH17" s="624">
        <v>0</v>
      </c>
      <c r="AI17" s="85"/>
      <c r="AJ17" s="624">
        <v>0</v>
      </c>
      <c r="AK17" s="85"/>
      <c r="AL17" s="624">
        <v>0</v>
      </c>
      <c r="AM17" s="85"/>
      <c r="AN17" s="624">
        <v>0</v>
      </c>
      <c r="AO17" s="85"/>
      <c r="AP17" s="624">
        <v>0</v>
      </c>
      <c r="AQ17" s="85"/>
      <c r="AR17" s="624">
        <v>0</v>
      </c>
      <c r="AS17" s="81"/>
      <c r="AT17" s="53"/>
      <c r="AU17" s="334" t="str">
        <f t="shared" si="1"/>
        <v>Complete</v>
      </c>
      <c r="AV17" s="53"/>
    </row>
    <row r="18" spans="1:48" ht="15.75" x14ac:dyDescent="0.25">
      <c r="A18" s="53"/>
      <c r="B18" s="269" t="s">
        <v>495</v>
      </c>
      <c r="C18" s="154"/>
      <c r="D18" s="80"/>
      <c r="E18" s="154"/>
      <c r="F18" s="626">
        <f t="shared" si="0"/>
        <v>0</v>
      </c>
      <c r="G18" s="85"/>
      <c r="H18" s="625">
        <v>0</v>
      </c>
      <c r="I18" s="85"/>
      <c r="J18" s="625">
        <v>0</v>
      </c>
      <c r="K18" s="85"/>
      <c r="L18" s="625">
        <v>0</v>
      </c>
      <c r="M18" s="85"/>
      <c r="N18" s="625">
        <v>0</v>
      </c>
      <c r="O18" s="85"/>
      <c r="P18" s="625">
        <v>0</v>
      </c>
      <c r="Q18" s="85"/>
      <c r="R18" s="625">
        <v>0</v>
      </c>
      <c r="S18" s="85"/>
      <c r="T18" s="625">
        <v>0</v>
      </c>
      <c r="U18" s="85"/>
      <c r="V18" s="625">
        <v>0</v>
      </c>
      <c r="W18" s="85"/>
      <c r="X18" s="625">
        <v>0</v>
      </c>
      <c r="Y18" s="85"/>
      <c r="Z18" s="625">
        <v>0</v>
      </c>
      <c r="AA18" s="85"/>
      <c r="AB18" s="625">
        <v>0</v>
      </c>
      <c r="AC18" s="85"/>
      <c r="AD18" s="625">
        <v>0</v>
      </c>
      <c r="AE18" s="85"/>
      <c r="AF18" s="625">
        <v>0</v>
      </c>
      <c r="AG18" s="85"/>
      <c r="AH18" s="625">
        <v>0</v>
      </c>
      <c r="AI18" s="85"/>
      <c r="AJ18" s="625">
        <v>0</v>
      </c>
      <c r="AK18" s="85"/>
      <c r="AL18" s="625">
        <v>0</v>
      </c>
      <c r="AM18" s="85"/>
      <c r="AN18" s="625">
        <v>0</v>
      </c>
      <c r="AO18" s="85"/>
      <c r="AP18" s="625">
        <v>0</v>
      </c>
      <c r="AQ18" s="85"/>
      <c r="AR18" s="625">
        <v>0</v>
      </c>
      <c r="AS18" s="81"/>
      <c r="AT18" s="53"/>
      <c r="AU18" s="334" t="str">
        <f t="shared" si="1"/>
        <v>Complete</v>
      </c>
      <c r="AV18" s="53"/>
    </row>
    <row r="19" spans="1:48" ht="15.75" x14ac:dyDescent="0.25">
      <c r="A19" s="53"/>
      <c r="B19" s="269" t="s">
        <v>496</v>
      </c>
      <c r="C19" s="154"/>
      <c r="D19" s="80"/>
      <c r="E19" s="154"/>
      <c r="F19" s="626">
        <f t="shared" si="0"/>
        <v>0</v>
      </c>
      <c r="G19" s="85"/>
      <c r="H19" s="625">
        <v>0</v>
      </c>
      <c r="I19" s="85"/>
      <c r="J19" s="625">
        <v>0</v>
      </c>
      <c r="K19" s="85"/>
      <c r="L19" s="625">
        <v>0</v>
      </c>
      <c r="M19" s="85"/>
      <c r="N19" s="625">
        <v>0</v>
      </c>
      <c r="O19" s="85"/>
      <c r="P19" s="625">
        <v>0</v>
      </c>
      <c r="Q19" s="85"/>
      <c r="R19" s="625">
        <v>0</v>
      </c>
      <c r="S19" s="85"/>
      <c r="T19" s="625">
        <v>0</v>
      </c>
      <c r="U19" s="85"/>
      <c r="V19" s="625">
        <v>0</v>
      </c>
      <c r="W19" s="85"/>
      <c r="X19" s="625">
        <v>0</v>
      </c>
      <c r="Y19" s="85"/>
      <c r="Z19" s="625">
        <v>0</v>
      </c>
      <c r="AA19" s="85"/>
      <c r="AB19" s="625">
        <v>0</v>
      </c>
      <c r="AC19" s="85"/>
      <c r="AD19" s="625">
        <v>0</v>
      </c>
      <c r="AE19" s="85"/>
      <c r="AF19" s="625">
        <v>0</v>
      </c>
      <c r="AG19" s="85"/>
      <c r="AH19" s="625">
        <v>0</v>
      </c>
      <c r="AI19" s="85"/>
      <c r="AJ19" s="625">
        <v>0</v>
      </c>
      <c r="AK19" s="85"/>
      <c r="AL19" s="625">
        <v>0</v>
      </c>
      <c r="AM19" s="85"/>
      <c r="AN19" s="625">
        <v>0</v>
      </c>
      <c r="AO19" s="85"/>
      <c r="AP19" s="625">
        <v>0</v>
      </c>
      <c r="AQ19" s="85"/>
      <c r="AR19" s="625">
        <v>0</v>
      </c>
      <c r="AS19" s="81"/>
      <c r="AT19" s="53"/>
      <c r="AU19" s="334" t="str">
        <f t="shared" si="1"/>
        <v>Complete</v>
      </c>
      <c r="AV19" s="53"/>
    </row>
    <row r="20" spans="1:48" ht="15.75" x14ac:dyDescent="0.25">
      <c r="A20" s="53"/>
      <c r="B20" s="269" t="s">
        <v>497</v>
      </c>
      <c r="C20" s="154"/>
      <c r="D20" s="80"/>
      <c r="E20" s="154"/>
      <c r="F20" s="626">
        <f t="shared" si="0"/>
        <v>0</v>
      </c>
      <c r="G20" s="85"/>
      <c r="H20" s="625">
        <v>0</v>
      </c>
      <c r="I20" s="85"/>
      <c r="J20" s="625">
        <v>0</v>
      </c>
      <c r="K20" s="85"/>
      <c r="L20" s="625">
        <v>0</v>
      </c>
      <c r="M20" s="85"/>
      <c r="N20" s="625">
        <v>0</v>
      </c>
      <c r="O20" s="85"/>
      <c r="P20" s="625">
        <v>0</v>
      </c>
      <c r="Q20" s="85"/>
      <c r="R20" s="625">
        <v>0</v>
      </c>
      <c r="S20" s="85"/>
      <c r="T20" s="625">
        <v>0</v>
      </c>
      <c r="U20" s="85"/>
      <c r="V20" s="625">
        <v>0</v>
      </c>
      <c r="W20" s="85"/>
      <c r="X20" s="625">
        <v>0</v>
      </c>
      <c r="Y20" s="85"/>
      <c r="Z20" s="625">
        <v>0</v>
      </c>
      <c r="AA20" s="85"/>
      <c r="AB20" s="625">
        <v>0</v>
      </c>
      <c r="AC20" s="85"/>
      <c r="AD20" s="625">
        <v>0</v>
      </c>
      <c r="AE20" s="85"/>
      <c r="AF20" s="625">
        <v>0</v>
      </c>
      <c r="AG20" s="85"/>
      <c r="AH20" s="625">
        <v>0</v>
      </c>
      <c r="AI20" s="85"/>
      <c r="AJ20" s="625">
        <v>0</v>
      </c>
      <c r="AK20" s="85"/>
      <c r="AL20" s="625">
        <v>0</v>
      </c>
      <c r="AM20" s="85"/>
      <c r="AN20" s="625">
        <v>0</v>
      </c>
      <c r="AO20" s="85"/>
      <c r="AP20" s="625">
        <v>0</v>
      </c>
      <c r="AQ20" s="85"/>
      <c r="AR20" s="625">
        <v>0</v>
      </c>
      <c r="AS20" s="81"/>
      <c r="AT20" s="53"/>
      <c r="AU20" s="334" t="str">
        <f t="shared" si="1"/>
        <v>Complete</v>
      </c>
      <c r="AV20" s="53"/>
    </row>
    <row r="21" spans="1:48" ht="6" customHeight="1" x14ac:dyDescent="0.25">
      <c r="A21" s="53"/>
      <c r="B21" s="106"/>
      <c r="C21" s="80"/>
      <c r="D21" s="80"/>
      <c r="E21" s="80"/>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1"/>
      <c r="AT21" s="53"/>
      <c r="AU21" s="53"/>
      <c r="AV21" s="53"/>
    </row>
    <row r="22" spans="1:48" ht="15.75" x14ac:dyDescent="0.25">
      <c r="A22" s="53"/>
      <c r="B22" s="107" t="s">
        <v>498</v>
      </c>
      <c r="C22" s="654"/>
      <c r="D22" s="644"/>
      <c r="E22" s="655"/>
      <c r="F22" s="645" t="s">
        <v>169</v>
      </c>
      <c r="G22" s="656"/>
      <c r="H22" s="657"/>
      <c r="I22" s="656"/>
      <c r="J22" s="657"/>
      <c r="K22" s="656"/>
      <c r="L22" s="657"/>
      <c r="M22" s="656"/>
      <c r="N22" s="657"/>
      <c r="O22" s="656"/>
      <c r="P22" s="657"/>
      <c r="Q22" s="656"/>
      <c r="R22" s="657"/>
      <c r="S22" s="656"/>
      <c r="T22" s="657"/>
      <c r="U22" s="656"/>
      <c r="V22" s="657"/>
      <c r="W22" s="656"/>
      <c r="X22" s="657"/>
      <c r="Y22" s="656"/>
      <c r="Z22" s="657"/>
      <c r="AA22" s="656"/>
      <c r="AB22" s="657"/>
      <c r="AC22" s="656"/>
      <c r="AD22" s="657"/>
      <c r="AE22" s="656"/>
      <c r="AF22" s="657"/>
      <c r="AG22" s="656"/>
      <c r="AH22" s="657"/>
      <c r="AI22" s="656"/>
      <c r="AJ22" s="657"/>
      <c r="AK22" s="656"/>
      <c r="AL22" s="657"/>
      <c r="AM22" s="656"/>
      <c r="AN22" s="657"/>
      <c r="AO22" s="656"/>
      <c r="AP22" s="657"/>
      <c r="AQ22" s="656"/>
      <c r="AR22" s="657"/>
      <c r="AS22" s="658"/>
      <c r="AT22" s="53"/>
      <c r="AU22" s="66"/>
      <c r="AV22" s="53"/>
    </row>
    <row r="23" spans="1:48" ht="6" customHeight="1" x14ac:dyDescent="0.25">
      <c r="A23" s="53"/>
      <c r="B23" s="106"/>
      <c r="C23" s="80"/>
      <c r="D23" s="80"/>
      <c r="E23" s="80"/>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1"/>
      <c r="AT23" s="53"/>
      <c r="AU23" s="53"/>
      <c r="AV23" s="53"/>
    </row>
    <row r="24" spans="1:48" ht="15.75" x14ac:dyDescent="0.25">
      <c r="A24" s="53"/>
      <c r="B24" s="269" t="s">
        <v>486</v>
      </c>
      <c r="C24" s="154"/>
      <c r="D24" s="80"/>
      <c r="E24" s="154"/>
      <c r="F24" s="626">
        <f t="shared" ref="F24:F35" si="2">SUM(H24:AR24)</f>
        <v>0</v>
      </c>
      <c r="G24" s="85"/>
      <c r="H24" s="624">
        <v>0</v>
      </c>
      <c r="I24" s="85"/>
      <c r="J24" s="624">
        <v>0</v>
      </c>
      <c r="K24" s="85"/>
      <c r="L24" s="624">
        <v>0</v>
      </c>
      <c r="M24" s="85"/>
      <c r="N24" s="624">
        <v>0</v>
      </c>
      <c r="O24" s="85"/>
      <c r="P24" s="624">
        <v>0</v>
      </c>
      <c r="Q24" s="85"/>
      <c r="R24" s="624">
        <v>0</v>
      </c>
      <c r="S24" s="85"/>
      <c r="T24" s="624">
        <v>0</v>
      </c>
      <c r="U24" s="85"/>
      <c r="V24" s="624">
        <v>0</v>
      </c>
      <c r="W24" s="85"/>
      <c r="X24" s="624">
        <v>0</v>
      </c>
      <c r="Y24" s="85"/>
      <c r="Z24" s="624">
        <v>0</v>
      </c>
      <c r="AA24" s="85"/>
      <c r="AB24" s="624">
        <v>0</v>
      </c>
      <c r="AC24" s="85"/>
      <c r="AD24" s="624">
        <v>0</v>
      </c>
      <c r="AE24" s="85"/>
      <c r="AF24" s="624">
        <v>0</v>
      </c>
      <c r="AG24" s="85"/>
      <c r="AH24" s="624">
        <v>0</v>
      </c>
      <c r="AI24" s="85"/>
      <c r="AJ24" s="624">
        <v>0</v>
      </c>
      <c r="AK24" s="85"/>
      <c r="AL24" s="624">
        <v>0</v>
      </c>
      <c r="AM24" s="85"/>
      <c r="AN24" s="624">
        <v>0</v>
      </c>
      <c r="AO24" s="85"/>
      <c r="AP24" s="624">
        <v>0</v>
      </c>
      <c r="AQ24" s="85"/>
      <c r="AR24" s="624">
        <v>0</v>
      </c>
      <c r="AS24" s="81"/>
      <c r="AT24" s="53"/>
      <c r="AU24" s="334" t="str">
        <f t="shared" ref="AU24:AU35" si="3">IF(OR(H24="",J24="",L24="",N24="",P24="",R24="",T24="",V24="",X24="",Z24="",AB24="",AD24="",AF24="",AH24="",AJ24="",AL24="",AN24="",AP24="",AR24=""),"Incomplete","Complete")</f>
        <v>Complete</v>
      </c>
      <c r="AV24" s="53"/>
    </row>
    <row r="25" spans="1:48" ht="15.75" customHeight="1" x14ac:dyDescent="0.25">
      <c r="A25" s="53"/>
      <c r="B25" s="269" t="s">
        <v>487</v>
      </c>
      <c r="C25" s="154"/>
      <c r="D25" s="80"/>
      <c r="E25" s="154"/>
      <c r="F25" s="626">
        <f t="shared" si="2"/>
        <v>0</v>
      </c>
      <c r="G25" s="85"/>
      <c r="H25" s="624">
        <v>0</v>
      </c>
      <c r="I25" s="85"/>
      <c r="J25" s="624">
        <v>0</v>
      </c>
      <c r="K25" s="85"/>
      <c r="L25" s="624">
        <v>0</v>
      </c>
      <c r="M25" s="85"/>
      <c r="N25" s="624">
        <v>0</v>
      </c>
      <c r="O25" s="85"/>
      <c r="P25" s="624">
        <v>0</v>
      </c>
      <c r="Q25" s="85"/>
      <c r="R25" s="624">
        <v>0</v>
      </c>
      <c r="S25" s="85"/>
      <c r="T25" s="624">
        <v>0</v>
      </c>
      <c r="U25" s="85"/>
      <c r="V25" s="624">
        <v>0</v>
      </c>
      <c r="W25" s="85"/>
      <c r="X25" s="624">
        <v>0</v>
      </c>
      <c r="Y25" s="85"/>
      <c r="Z25" s="624">
        <v>0</v>
      </c>
      <c r="AA25" s="85"/>
      <c r="AB25" s="624">
        <v>0</v>
      </c>
      <c r="AC25" s="85"/>
      <c r="AD25" s="624">
        <v>0</v>
      </c>
      <c r="AE25" s="85"/>
      <c r="AF25" s="624">
        <v>0</v>
      </c>
      <c r="AG25" s="85"/>
      <c r="AH25" s="624">
        <v>0</v>
      </c>
      <c r="AI25" s="85"/>
      <c r="AJ25" s="624">
        <v>0</v>
      </c>
      <c r="AK25" s="85"/>
      <c r="AL25" s="624">
        <v>0</v>
      </c>
      <c r="AM25" s="85"/>
      <c r="AN25" s="624">
        <v>0</v>
      </c>
      <c r="AO25" s="85"/>
      <c r="AP25" s="624">
        <v>0</v>
      </c>
      <c r="AQ25" s="85"/>
      <c r="AR25" s="624">
        <v>0</v>
      </c>
      <c r="AS25" s="81"/>
      <c r="AT25" s="53"/>
      <c r="AU25" s="334" t="str">
        <f t="shared" si="3"/>
        <v>Complete</v>
      </c>
      <c r="AV25" s="53"/>
    </row>
    <row r="26" spans="1:48" ht="15.75" x14ac:dyDescent="0.25">
      <c r="A26" s="53"/>
      <c r="B26" s="269" t="s">
        <v>488</v>
      </c>
      <c r="C26" s="154"/>
      <c r="D26" s="80"/>
      <c r="E26" s="154"/>
      <c r="F26" s="626">
        <f t="shared" si="2"/>
        <v>0</v>
      </c>
      <c r="G26" s="85"/>
      <c r="H26" s="624">
        <v>0</v>
      </c>
      <c r="I26" s="85"/>
      <c r="J26" s="624">
        <v>0</v>
      </c>
      <c r="K26" s="85"/>
      <c r="L26" s="624">
        <v>0</v>
      </c>
      <c r="M26" s="85"/>
      <c r="N26" s="624">
        <v>0</v>
      </c>
      <c r="O26" s="85"/>
      <c r="P26" s="624">
        <v>0</v>
      </c>
      <c r="Q26" s="85"/>
      <c r="R26" s="624">
        <v>0</v>
      </c>
      <c r="S26" s="85"/>
      <c r="T26" s="624">
        <v>0</v>
      </c>
      <c r="U26" s="85"/>
      <c r="V26" s="624">
        <v>0</v>
      </c>
      <c r="W26" s="85"/>
      <c r="X26" s="624">
        <v>0</v>
      </c>
      <c r="Y26" s="85"/>
      <c r="Z26" s="624">
        <v>0</v>
      </c>
      <c r="AA26" s="85"/>
      <c r="AB26" s="624">
        <v>0</v>
      </c>
      <c r="AC26" s="85"/>
      <c r="AD26" s="624">
        <v>0</v>
      </c>
      <c r="AE26" s="85"/>
      <c r="AF26" s="624">
        <v>0</v>
      </c>
      <c r="AG26" s="85"/>
      <c r="AH26" s="624">
        <v>0</v>
      </c>
      <c r="AI26" s="85"/>
      <c r="AJ26" s="624">
        <v>0</v>
      </c>
      <c r="AK26" s="85"/>
      <c r="AL26" s="624">
        <v>0</v>
      </c>
      <c r="AM26" s="85"/>
      <c r="AN26" s="624">
        <v>0</v>
      </c>
      <c r="AO26" s="85"/>
      <c r="AP26" s="624">
        <v>0</v>
      </c>
      <c r="AQ26" s="85"/>
      <c r="AR26" s="624">
        <v>0</v>
      </c>
      <c r="AS26" s="81"/>
      <c r="AT26" s="53"/>
      <c r="AU26" s="334" t="str">
        <f t="shared" si="3"/>
        <v>Complete</v>
      </c>
      <c r="AV26" s="53"/>
    </row>
    <row r="27" spans="1:48" ht="15.75" x14ac:dyDescent="0.25">
      <c r="A27" s="53"/>
      <c r="B27" s="269" t="s">
        <v>489</v>
      </c>
      <c r="C27" s="154"/>
      <c r="D27" s="80"/>
      <c r="E27" s="154"/>
      <c r="F27" s="626">
        <f t="shared" si="2"/>
        <v>0</v>
      </c>
      <c r="G27" s="85"/>
      <c r="H27" s="624">
        <v>0</v>
      </c>
      <c r="I27" s="85"/>
      <c r="J27" s="624">
        <v>0</v>
      </c>
      <c r="K27" s="85"/>
      <c r="L27" s="624">
        <v>0</v>
      </c>
      <c r="M27" s="85"/>
      <c r="N27" s="624">
        <v>0</v>
      </c>
      <c r="O27" s="85"/>
      <c r="P27" s="624">
        <v>0</v>
      </c>
      <c r="Q27" s="85"/>
      <c r="R27" s="624">
        <v>0</v>
      </c>
      <c r="S27" s="85"/>
      <c r="T27" s="624">
        <v>0</v>
      </c>
      <c r="U27" s="85"/>
      <c r="V27" s="624">
        <v>0</v>
      </c>
      <c r="W27" s="85"/>
      <c r="X27" s="624">
        <v>0</v>
      </c>
      <c r="Y27" s="85"/>
      <c r="Z27" s="624">
        <v>0</v>
      </c>
      <c r="AA27" s="85"/>
      <c r="AB27" s="624">
        <v>0</v>
      </c>
      <c r="AC27" s="85"/>
      <c r="AD27" s="624">
        <v>0</v>
      </c>
      <c r="AE27" s="85"/>
      <c r="AF27" s="624">
        <v>0</v>
      </c>
      <c r="AG27" s="85"/>
      <c r="AH27" s="624">
        <v>0</v>
      </c>
      <c r="AI27" s="85"/>
      <c r="AJ27" s="624">
        <v>0</v>
      </c>
      <c r="AK27" s="85"/>
      <c r="AL27" s="624">
        <v>0</v>
      </c>
      <c r="AM27" s="85"/>
      <c r="AN27" s="624">
        <v>0</v>
      </c>
      <c r="AO27" s="85"/>
      <c r="AP27" s="624">
        <v>0</v>
      </c>
      <c r="AQ27" s="85"/>
      <c r="AR27" s="624">
        <v>0</v>
      </c>
      <c r="AS27" s="81"/>
      <c r="AT27" s="53"/>
      <c r="AU27" s="334" t="str">
        <f t="shared" si="3"/>
        <v>Complete</v>
      </c>
      <c r="AV27" s="53"/>
    </row>
    <row r="28" spans="1:48" ht="15.75" x14ac:dyDescent="0.25">
      <c r="A28" s="53"/>
      <c r="B28" s="269" t="s">
        <v>490</v>
      </c>
      <c r="C28" s="154"/>
      <c r="D28" s="80"/>
      <c r="E28" s="154"/>
      <c r="F28" s="626">
        <f t="shared" si="2"/>
        <v>0</v>
      </c>
      <c r="G28" s="85"/>
      <c r="H28" s="624">
        <v>0</v>
      </c>
      <c r="I28" s="85"/>
      <c r="J28" s="624">
        <v>0</v>
      </c>
      <c r="K28" s="85"/>
      <c r="L28" s="624">
        <v>0</v>
      </c>
      <c r="M28" s="85"/>
      <c r="N28" s="624">
        <v>0</v>
      </c>
      <c r="O28" s="85"/>
      <c r="P28" s="624">
        <v>0</v>
      </c>
      <c r="Q28" s="85"/>
      <c r="R28" s="624">
        <v>0</v>
      </c>
      <c r="S28" s="85"/>
      <c r="T28" s="624">
        <v>0</v>
      </c>
      <c r="U28" s="85"/>
      <c r="V28" s="624">
        <v>0</v>
      </c>
      <c r="W28" s="85"/>
      <c r="X28" s="624">
        <v>0</v>
      </c>
      <c r="Y28" s="85"/>
      <c r="Z28" s="624">
        <v>0</v>
      </c>
      <c r="AA28" s="85"/>
      <c r="AB28" s="624">
        <v>0</v>
      </c>
      <c r="AC28" s="85"/>
      <c r="AD28" s="624">
        <v>0</v>
      </c>
      <c r="AE28" s="85"/>
      <c r="AF28" s="624">
        <v>0</v>
      </c>
      <c r="AG28" s="85"/>
      <c r="AH28" s="624">
        <v>0</v>
      </c>
      <c r="AI28" s="85"/>
      <c r="AJ28" s="624">
        <v>0</v>
      </c>
      <c r="AK28" s="85"/>
      <c r="AL28" s="624">
        <v>0</v>
      </c>
      <c r="AM28" s="85"/>
      <c r="AN28" s="624">
        <v>0</v>
      </c>
      <c r="AO28" s="85"/>
      <c r="AP28" s="624">
        <v>0</v>
      </c>
      <c r="AQ28" s="85"/>
      <c r="AR28" s="624">
        <v>0</v>
      </c>
      <c r="AS28" s="81"/>
      <c r="AT28" s="53"/>
      <c r="AU28" s="334" t="str">
        <f t="shared" si="3"/>
        <v>Complete</v>
      </c>
      <c r="AV28" s="53"/>
    </row>
    <row r="29" spans="1:48" ht="15.75" x14ac:dyDescent="0.25">
      <c r="A29" s="53"/>
      <c r="B29" s="269" t="s">
        <v>491</v>
      </c>
      <c r="C29" s="154"/>
      <c r="D29" s="80"/>
      <c r="E29" s="154"/>
      <c r="F29" s="626">
        <f t="shared" si="2"/>
        <v>0</v>
      </c>
      <c r="G29" s="85"/>
      <c r="H29" s="625">
        <v>0</v>
      </c>
      <c r="I29" s="85"/>
      <c r="J29" s="625">
        <v>0</v>
      </c>
      <c r="K29" s="85"/>
      <c r="L29" s="625">
        <v>0</v>
      </c>
      <c r="M29" s="85"/>
      <c r="N29" s="625">
        <v>0</v>
      </c>
      <c r="O29" s="85"/>
      <c r="P29" s="625">
        <v>0</v>
      </c>
      <c r="Q29" s="85"/>
      <c r="R29" s="625">
        <v>0</v>
      </c>
      <c r="S29" s="85"/>
      <c r="T29" s="625">
        <v>0</v>
      </c>
      <c r="U29" s="85"/>
      <c r="V29" s="625">
        <v>0</v>
      </c>
      <c r="W29" s="85"/>
      <c r="X29" s="625">
        <v>0</v>
      </c>
      <c r="Y29" s="85"/>
      <c r="Z29" s="625">
        <v>0</v>
      </c>
      <c r="AA29" s="85"/>
      <c r="AB29" s="625">
        <v>0</v>
      </c>
      <c r="AC29" s="85"/>
      <c r="AD29" s="625">
        <v>0</v>
      </c>
      <c r="AE29" s="85"/>
      <c r="AF29" s="625">
        <v>0</v>
      </c>
      <c r="AG29" s="85"/>
      <c r="AH29" s="625">
        <v>0</v>
      </c>
      <c r="AI29" s="85"/>
      <c r="AJ29" s="625">
        <v>0</v>
      </c>
      <c r="AK29" s="85"/>
      <c r="AL29" s="625">
        <v>0</v>
      </c>
      <c r="AM29" s="85"/>
      <c r="AN29" s="625">
        <v>0</v>
      </c>
      <c r="AO29" s="85"/>
      <c r="AP29" s="625">
        <v>0</v>
      </c>
      <c r="AQ29" s="85"/>
      <c r="AR29" s="625">
        <v>0</v>
      </c>
      <c r="AS29" s="81"/>
      <c r="AT29" s="53"/>
      <c r="AU29" s="334" t="str">
        <f t="shared" si="3"/>
        <v>Complete</v>
      </c>
      <c r="AV29" s="53"/>
    </row>
    <row r="30" spans="1:48" ht="15.75" x14ac:dyDescent="0.25">
      <c r="A30" s="53"/>
      <c r="B30" s="269" t="s">
        <v>492</v>
      </c>
      <c r="C30" s="154"/>
      <c r="D30" s="80"/>
      <c r="E30" s="154"/>
      <c r="F30" s="626">
        <f t="shared" si="2"/>
        <v>0</v>
      </c>
      <c r="G30" s="85"/>
      <c r="H30" s="624">
        <v>0</v>
      </c>
      <c r="I30" s="85"/>
      <c r="J30" s="624">
        <v>0</v>
      </c>
      <c r="K30" s="85"/>
      <c r="L30" s="624">
        <v>0</v>
      </c>
      <c r="M30" s="85"/>
      <c r="N30" s="624">
        <v>0</v>
      </c>
      <c r="O30" s="85"/>
      <c r="P30" s="624">
        <v>0</v>
      </c>
      <c r="Q30" s="85"/>
      <c r="R30" s="624">
        <v>0</v>
      </c>
      <c r="S30" s="85"/>
      <c r="T30" s="624">
        <v>0</v>
      </c>
      <c r="U30" s="85"/>
      <c r="V30" s="624">
        <v>0</v>
      </c>
      <c r="W30" s="85"/>
      <c r="X30" s="624">
        <v>0</v>
      </c>
      <c r="Y30" s="85"/>
      <c r="Z30" s="624">
        <v>0</v>
      </c>
      <c r="AA30" s="85"/>
      <c r="AB30" s="624">
        <v>0</v>
      </c>
      <c r="AC30" s="85"/>
      <c r="AD30" s="624">
        <v>0</v>
      </c>
      <c r="AE30" s="85"/>
      <c r="AF30" s="624">
        <v>0</v>
      </c>
      <c r="AG30" s="85"/>
      <c r="AH30" s="624">
        <v>0</v>
      </c>
      <c r="AI30" s="85"/>
      <c r="AJ30" s="624">
        <v>0</v>
      </c>
      <c r="AK30" s="85"/>
      <c r="AL30" s="624">
        <v>0</v>
      </c>
      <c r="AM30" s="85"/>
      <c r="AN30" s="624">
        <v>0</v>
      </c>
      <c r="AO30" s="85"/>
      <c r="AP30" s="624">
        <v>0</v>
      </c>
      <c r="AQ30" s="85"/>
      <c r="AR30" s="624">
        <v>0</v>
      </c>
      <c r="AS30" s="81"/>
      <c r="AT30" s="53"/>
      <c r="AU30" s="334" t="str">
        <f t="shared" si="3"/>
        <v>Complete</v>
      </c>
      <c r="AV30" s="53"/>
    </row>
    <row r="31" spans="1:48" ht="15.75" x14ac:dyDescent="0.25">
      <c r="A31" s="53"/>
      <c r="B31" s="269" t="s">
        <v>493</v>
      </c>
      <c r="C31" s="154"/>
      <c r="D31" s="80"/>
      <c r="E31" s="154"/>
      <c r="F31" s="626">
        <f t="shared" si="2"/>
        <v>0</v>
      </c>
      <c r="G31" s="85"/>
      <c r="H31" s="624">
        <v>0</v>
      </c>
      <c r="I31" s="85"/>
      <c r="J31" s="624">
        <v>0</v>
      </c>
      <c r="K31" s="85"/>
      <c r="L31" s="624">
        <v>0</v>
      </c>
      <c r="M31" s="85"/>
      <c r="N31" s="624">
        <v>0</v>
      </c>
      <c r="O31" s="85"/>
      <c r="P31" s="624">
        <v>0</v>
      </c>
      <c r="Q31" s="85"/>
      <c r="R31" s="624">
        <v>0</v>
      </c>
      <c r="S31" s="85"/>
      <c r="T31" s="624">
        <v>0</v>
      </c>
      <c r="U31" s="85"/>
      <c r="V31" s="624">
        <v>0</v>
      </c>
      <c r="W31" s="85"/>
      <c r="X31" s="624">
        <v>0</v>
      </c>
      <c r="Y31" s="85"/>
      <c r="Z31" s="624">
        <v>0</v>
      </c>
      <c r="AA31" s="85"/>
      <c r="AB31" s="624">
        <v>0</v>
      </c>
      <c r="AC31" s="85"/>
      <c r="AD31" s="624">
        <v>0</v>
      </c>
      <c r="AE31" s="85"/>
      <c r="AF31" s="624">
        <v>0</v>
      </c>
      <c r="AG31" s="85"/>
      <c r="AH31" s="624">
        <v>0</v>
      </c>
      <c r="AI31" s="85"/>
      <c r="AJ31" s="624">
        <v>0</v>
      </c>
      <c r="AK31" s="85"/>
      <c r="AL31" s="624">
        <v>0</v>
      </c>
      <c r="AM31" s="85"/>
      <c r="AN31" s="624">
        <v>0</v>
      </c>
      <c r="AO31" s="85"/>
      <c r="AP31" s="624">
        <v>0</v>
      </c>
      <c r="AQ31" s="85"/>
      <c r="AR31" s="624">
        <v>0</v>
      </c>
      <c r="AS31" s="81"/>
      <c r="AT31" s="53"/>
      <c r="AU31" s="334" t="str">
        <f t="shared" si="3"/>
        <v>Complete</v>
      </c>
      <c r="AV31" s="53"/>
    </row>
    <row r="32" spans="1:48" ht="15.75" x14ac:dyDescent="0.25">
      <c r="A32" s="53"/>
      <c r="B32" s="269" t="s">
        <v>494</v>
      </c>
      <c r="C32" s="154"/>
      <c r="D32" s="80"/>
      <c r="E32" s="154"/>
      <c r="F32" s="626">
        <f t="shared" si="2"/>
        <v>0</v>
      </c>
      <c r="G32" s="85"/>
      <c r="H32" s="624">
        <v>0</v>
      </c>
      <c r="I32" s="85"/>
      <c r="J32" s="624">
        <v>0</v>
      </c>
      <c r="K32" s="85"/>
      <c r="L32" s="624">
        <v>0</v>
      </c>
      <c r="M32" s="85"/>
      <c r="N32" s="624">
        <v>0</v>
      </c>
      <c r="O32" s="85"/>
      <c r="P32" s="624">
        <v>0</v>
      </c>
      <c r="Q32" s="85"/>
      <c r="R32" s="624">
        <v>0</v>
      </c>
      <c r="S32" s="85"/>
      <c r="T32" s="624">
        <v>0</v>
      </c>
      <c r="U32" s="85"/>
      <c r="V32" s="624">
        <v>0</v>
      </c>
      <c r="W32" s="85"/>
      <c r="X32" s="624">
        <v>0</v>
      </c>
      <c r="Y32" s="85"/>
      <c r="Z32" s="624">
        <v>0</v>
      </c>
      <c r="AA32" s="85"/>
      <c r="AB32" s="624">
        <v>0</v>
      </c>
      <c r="AC32" s="85"/>
      <c r="AD32" s="624">
        <v>0</v>
      </c>
      <c r="AE32" s="85"/>
      <c r="AF32" s="624">
        <v>0</v>
      </c>
      <c r="AG32" s="85"/>
      <c r="AH32" s="624">
        <v>0</v>
      </c>
      <c r="AI32" s="85"/>
      <c r="AJ32" s="624">
        <v>0</v>
      </c>
      <c r="AK32" s="85"/>
      <c r="AL32" s="624">
        <v>0</v>
      </c>
      <c r="AM32" s="85"/>
      <c r="AN32" s="624">
        <v>0</v>
      </c>
      <c r="AO32" s="85"/>
      <c r="AP32" s="624">
        <v>0</v>
      </c>
      <c r="AQ32" s="85"/>
      <c r="AR32" s="624">
        <v>0</v>
      </c>
      <c r="AS32" s="81"/>
      <c r="AT32" s="53"/>
      <c r="AU32" s="334" t="str">
        <f t="shared" si="3"/>
        <v>Complete</v>
      </c>
      <c r="AV32" s="53"/>
    </row>
    <row r="33" spans="1:48" ht="15.75" x14ac:dyDescent="0.25">
      <c r="A33" s="53"/>
      <c r="B33" s="269" t="s">
        <v>495</v>
      </c>
      <c r="C33" s="154"/>
      <c r="D33" s="80"/>
      <c r="E33" s="154"/>
      <c r="F33" s="626">
        <f t="shared" si="2"/>
        <v>0</v>
      </c>
      <c r="G33" s="85"/>
      <c r="H33" s="625">
        <v>0</v>
      </c>
      <c r="I33" s="85"/>
      <c r="J33" s="625">
        <v>0</v>
      </c>
      <c r="K33" s="85"/>
      <c r="L33" s="625">
        <v>0</v>
      </c>
      <c r="M33" s="85"/>
      <c r="N33" s="625">
        <v>0</v>
      </c>
      <c r="O33" s="85"/>
      <c r="P33" s="625">
        <v>0</v>
      </c>
      <c r="Q33" s="85"/>
      <c r="R33" s="625">
        <v>0</v>
      </c>
      <c r="S33" s="85"/>
      <c r="T33" s="625">
        <v>0</v>
      </c>
      <c r="U33" s="85"/>
      <c r="V33" s="625">
        <v>0</v>
      </c>
      <c r="W33" s="85"/>
      <c r="X33" s="625">
        <v>0</v>
      </c>
      <c r="Y33" s="85"/>
      <c r="Z33" s="625">
        <v>0</v>
      </c>
      <c r="AA33" s="85"/>
      <c r="AB33" s="625">
        <v>0</v>
      </c>
      <c r="AC33" s="85"/>
      <c r="AD33" s="625">
        <v>0</v>
      </c>
      <c r="AE33" s="85"/>
      <c r="AF33" s="625">
        <v>0</v>
      </c>
      <c r="AG33" s="85"/>
      <c r="AH33" s="625">
        <v>0</v>
      </c>
      <c r="AI33" s="85"/>
      <c r="AJ33" s="625">
        <v>0</v>
      </c>
      <c r="AK33" s="85"/>
      <c r="AL33" s="625">
        <v>0</v>
      </c>
      <c r="AM33" s="85"/>
      <c r="AN33" s="625">
        <v>0</v>
      </c>
      <c r="AO33" s="85"/>
      <c r="AP33" s="625">
        <v>0</v>
      </c>
      <c r="AQ33" s="85"/>
      <c r="AR33" s="625">
        <v>0</v>
      </c>
      <c r="AS33" s="81"/>
      <c r="AT33" s="53"/>
      <c r="AU33" s="334" t="str">
        <f t="shared" si="3"/>
        <v>Complete</v>
      </c>
      <c r="AV33" s="53"/>
    </row>
    <row r="34" spans="1:48" ht="15.75" x14ac:dyDescent="0.25">
      <c r="A34" s="53"/>
      <c r="B34" s="269" t="s">
        <v>496</v>
      </c>
      <c r="C34" s="154"/>
      <c r="D34" s="80"/>
      <c r="E34" s="154"/>
      <c r="F34" s="626">
        <f t="shared" si="2"/>
        <v>0</v>
      </c>
      <c r="G34" s="85"/>
      <c r="H34" s="625">
        <v>0</v>
      </c>
      <c r="I34" s="85"/>
      <c r="J34" s="625">
        <v>0</v>
      </c>
      <c r="K34" s="85"/>
      <c r="L34" s="625">
        <v>0</v>
      </c>
      <c r="M34" s="85"/>
      <c r="N34" s="625">
        <v>0</v>
      </c>
      <c r="O34" s="85"/>
      <c r="P34" s="625">
        <v>0</v>
      </c>
      <c r="Q34" s="85"/>
      <c r="R34" s="625">
        <v>0</v>
      </c>
      <c r="S34" s="85"/>
      <c r="T34" s="625">
        <v>0</v>
      </c>
      <c r="U34" s="85"/>
      <c r="V34" s="625">
        <v>0</v>
      </c>
      <c r="W34" s="85"/>
      <c r="X34" s="625">
        <v>0</v>
      </c>
      <c r="Y34" s="85"/>
      <c r="Z34" s="625">
        <v>0</v>
      </c>
      <c r="AA34" s="85"/>
      <c r="AB34" s="625">
        <v>0</v>
      </c>
      <c r="AC34" s="85"/>
      <c r="AD34" s="625">
        <v>0</v>
      </c>
      <c r="AE34" s="85"/>
      <c r="AF34" s="625">
        <v>0</v>
      </c>
      <c r="AG34" s="85"/>
      <c r="AH34" s="625">
        <v>0</v>
      </c>
      <c r="AI34" s="85"/>
      <c r="AJ34" s="625">
        <v>0</v>
      </c>
      <c r="AK34" s="85"/>
      <c r="AL34" s="625">
        <v>0</v>
      </c>
      <c r="AM34" s="85"/>
      <c r="AN34" s="625">
        <v>0</v>
      </c>
      <c r="AO34" s="85"/>
      <c r="AP34" s="625">
        <v>0</v>
      </c>
      <c r="AQ34" s="85"/>
      <c r="AR34" s="625">
        <v>0</v>
      </c>
      <c r="AS34" s="81"/>
      <c r="AT34" s="53"/>
      <c r="AU34" s="334" t="str">
        <f t="shared" si="3"/>
        <v>Complete</v>
      </c>
      <c r="AV34" s="53"/>
    </row>
    <row r="35" spans="1:48" ht="15.75" x14ac:dyDescent="0.25">
      <c r="A35" s="53"/>
      <c r="B35" s="269" t="s">
        <v>497</v>
      </c>
      <c r="C35" s="154"/>
      <c r="D35" s="80"/>
      <c r="E35" s="154"/>
      <c r="F35" s="626">
        <f t="shared" si="2"/>
        <v>0</v>
      </c>
      <c r="G35" s="85"/>
      <c r="H35" s="625">
        <v>0</v>
      </c>
      <c r="I35" s="85"/>
      <c r="J35" s="625">
        <v>0</v>
      </c>
      <c r="K35" s="85"/>
      <c r="L35" s="625">
        <v>0</v>
      </c>
      <c r="M35" s="85"/>
      <c r="N35" s="625">
        <v>0</v>
      </c>
      <c r="O35" s="85"/>
      <c r="P35" s="625">
        <v>0</v>
      </c>
      <c r="Q35" s="85"/>
      <c r="R35" s="625">
        <v>0</v>
      </c>
      <c r="S35" s="85"/>
      <c r="T35" s="625">
        <v>0</v>
      </c>
      <c r="U35" s="85"/>
      <c r="V35" s="625">
        <v>0</v>
      </c>
      <c r="W35" s="85"/>
      <c r="X35" s="625">
        <v>0</v>
      </c>
      <c r="Y35" s="85"/>
      <c r="Z35" s="625">
        <v>0</v>
      </c>
      <c r="AA35" s="85"/>
      <c r="AB35" s="625">
        <v>0</v>
      </c>
      <c r="AC35" s="85"/>
      <c r="AD35" s="625">
        <v>0</v>
      </c>
      <c r="AE35" s="85"/>
      <c r="AF35" s="625">
        <v>0</v>
      </c>
      <c r="AG35" s="85"/>
      <c r="AH35" s="625">
        <v>0</v>
      </c>
      <c r="AI35" s="85"/>
      <c r="AJ35" s="625">
        <v>0</v>
      </c>
      <c r="AK35" s="85"/>
      <c r="AL35" s="625">
        <v>0</v>
      </c>
      <c r="AM35" s="85"/>
      <c r="AN35" s="625">
        <v>0</v>
      </c>
      <c r="AO35" s="85"/>
      <c r="AP35" s="625">
        <v>0</v>
      </c>
      <c r="AQ35" s="85"/>
      <c r="AR35" s="625">
        <v>0</v>
      </c>
      <c r="AS35" s="81"/>
      <c r="AT35" s="53"/>
      <c r="AU35" s="334" t="str">
        <f t="shared" si="3"/>
        <v>Complete</v>
      </c>
      <c r="AV35" s="53"/>
    </row>
    <row r="36" spans="1:48" ht="6" customHeight="1" x14ac:dyDescent="0.25">
      <c r="A36" s="53"/>
      <c r="B36" s="106"/>
      <c r="C36" s="80"/>
      <c r="D36" s="80"/>
      <c r="E36" s="80"/>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441"/>
      <c r="AG36" s="85"/>
      <c r="AH36" s="85"/>
      <c r="AI36" s="85"/>
      <c r="AJ36" s="85"/>
      <c r="AK36" s="85"/>
      <c r="AL36" s="85"/>
      <c r="AM36" s="85"/>
      <c r="AN36" s="85"/>
      <c r="AO36" s="85"/>
      <c r="AP36" s="85"/>
      <c r="AQ36" s="85"/>
      <c r="AR36" s="85"/>
      <c r="AS36" s="81"/>
      <c r="AT36" s="53"/>
      <c r="AU36" s="53"/>
      <c r="AV36" s="53"/>
    </row>
    <row r="37" spans="1:48" ht="15.75" x14ac:dyDescent="0.25">
      <c r="A37" s="53"/>
      <c r="B37" s="107" t="s">
        <v>499</v>
      </c>
      <c r="C37" s="654"/>
      <c r="D37" s="645"/>
      <c r="E37" s="655"/>
      <c r="F37" s="644"/>
      <c r="G37" s="656"/>
      <c r="H37" s="644" t="s">
        <v>467</v>
      </c>
      <c r="I37" s="644"/>
      <c r="J37" s="644" t="s">
        <v>468</v>
      </c>
      <c r="K37" s="644"/>
      <c r="L37" s="644" t="s">
        <v>469</v>
      </c>
      <c r="M37" s="644"/>
      <c r="N37" s="644" t="s">
        <v>470</v>
      </c>
      <c r="O37" s="644"/>
      <c r="P37" s="644" t="s">
        <v>471</v>
      </c>
      <c r="Q37" s="644"/>
      <c r="R37" s="644" t="s">
        <v>472</v>
      </c>
      <c r="S37" s="644"/>
      <c r="T37" s="644" t="s">
        <v>473</v>
      </c>
      <c r="U37" s="644"/>
      <c r="V37" s="644" t="s">
        <v>474</v>
      </c>
      <c r="W37" s="644"/>
      <c r="X37" s="644" t="s">
        <v>475</v>
      </c>
      <c r="Y37" s="644"/>
      <c r="Z37" s="644" t="s">
        <v>476</v>
      </c>
      <c r="AA37" s="644"/>
      <c r="AB37" s="644" t="s">
        <v>477</v>
      </c>
      <c r="AC37" s="644"/>
      <c r="AD37" s="644" t="s">
        <v>478</v>
      </c>
      <c r="AE37" s="644"/>
      <c r="AF37" s="644" t="s">
        <v>479</v>
      </c>
      <c r="AG37" s="644"/>
      <c r="AH37" s="644" t="s">
        <v>480</v>
      </c>
      <c r="AI37" s="644"/>
      <c r="AJ37" s="644" t="s">
        <v>481</v>
      </c>
      <c r="AK37" s="644"/>
      <c r="AL37" s="644" t="s">
        <v>482</v>
      </c>
      <c r="AM37" s="644"/>
      <c r="AN37" s="644" t="s">
        <v>483</v>
      </c>
      <c r="AO37" s="644"/>
      <c r="AP37" s="644" t="s">
        <v>484</v>
      </c>
      <c r="AQ37" s="644"/>
      <c r="AR37" s="644" t="s">
        <v>485</v>
      </c>
      <c r="AS37" s="646"/>
      <c r="AT37" s="53"/>
      <c r="AU37" s="66"/>
      <c r="AV37" s="53"/>
    </row>
    <row r="38" spans="1:48" ht="6" customHeight="1" x14ac:dyDescent="0.25">
      <c r="A38" s="53"/>
      <c r="B38" s="106"/>
      <c r="C38" s="80"/>
      <c r="D38" s="80"/>
      <c r="E38" s="80"/>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1"/>
      <c r="AT38" s="53"/>
      <c r="AU38" s="53"/>
      <c r="AV38" s="53"/>
    </row>
    <row r="39" spans="1:48" ht="15.75" customHeight="1" x14ac:dyDescent="0.25">
      <c r="A39" s="53"/>
      <c r="B39" s="269" t="s">
        <v>486</v>
      </c>
      <c r="C39" s="80"/>
      <c r="D39" s="659">
        <f t="shared" ref="D39:D50" si="4">IF(OR(F9+F24=0,SUM(H39:AR39)=0),1,SUM(H39:AR39)/((F9+F24)^2))</f>
        <v>1</v>
      </c>
      <c r="E39" s="80"/>
      <c r="F39" s="85"/>
      <c r="G39" s="85"/>
      <c r="H39" s="626">
        <f t="shared" ref="H39:H50" si="5">(H9+H24)^2</f>
        <v>0</v>
      </c>
      <c r="I39" s="85"/>
      <c r="J39" s="626">
        <f t="shared" ref="J39:J50" si="6">(J9+J24)^2</f>
        <v>0</v>
      </c>
      <c r="K39" s="85"/>
      <c r="L39" s="626">
        <f t="shared" ref="L39:L50" si="7">(L9+L24)^2</f>
        <v>0</v>
      </c>
      <c r="M39" s="85"/>
      <c r="N39" s="626">
        <f t="shared" ref="N39:N50" si="8">(N9+N24)^2</f>
        <v>0</v>
      </c>
      <c r="O39" s="85"/>
      <c r="P39" s="626">
        <f t="shared" ref="P39:P50" si="9">(P9+P24)^2</f>
        <v>0</v>
      </c>
      <c r="Q39" s="85"/>
      <c r="R39" s="626">
        <f t="shared" ref="R39:R50" si="10">(R9+R24)^2</f>
        <v>0</v>
      </c>
      <c r="S39" s="85"/>
      <c r="T39" s="626">
        <f t="shared" ref="T39:T50" si="11">(T9+T24)^2</f>
        <v>0</v>
      </c>
      <c r="U39" s="85"/>
      <c r="V39" s="626">
        <f t="shared" ref="V39:V50" si="12">(V9+V24)^2</f>
        <v>0</v>
      </c>
      <c r="W39" s="85"/>
      <c r="X39" s="626">
        <f t="shared" ref="X39:X50" si="13">(X9+X24)^2</f>
        <v>0</v>
      </c>
      <c r="Y39" s="85"/>
      <c r="Z39" s="626">
        <f t="shared" ref="Z39:Z50" si="14">(Z9+Z24)^2</f>
        <v>0</v>
      </c>
      <c r="AA39" s="85"/>
      <c r="AB39" s="626">
        <f t="shared" ref="AB39:AB50" si="15">(AB9+AB24)^2</f>
        <v>0</v>
      </c>
      <c r="AC39" s="85"/>
      <c r="AD39" s="626">
        <f t="shared" ref="AD39:AD50" si="16">(AD9+AD24)^2</f>
        <v>0</v>
      </c>
      <c r="AE39" s="85"/>
      <c r="AF39" s="626">
        <f t="shared" ref="AF39:AF50" si="17">(AF9+AF24)^2</f>
        <v>0</v>
      </c>
      <c r="AG39" s="85"/>
      <c r="AH39" s="626">
        <f t="shared" ref="AH39:AH50" si="18">(AH9+AH24)^2</f>
        <v>0</v>
      </c>
      <c r="AI39" s="85"/>
      <c r="AJ39" s="626">
        <f t="shared" ref="AJ39:AJ50" si="19">(AJ9+AJ24)^2</f>
        <v>0</v>
      </c>
      <c r="AK39" s="85"/>
      <c r="AL39" s="626">
        <f t="shared" ref="AL39:AL50" si="20">(AL9+AL24)^2</f>
        <v>0</v>
      </c>
      <c r="AM39" s="85"/>
      <c r="AN39" s="626">
        <f t="shared" ref="AN39:AN50" si="21">(AN9+AN24)^2</f>
        <v>0</v>
      </c>
      <c r="AO39" s="85"/>
      <c r="AP39" s="626">
        <f t="shared" ref="AP39:AP50" si="22">(AP9+AP24)^2</f>
        <v>0</v>
      </c>
      <c r="AQ39" s="85"/>
      <c r="AR39" s="626">
        <f t="shared" ref="AR39:AR50" si="23">(AR9+AR24)^2</f>
        <v>0</v>
      </c>
      <c r="AS39" s="81"/>
      <c r="AT39" s="53"/>
      <c r="AU39" s="66"/>
      <c r="AV39" s="53"/>
    </row>
    <row r="40" spans="1:48" ht="15.75" customHeight="1" x14ac:dyDescent="0.25">
      <c r="A40" s="53"/>
      <c r="B40" s="269" t="s">
        <v>487</v>
      </c>
      <c r="C40" s="80"/>
      <c r="D40" s="659">
        <f t="shared" si="4"/>
        <v>1</v>
      </c>
      <c r="E40" s="80"/>
      <c r="F40" s="85"/>
      <c r="G40" s="85"/>
      <c r="H40" s="626">
        <f t="shared" si="5"/>
        <v>0</v>
      </c>
      <c r="I40" s="85"/>
      <c r="J40" s="626">
        <f t="shared" si="6"/>
        <v>0</v>
      </c>
      <c r="K40" s="85"/>
      <c r="L40" s="626">
        <f t="shared" si="7"/>
        <v>0</v>
      </c>
      <c r="M40" s="85"/>
      <c r="N40" s="626">
        <f t="shared" si="8"/>
        <v>0</v>
      </c>
      <c r="O40" s="85"/>
      <c r="P40" s="626">
        <f t="shared" si="9"/>
        <v>0</v>
      </c>
      <c r="Q40" s="85"/>
      <c r="R40" s="626">
        <f t="shared" si="10"/>
        <v>0</v>
      </c>
      <c r="S40" s="85"/>
      <c r="T40" s="626">
        <f t="shared" si="11"/>
        <v>0</v>
      </c>
      <c r="U40" s="85"/>
      <c r="V40" s="626">
        <f t="shared" si="12"/>
        <v>0</v>
      </c>
      <c r="W40" s="85"/>
      <c r="X40" s="626">
        <f t="shared" si="13"/>
        <v>0</v>
      </c>
      <c r="Y40" s="85"/>
      <c r="Z40" s="626">
        <f t="shared" si="14"/>
        <v>0</v>
      </c>
      <c r="AA40" s="85"/>
      <c r="AB40" s="626">
        <f t="shared" si="15"/>
        <v>0</v>
      </c>
      <c r="AC40" s="85"/>
      <c r="AD40" s="626">
        <f t="shared" si="16"/>
        <v>0</v>
      </c>
      <c r="AE40" s="85"/>
      <c r="AF40" s="626">
        <f t="shared" si="17"/>
        <v>0</v>
      </c>
      <c r="AG40" s="85"/>
      <c r="AH40" s="626">
        <f t="shared" si="18"/>
        <v>0</v>
      </c>
      <c r="AI40" s="85"/>
      <c r="AJ40" s="626">
        <f t="shared" si="19"/>
        <v>0</v>
      </c>
      <c r="AK40" s="85"/>
      <c r="AL40" s="626">
        <f t="shared" si="20"/>
        <v>0</v>
      </c>
      <c r="AM40" s="85"/>
      <c r="AN40" s="626">
        <f t="shared" si="21"/>
        <v>0</v>
      </c>
      <c r="AO40" s="85"/>
      <c r="AP40" s="626">
        <f t="shared" si="22"/>
        <v>0</v>
      </c>
      <c r="AQ40" s="85"/>
      <c r="AR40" s="626">
        <f t="shared" si="23"/>
        <v>0</v>
      </c>
      <c r="AS40" s="81"/>
      <c r="AT40" s="53"/>
      <c r="AU40" s="66"/>
      <c r="AV40" s="53"/>
    </row>
    <row r="41" spans="1:48" ht="15.75" customHeight="1" x14ac:dyDescent="0.25">
      <c r="A41" s="53"/>
      <c r="B41" s="269" t="s">
        <v>488</v>
      </c>
      <c r="C41" s="80"/>
      <c r="D41" s="659">
        <f t="shared" si="4"/>
        <v>1</v>
      </c>
      <c r="E41" s="80"/>
      <c r="F41" s="85"/>
      <c r="G41" s="85"/>
      <c r="H41" s="626">
        <f t="shared" si="5"/>
        <v>0</v>
      </c>
      <c r="I41" s="85"/>
      <c r="J41" s="626">
        <f t="shared" si="6"/>
        <v>0</v>
      </c>
      <c r="K41" s="85"/>
      <c r="L41" s="626">
        <f t="shared" si="7"/>
        <v>0</v>
      </c>
      <c r="M41" s="85"/>
      <c r="N41" s="626">
        <f t="shared" si="8"/>
        <v>0</v>
      </c>
      <c r="O41" s="85"/>
      <c r="P41" s="626">
        <f t="shared" si="9"/>
        <v>0</v>
      </c>
      <c r="Q41" s="85"/>
      <c r="R41" s="626">
        <f t="shared" si="10"/>
        <v>0</v>
      </c>
      <c r="S41" s="85"/>
      <c r="T41" s="626">
        <f t="shared" si="11"/>
        <v>0</v>
      </c>
      <c r="U41" s="85"/>
      <c r="V41" s="626">
        <f t="shared" si="12"/>
        <v>0</v>
      </c>
      <c r="W41" s="85"/>
      <c r="X41" s="626">
        <f t="shared" si="13"/>
        <v>0</v>
      </c>
      <c r="Y41" s="85"/>
      <c r="Z41" s="626">
        <f t="shared" si="14"/>
        <v>0</v>
      </c>
      <c r="AA41" s="85"/>
      <c r="AB41" s="626">
        <f t="shared" si="15"/>
        <v>0</v>
      </c>
      <c r="AC41" s="85"/>
      <c r="AD41" s="626">
        <f t="shared" si="16"/>
        <v>0</v>
      </c>
      <c r="AE41" s="85"/>
      <c r="AF41" s="626">
        <f t="shared" si="17"/>
        <v>0</v>
      </c>
      <c r="AG41" s="85"/>
      <c r="AH41" s="626">
        <f t="shared" si="18"/>
        <v>0</v>
      </c>
      <c r="AI41" s="85"/>
      <c r="AJ41" s="626">
        <f t="shared" si="19"/>
        <v>0</v>
      </c>
      <c r="AK41" s="85"/>
      <c r="AL41" s="626">
        <f t="shared" si="20"/>
        <v>0</v>
      </c>
      <c r="AM41" s="85"/>
      <c r="AN41" s="626">
        <f t="shared" si="21"/>
        <v>0</v>
      </c>
      <c r="AO41" s="85"/>
      <c r="AP41" s="626">
        <f t="shared" si="22"/>
        <v>0</v>
      </c>
      <c r="AQ41" s="85"/>
      <c r="AR41" s="626">
        <f t="shared" si="23"/>
        <v>0</v>
      </c>
      <c r="AS41" s="81"/>
      <c r="AT41" s="53"/>
      <c r="AU41" s="66"/>
      <c r="AV41" s="53"/>
    </row>
    <row r="42" spans="1:48" ht="15.75" customHeight="1" x14ac:dyDescent="0.25">
      <c r="A42" s="53"/>
      <c r="B42" s="269" t="s">
        <v>489</v>
      </c>
      <c r="C42" s="80"/>
      <c r="D42" s="659">
        <f t="shared" si="4"/>
        <v>1</v>
      </c>
      <c r="E42" s="80"/>
      <c r="F42" s="85"/>
      <c r="G42" s="85"/>
      <c r="H42" s="626">
        <f t="shared" si="5"/>
        <v>0</v>
      </c>
      <c r="I42" s="85"/>
      <c r="J42" s="626">
        <f t="shared" si="6"/>
        <v>0</v>
      </c>
      <c r="K42" s="85"/>
      <c r="L42" s="626">
        <f t="shared" si="7"/>
        <v>0</v>
      </c>
      <c r="M42" s="85"/>
      <c r="N42" s="626">
        <f t="shared" si="8"/>
        <v>0</v>
      </c>
      <c r="O42" s="85"/>
      <c r="P42" s="626">
        <f t="shared" si="9"/>
        <v>0</v>
      </c>
      <c r="Q42" s="85"/>
      <c r="R42" s="626">
        <f t="shared" si="10"/>
        <v>0</v>
      </c>
      <c r="S42" s="85"/>
      <c r="T42" s="626">
        <f t="shared" si="11"/>
        <v>0</v>
      </c>
      <c r="U42" s="85"/>
      <c r="V42" s="626">
        <f t="shared" si="12"/>
        <v>0</v>
      </c>
      <c r="W42" s="85"/>
      <c r="X42" s="626">
        <f t="shared" si="13"/>
        <v>0</v>
      </c>
      <c r="Y42" s="85"/>
      <c r="Z42" s="626">
        <f t="shared" si="14"/>
        <v>0</v>
      </c>
      <c r="AA42" s="85"/>
      <c r="AB42" s="626">
        <f t="shared" si="15"/>
        <v>0</v>
      </c>
      <c r="AC42" s="85"/>
      <c r="AD42" s="626">
        <f t="shared" si="16"/>
        <v>0</v>
      </c>
      <c r="AE42" s="85"/>
      <c r="AF42" s="626">
        <f t="shared" si="17"/>
        <v>0</v>
      </c>
      <c r="AG42" s="85"/>
      <c r="AH42" s="626">
        <f t="shared" si="18"/>
        <v>0</v>
      </c>
      <c r="AI42" s="85"/>
      <c r="AJ42" s="626">
        <f t="shared" si="19"/>
        <v>0</v>
      </c>
      <c r="AK42" s="85"/>
      <c r="AL42" s="626">
        <f t="shared" si="20"/>
        <v>0</v>
      </c>
      <c r="AM42" s="85"/>
      <c r="AN42" s="626">
        <f t="shared" si="21"/>
        <v>0</v>
      </c>
      <c r="AO42" s="85"/>
      <c r="AP42" s="626">
        <f t="shared" si="22"/>
        <v>0</v>
      </c>
      <c r="AQ42" s="85"/>
      <c r="AR42" s="626">
        <f t="shared" si="23"/>
        <v>0</v>
      </c>
      <c r="AS42" s="81"/>
      <c r="AT42" s="53"/>
      <c r="AU42" s="66"/>
      <c r="AV42" s="53"/>
    </row>
    <row r="43" spans="1:48" ht="15.75" customHeight="1" x14ac:dyDescent="0.25">
      <c r="A43" s="53"/>
      <c r="B43" s="269" t="s">
        <v>490</v>
      </c>
      <c r="C43" s="80"/>
      <c r="D43" s="659">
        <f t="shared" si="4"/>
        <v>1</v>
      </c>
      <c r="E43" s="80"/>
      <c r="F43" s="85"/>
      <c r="G43" s="85"/>
      <c r="H43" s="626">
        <f t="shared" si="5"/>
        <v>0</v>
      </c>
      <c r="I43" s="85"/>
      <c r="J43" s="626">
        <f t="shared" si="6"/>
        <v>0</v>
      </c>
      <c r="K43" s="85"/>
      <c r="L43" s="626">
        <f t="shared" si="7"/>
        <v>0</v>
      </c>
      <c r="M43" s="85"/>
      <c r="N43" s="626">
        <f t="shared" si="8"/>
        <v>0</v>
      </c>
      <c r="O43" s="85"/>
      <c r="P43" s="626">
        <f t="shared" si="9"/>
        <v>0</v>
      </c>
      <c r="Q43" s="85"/>
      <c r="R43" s="626">
        <f t="shared" si="10"/>
        <v>0</v>
      </c>
      <c r="S43" s="85"/>
      <c r="T43" s="626">
        <f t="shared" si="11"/>
        <v>0</v>
      </c>
      <c r="U43" s="85"/>
      <c r="V43" s="626">
        <f t="shared" si="12"/>
        <v>0</v>
      </c>
      <c r="W43" s="85"/>
      <c r="X43" s="626">
        <f t="shared" si="13"/>
        <v>0</v>
      </c>
      <c r="Y43" s="85"/>
      <c r="Z43" s="626">
        <f t="shared" si="14"/>
        <v>0</v>
      </c>
      <c r="AA43" s="85"/>
      <c r="AB43" s="626">
        <f t="shared" si="15"/>
        <v>0</v>
      </c>
      <c r="AC43" s="85"/>
      <c r="AD43" s="626">
        <f t="shared" si="16"/>
        <v>0</v>
      </c>
      <c r="AE43" s="85"/>
      <c r="AF43" s="626">
        <f t="shared" si="17"/>
        <v>0</v>
      </c>
      <c r="AG43" s="85"/>
      <c r="AH43" s="626">
        <f t="shared" si="18"/>
        <v>0</v>
      </c>
      <c r="AI43" s="85"/>
      <c r="AJ43" s="626">
        <f t="shared" si="19"/>
        <v>0</v>
      </c>
      <c r="AK43" s="85"/>
      <c r="AL43" s="626">
        <f t="shared" si="20"/>
        <v>0</v>
      </c>
      <c r="AM43" s="85"/>
      <c r="AN43" s="626">
        <f t="shared" si="21"/>
        <v>0</v>
      </c>
      <c r="AO43" s="85"/>
      <c r="AP43" s="626">
        <f t="shared" si="22"/>
        <v>0</v>
      </c>
      <c r="AQ43" s="85"/>
      <c r="AR43" s="626">
        <f t="shared" si="23"/>
        <v>0</v>
      </c>
      <c r="AS43" s="81"/>
      <c r="AT43" s="53"/>
      <c r="AU43" s="66"/>
      <c r="AV43" s="53"/>
    </row>
    <row r="44" spans="1:48" ht="15.75" customHeight="1" x14ac:dyDescent="0.25">
      <c r="A44" s="53"/>
      <c r="B44" s="269" t="s">
        <v>491</v>
      </c>
      <c r="C44" s="80"/>
      <c r="D44" s="660">
        <f t="shared" si="4"/>
        <v>1</v>
      </c>
      <c r="E44" s="80"/>
      <c r="F44" s="85"/>
      <c r="G44" s="85"/>
      <c r="H44" s="637">
        <f t="shared" si="5"/>
        <v>0</v>
      </c>
      <c r="I44" s="85"/>
      <c r="J44" s="637">
        <f t="shared" si="6"/>
        <v>0</v>
      </c>
      <c r="K44" s="85"/>
      <c r="L44" s="637">
        <f t="shared" si="7"/>
        <v>0</v>
      </c>
      <c r="M44" s="85"/>
      <c r="N44" s="637">
        <f t="shared" si="8"/>
        <v>0</v>
      </c>
      <c r="O44" s="85"/>
      <c r="P44" s="637">
        <f t="shared" si="9"/>
        <v>0</v>
      </c>
      <c r="Q44" s="85"/>
      <c r="R44" s="637">
        <f t="shared" si="10"/>
        <v>0</v>
      </c>
      <c r="S44" s="85"/>
      <c r="T44" s="637">
        <f t="shared" si="11"/>
        <v>0</v>
      </c>
      <c r="U44" s="85"/>
      <c r="V44" s="637">
        <f t="shared" si="12"/>
        <v>0</v>
      </c>
      <c r="W44" s="85"/>
      <c r="X44" s="637">
        <f t="shared" si="13"/>
        <v>0</v>
      </c>
      <c r="Y44" s="85"/>
      <c r="Z44" s="637">
        <f t="shared" si="14"/>
        <v>0</v>
      </c>
      <c r="AA44" s="85"/>
      <c r="AB44" s="637">
        <f t="shared" si="15"/>
        <v>0</v>
      </c>
      <c r="AC44" s="85"/>
      <c r="AD44" s="637">
        <f t="shared" si="16"/>
        <v>0</v>
      </c>
      <c r="AE44" s="85"/>
      <c r="AF44" s="637">
        <f t="shared" si="17"/>
        <v>0</v>
      </c>
      <c r="AG44" s="85"/>
      <c r="AH44" s="637">
        <f t="shared" si="18"/>
        <v>0</v>
      </c>
      <c r="AI44" s="85"/>
      <c r="AJ44" s="637">
        <f t="shared" si="19"/>
        <v>0</v>
      </c>
      <c r="AK44" s="85"/>
      <c r="AL44" s="637">
        <f t="shared" si="20"/>
        <v>0</v>
      </c>
      <c r="AM44" s="85"/>
      <c r="AN44" s="637">
        <f t="shared" si="21"/>
        <v>0</v>
      </c>
      <c r="AO44" s="85"/>
      <c r="AP44" s="637">
        <f t="shared" si="22"/>
        <v>0</v>
      </c>
      <c r="AQ44" s="85"/>
      <c r="AR44" s="637">
        <f t="shared" si="23"/>
        <v>0</v>
      </c>
      <c r="AS44" s="81"/>
      <c r="AT44" s="53"/>
      <c r="AU44" s="66"/>
      <c r="AV44" s="53"/>
    </row>
    <row r="45" spans="1:48" ht="15.75" customHeight="1" x14ac:dyDescent="0.25">
      <c r="A45" s="53"/>
      <c r="B45" s="269" t="s">
        <v>492</v>
      </c>
      <c r="C45" s="80"/>
      <c r="D45" s="659">
        <f t="shared" si="4"/>
        <v>1</v>
      </c>
      <c r="E45" s="80"/>
      <c r="F45" s="85"/>
      <c r="G45" s="85"/>
      <c r="H45" s="626">
        <f t="shared" si="5"/>
        <v>0</v>
      </c>
      <c r="I45" s="85"/>
      <c r="J45" s="626">
        <f t="shared" si="6"/>
        <v>0</v>
      </c>
      <c r="K45" s="85"/>
      <c r="L45" s="626">
        <f t="shared" si="7"/>
        <v>0</v>
      </c>
      <c r="M45" s="85"/>
      <c r="N45" s="626">
        <f t="shared" si="8"/>
        <v>0</v>
      </c>
      <c r="O45" s="85"/>
      <c r="P45" s="626">
        <f t="shared" si="9"/>
        <v>0</v>
      </c>
      <c r="Q45" s="85"/>
      <c r="R45" s="626">
        <f t="shared" si="10"/>
        <v>0</v>
      </c>
      <c r="S45" s="85"/>
      <c r="T45" s="626">
        <f t="shared" si="11"/>
        <v>0</v>
      </c>
      <c r="U45" s="85"/>
      <c r="V45" s="626">
        <f t="shared" si="12"/>
        <v>0</v>
      </c>
      <c r="W45" s="85"/>
      <c r="X45" s="626">
        <f t="shared" si="13"/>
        <v>0</v>
      </c>
      <c r="Y45" s="85"/>
      <c r="Z45" s="626">
        <f t="shared" si="14"/>
        <v>0</v>
      </c>
      <c r="AA45" s="85"/>
      <c r="AB45" s="626">
        <f t="shared" si="15"/>
        <v>0</v>
      </c>
      <c r="AC45" s="85"/>
      <c r="AD45" s="626">
        <f t="shared" si="16"/>
        <v>0</v>
      </c>
      <c r="AE45" s="85"/>
      <c r="AF45" s="626">
        <f t="shared" si="17"/>
        <v>0</v>
      </c>
      <c r="AG45" s="85"/>
      <c r="AH45" s="626">
        <f t="shared" si="18"/>
        <v>0</v>
      </c>
      <c r="AI45" s="85"/>
      <c r="AJ45" s="626">
        <f t="shared" si="19"/>
        <v>0</v>
      </c>
      <c r="AK45" s="85"/>
      <c r="AL45" s="626">
        <f t="shared" si="20"/>
        <v>0</v>
      </c>
      <c r="AM45" s="85"/>
      <c r="AN45" s="626">
        <f t="shared" si="21"/>
        <v>0</v>
      </c>
      <c r="AO45" s="85"/>
      <c r="AP45" s="626">
        <f t="shared" si="22"/>
        <v>0</v>
      </c>
      <c r="AQ45" s="85"/>
      <c r="AR45" s="626">
        <f t="shared" si="23"/>
        <v>0</v>
      </c>
      <c r="AS45" s="81"/>
      <c r="AT45" s="53"/>
      <c r="AU45" s="66"/>
      <c r="AV45" s="53"/>
    </row>
    <row r="46" spans="1:48" ht="15.75" customHeight="1" x14ac:dyDescent="0.25">
      <c r="A46" s="53"/>
      <c r="B46" s="269" t="s">
        <v>493</v>
      </c>
      <c r="C46" s="80"/>
      <c r="D46" s="659">
        <f t="shared" si="4"/>
        <v>1</v>
      </c>
      <c r="E46" s="80"/>
      <c r="F46" s="85"/>
      <c r="G46" s="85"/>
      <c r="H46" s="626">
        <f t="shared" si="5"/>
        <v>0</v>
      </c>
      <c r="I46" s="85"/>
      <c r="J46" s="626">
        <f t="shared" si="6"/>
        <v>0</v>
      </c>
      <c r="K46" s="85"/>
      <c r="L46" s="626">
        <f t="shared" si="7"/>
        <v>0</v>
      </c>
      <c r="M46" s="85"/>
      <c r="N46" s="626">
        <f t="shared" si="8"/>
        <v>0</v>
      </c>
      <c r="O46" s="85"/>
      <c r="P46" s="626">
        <f t="shared" si="9"/>
        <v>0</v>
      </c>
      <c r="Q46" s="85"/>
      <c r="R46" s="626">
        <f t="shared" si="10"/>
        <v>0</v>
      </c>
      <c r="S46" s="85"/>
      <c r="T46" s="626">
        <f t="shared" si="11"/>
        <v>0</v>
      </c>
      <c r="U46" s="85"/>
      <c r="V46" s="626">
        <f t="shared" si="12"/>
        <v>0</v>
      </c>
      <c r="W46" s="85"/>
      <c r="X46" s="626">
        <f t="shared" si="13"/>
        <v>0</v>
      </c>
      <c r="Y46" s="85"/>
      <c r="Z46" s="626">
        <f t="shared" si="14"/>
        <v>0</v>
      </c>
      <c r="AA46" s="85"/>
      <c r="AB46" s="626">
        <f t="shared" si="15"/>
        <v>0</v>
      </c>
      <c r="AC46" s="85"/>
      <c r="AD46" s="626">
        <f t="shared" si="16"/>
        <v>0</v>
      </c>
      <c r="AE46" s="85"/>
      <c r="AF46" s="626">
        <f t="shared" si="17"/>
        <v>0</v>
      </c>
      <c r="AG46" s="85"/>
      <c r="AH46" s="626">
        <f t="shared" si="18"/>
        <v>0</v>
      </c>
      <c r="AI46" s="85"/>
      <c r="AJ46" s="626">
        <f t="shared" si="19"/>
        <v>0</v>
      </c>
      <c r="AK46" s="85"/>
      <c r="AL46" s="626">
        <f t="shared" si="20"/>
        <v>0</v>
      </c>
      <c r="AM46" s="85"/>
      <c r="AN46" s="626">
        <f t="shared" si="21"/>
        <v>0</v>
      </c>
      <c r="AO46" s="85"/>
      <c r="AP46" s="626">
        <f t="shared" si="22"/>
        <v>0</v>
      </c>
      <c r="AQ46" s="85"/>
      <c r="AR46" s="626">
        <f t="shared" si="23"/>
        <v>0</v>
      </c>
      <c r="AS46" s="81"/>
      <c r="AT46" s="53"/>
      <c r="AU46" s="66"/>
      <c r="AV46" s="53"/>
    </row>
    <row r="47" spans="1:48" ht="15.75" customHeight="1" x14ac:dyDescent="0.25">
      <c r="A47" s="53"/>
      <c r="B47" s="269" t="s">
        <v>494</v>
      </c>
      <c r="C47" s="80"/>
      <c r="D47" s="659">
        <f t="shared" si="4"/>
        <v>1</v>
      </c>
      <c r="E47" s="80"/>
      <c r="F47" s="85"/>
      <c r="G47" s="85"/>
      <c r="H47" s="626">
        <f t="shared" si="5"/>
        <v>0</v>
      </c>
      <c r="I47" s="85"/>
      <c r="J47" s="626">
        <f t="shared" si="6"/>
        <v>0</v>
      </c>
      <c r="K47" s="85"/>
      <c r="L47" s="626">
        <f t="shared" si="7"/>
        <v>0</v>
      </c>
      <c r="M47" s="85"/>
      <c r="N47" s="626">
        <f t="shared" si="8"/>
        <v>0</v>
      </c>
      <c r="O47" s="85"/>
      <c r="P47" s="626">
        <f t="shared" si="9"/>
        <v>0</v>
      </c>
      <c r="Q47" s="85"/>
      <c r="R47" s="626">
        <f t="shared" si="10"/>
        <v>0</v>
      </c>
      <c r="S47" s="85"/>
      <c r="T47" s="626">
        <f t="shared" si="11"/>
        <v>0</v>
      </c>
      <c r="U47" s="85"/>
      <c r="V47" s="626">
        <f t="shared" si="12"/>
        <v>0</v>
      </c>
      <c r="W47" s="85"/>
      <c r="X47" s="626">
        <f t="shared" si="13"/>
        <v>0</v>
      </c>
      <c r="Y47" s="85"/>
      <c r="Z47" s="626">
        <f t="shared" si="14"/>
        <v>0</v>
      </c>
      <c r="AA47" s="85"/>
      <c r="AB47" s="626">
        <f t="shared" si="15"/>
        <v>0</v>
      </c>
      <c r="AC47" s="85"/>
      <c r="AD47" s="626">
        <f t="shared" si="16"/>
        <v>0</v>
      </c>
      <c r="AE47" s="85"/>
      <c r="AF47" s="626">
        <f t="shared" si="17"/>
        <v>0</v>
      </c>
      <c r="AG47" s="85"/>
      <c r="AH47" s="626">
        <f t="shared" si="18"/>
        <v>0</v>
      </c>
      <c r="AI47" s="85"/>
      <c r="AJ47" s="626">
        <f t="shared" si="19"/>
        <v>0</v>
      </c>
      <c r="AK47" s="85"/>
      <c r="AL47" s="626">
        <f t="shared" si="20"/>
        <v>0</v>
      </c>
      <c r="AM47" s="85"/>
      <c r="AN47" s="626">
        <f t="shared" si="21"/>
        <v>0</v>
      </c>
      <c r="AO47" s="85"/>
      <c r="AP47" s="626">
        <f t="shared" si="22"/>
        <v>0</v>
      </c>
      <c r="AQ47" s="85"/>
      <c r="AR47" s="626">
        <f t="shared" si="23"/>
        <v>0</v>
      </c>
      <c r="AS47" s="81"/>
      <c r="AT47" s="53"/>
      <c r="AU47" s="66"/>
      <c r="AV47" s="53"/>
    </row>
    <row r="48" spans="1:48" ht="15.75" customHeight="1" x14ac:dyDescent="0.25">
      <c r="A48" s="53"/>
      <c r="B48" s="269" t="s">
        <v>495</v>
      </c>
      <c r="C48" s="80"/>
      <c r="D48" s="660">
        <f t="shared" si="4"/>
        <v>1</v>
      </c>
      <c r="E48" s="80"/>
      <c r="F48" s="85"/>
      <c r="G48" s="85"/>
      <c r="H48" s="637">
        <f t="shared" si="5"/>
        <v>0</v>
      </c>
      <c r="I48" s="85"/>
      <c r="J48" s="637">
        <f t="shared" si="6"/>
        <v>0</v>
      </c>
      <c r="K48" s="85"/>
      <c r="L48" s="637">
        <f t="shared" si="7"/>
        <v>0</v>
      </c>
      <c r="M48" s="85"/>
      <c r="N48" s="637">
        <f t="shared" si="8"/>
        <v>0</v>
      </c>
      <c r="O48" s="85"/>
      <c r="P48" s="637">
        <f t="shared" si="9"/>
        <v>0</v>
      </c>
      <c r="Q48" s="85"/>
      <c r="R48" s="637">
        <f t="shared" si="10"/>
        <v>0</v>
      </c>
      <c r="S48" s="85"/>
      <c r="T48" s="637">
        <f t="shared" si="11"/>
        <v>0</v>
      </c>
      <c r="U48" s="85"/>
      <c r="V48" s="637">
        <f t="shared" si="12"/>
        <v>0</v>
      </c>
      <c r="W48" s="85"/>
      <c r="X48" s="637">
        <f t="shared" si="13"/>
        <v>0</v>
      </c>
      <c r="Y48" s="85"/>
      <c r="Z48" s="637">
        <f t="shared" si="14"/>
        <v>0</v>
      </c>
      <c r="AA48" s="85"/>
      <c r="AB48" s="637">
        <f t="shared" si="15"/>
        <v>0</v>
      </c>
      <c r="AC48" s="85"/>
      <c r="AD48" s="637">
        <f t="shared" si="16"/>
        <v>0</v>
      </c>
      <c r="AE48" s="85"/>
      <c r="AF48" s="637">
        <f t="shared" si="17"/>
        <v>0</v>
      </c>
      <c r="AG48" s="85"/>
      <c r="AH48" s="637">
        <f t="shared" si="18"/>
        <v>0</v>
      </c>
      <c r="AI48" s="85"/>
      <c r="AJ48" s="637">
        <f t="shared" si="19"/>
        <v>0</v>
      </c>
      <c r="AK48" s="85"/>
      <c r="AL48" s="637">
        <f t="shared" si="20"/>
        <v>0</v>
      </c>
      <c r="AM48" s="85"/>
      <c r="AN48" s="637">
        <f t="shared" si="21"/>
        <v>0</v>
      </c>
      <c r="AO48" s="85"/>
      <c r="AP48" s="637">
        <f t="shared" si="22"/>
        <v>0</v>
      </c>
      <c r="AQ48" s="85"/>
      <c r="AR48" s="637">
        <f t="shared" si="23"/>
        <v>0</v>
      </c>
      <c r="AS48" s="81"/>
      <c r="AT48" s="53"/>
      <c r="AU48" s="66"/>
      <c r="AV48" s="53"/>
    </row>
    <row r="49" spans="1:48" ht="15.75" customHeight="1" x14ac:dyDescent="0.25">
      <c r="A49" s="53"/>
      <c r="B49" s="269" t="s">
        <v>496</v>
      </c>
      <c r="C49" s="80"/>
      <c r="D49" s="660">
        <f t="shared" si="4"/>
        <v>1</v>
      </c>
      <c r="E49" s="80"/>
      <c r="F49" s="85"/>
      <c r="G49" s="85"/>
      <c r="H49" s="637">
        <f t="shared" si="5"/>
        <v>0</v>
      </c>
      <c r="I49" s="85"/>
      <c r="J49" s="637">
        <f t="shared" si="6"/>
        <v>0</v>
      </c>
      <c r="K49" s="85"/>
      <c r="L49" s="637">
        <f t="shared" si="7"/>
        <v>0</v>
      </c>
      <c r="M49" s="85"/>
      <c r="N49" s="637">
        <f t="shared" si="8"/>
        <v>0</v>
      </c>
      <c r="O49" s="85"/>
      <c r="P49" s="637">
        <f t="shared" si="9"/>
        <v>0</v>
      </c>
      <c r="Q49" s="85"/>
      <c r="R49" s="637">
        <f t="shared" si="10"/>
        <v>0</v>
      </c>
      <c r="S49" s="85"/>
      <c r="T49" s="637">
        <f t="shared" si="11"/>
        <v>0</v>
      </c>
      <c r="U49" s="85"/>
      <c r="V49" s="637">
        <f t="shared" si="12"/>
        <v>0</v>
      </c>
      <c r="W49" s="85"/>
      <c r="X49" s="637">
        <f t="shared" si="13"/>
        <v>0</v>
      </c>
      <c r="Y49" s="85"/>
      <c r="Z49" s="637">
        <f t="shared" si="14"/>
        <v>0</v>
      </c>
      <c r="AA49" s="85"/>
      <c r="AB49" s="637">
        <f t="shared" si="15"/>
        <v>0</v>
      </c>
      <c r="AC49" s="85"/>
      <c r="AD49" s="637">
        <f t="shared" si="16"/>
        <v>0</v>
      </c>
      <c r="AE49" s="85"/>
      <c r="AF49" s="637">
        <f t="shared" si="17"/>
        <v>0</v>
      </c>
      <c r="AG49" s="85"/>
      <c r="AH49" s="637">
        <f t="shared" si="18"/>
        <v>0</v>
      </c>
      <c r="AI49" s="85"/>
      <c r="AJ49" s="637">
        <f t="shared" si="19"/>
        <v>0</v>
      </c>
      <c r="AK49" s="85"/>
      <c r="AL49" s="637">
        <f t="shared" si="20"/>
        <v>0</v>
      </c>
      <c r="AM49" s="85"/>
      <c r="AN49" s="637">
        <f t="shared" si="21"/>
        <v>0</v>
      </c>
      <c r="AO49" s="85"/>
      <c r="AP49" s="637">
        <f t="shared" si="22"/>
        <v>0</v>
      </c>
      <c r="AQ49" s="85"/>
      <c r="AR49" s="637">
        <f t="shared" si="23"/>
        <v>0</v>
      </c>
      <c r="AS49" s="81"/>
      <c r="AT49" s="53"/>
      <c r="AU49" s="53"/>
      <c r="AV49" s="53"/>
    </row>
    <row r="50" spans="1:48" ht="15.75" customHeight="1" x14ac:dyDescent="0.25">
      <c r="A50" s="53"/>
      <c r="B50" s="269" t="s">
        <v>497</v>
      </c>
      <c r="C50" s="80"/>
      <c r="D50" s="660">
        <f t="shared" si="4"/>
        <v>1</v>
      </c>
      <c r="E50" s="80"/>
      <c r="F50" s="85"/>
      <c r="G50" s="85"/>
      <c r="H50" s="637">
        <f t="shared" si="5"/>
        <v>0</v>
      </c>
      <c r="I50" s="85"/>
      <c r="J50" s="637">
        <f t="shared" si="6"/>
        <v>0</v>
      </c>
      <c r="K50" s="85"/>
      <c r="L50" s="637">
        <f t="shared" si="7"/>
        <v>0</v>
      </c>
      <c r="M50" s="85"/>
      <c r="N50" s="637">
        <f t="shared" si="8"/>
        <v>0</v>
      </c>
      <c r="O50" s="85"/>
      <c r="P50" s="637">
        <f t="shared" si="9"/>
        <v>0</v>
      </c>
      <c r="Q50" s="85"/>
      <c r="R50" s="637">
        <f t="shared" si="10"/>
        <v>0</v>
      </c>
      <c r="S50" s="85"/>
      <c r="T50" s="637">
        <f t="shared" si="11"/>
        <v>0</v>
      </c>
      <c r="U50" s="85"/>
      <c r="V50" s="637">
        <f t="shared" si="12"/>
        <v>0</v>
      </c>
      <c r="W50" s="85"/>
      <c r="X50" s="637">
        <f t="shared" si="13"/>
        <v>0</v>
      </c>
      <c r="Y50" s="85"/>
      <c r="Z50" s="637">
        <f t="shared" si="14"/>
        <v>0</v>
      </c>
      <c r="AA50" s="85"/>
      <c r="AB50" s="637">
        <f t="shared" si="15"/>
        <v>0</v>
      </c>
      <c r="AC50" s="85"/>
      <c r="AD50" s="637">
        <f t="shared" si="16"/>
        <v>0</v>
      </c>
      <c r="AE50" s="85"/>
      <c r="AF50" s="637">
        <f t="shared" si="17"/>
        <v>0</v>
      </c>
      <c r="AG50" s="85"/>
      <c r="AH50" s="637">
        <f t="shared" si="18"/>
        <v>0</v>
      </c>
      <c r="AI50" s="85"/>
      <c r="AJ50" s="637">
        <f t="shared" si="19"/>
        <v>0</v>
      </c>
      <c r="AK50" s="85"/>
      <c r="AL50" s="637">
        <f t="shared" si="20"/>
        <v>0</v>
      </c>
      <c r="AM50" s="85"/>
      <c r="AN50" s="637">
        <f t="shared" si="21"/>
        <v>0</v>
      </c>
      <c r="AO50" s="85"/>
      <c r="AP50" s="637">
        <f t="shared" si="22"/>
        <v>0</v>
      </c>
      <c r="AQ50" s="85"/>
      <c r="AR50" s="637">
        <f t="shared" si="23"/>
        <v>0</v>
      </c>
      <c r="AS50" s="81"/>
      <c r="AT50" s="53"/>
      <c r="AU50" s="53"/>
      <c r="AV50" s="53"/>
    </row>
    <row r="51" spans="1:48" ht="6" customHeight="1" thickBot="1" x14ac:dyDescent="0.3">
      <c r="A51" s="53"/>
      <c r="B51" s="110"/>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4"/>
      <c r="AT51" s="53"/>
      <c r="AU51" s="53"/>
      <c r="AV51" s="53"/>
    </row>
    <row r="52" spans="1:48" ht="15.75"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row>
  </sheetData>
  <sheetProtection algorithmName="SHA-512" hashValue="G6UEcjkU0AAQ5NLXq7AC5K61GVDUJcpkO1QmXy7gajRv7VMV/eczwMxucs9+S88CWTojUhmbn7cCx/8T5wxtZw==" saltValue="mCfXLAtOHv3LvyZfUUmTHw==" spinCount="100000" sheet="1" objects="1" scenarios="1"/>
  <customSheetViews>
    <customSheetView guid="{5F9ED89D-ECFA-4459-A055-6360C65F3370}" scale="85" fitToPage="1" hiddenRows="1" hiddenColumns="1">
      <selection activeCell="F58" sqref="F58"/>
      <pageMargins left="0" right="0" top="0" bottom="0" header="0" footer="0"/>
      <pageSetup paperSize="9" scale="48" orientation="landscape" r:id="rId1"/>
      <headerFooter>
        <oddFooter>&amp;CDRAFT - FOR DISCUSSION PURPOSES ONLY</oddFooter>
      </headerFooter>
    </customSheetView>
  </customSheetViews>
  <conditionalFormatting sqref="AU1 AU3 AU5:AU8 AU21:AU23 AU36:AU52">
    <cfRule type="cellIs" dxfId="586" priority="11" operator="equal">
      <formula>"ZERO"</formula>
    </cfRule>
  </conditionalFormatting>
  <conditionalFormatting sqref="AU1:AU3">
    <cfRule type="cellIs" dxfId="585" priority="9" operator="equal">
      <formula>"OK"</formula>
    </cfRule>
    <cfRule type="cellIs" dxfId="584" priority="10" operator="equal">
      <formula>"ERROR"</formula>
    </cfRule>
  </conditionalFormatting>
  <conditionalFormatting sqref="AU4">
    <cfRule type="cellIs" dxfId="583" priority="7" operator="equal">
      <formula>"Complete"</formula>
    </cfRule>
    <cfRule type="cellIs" dxfId="582" priority="8" operator="equal">
      <formula>"Incomplete"</formula>
    </cfRule>
  </conditionalFormatting>
  <conditionalFormatting sqref="AU5:AU8 AU21:AU23 AU36:AU52">
    <cfRule type="cellIs" dxfId="581" priority="12" operator="equal">
      <formula>"OK"</formula>
    </cfRule>
    <cfRule type="cellIs" dxfId="580" priority="13" operator="equal">
      <formula>"ERROR"</formula>
    </cfRule>
  </conditionalFormatting>
  <conditionalFormatting sqref="AU9:AU20">
    <cfRule type="cellIs" dxfId="579" priority="3" operator="equal">
      <formula>"Complete"</formula>
    </cfRule>
    <cfRule type="cellIs" dxfId="578" priority="4" operator="equal">
      <formula>"Incomplete"</formula>
    </cfRule>
  </conditionalFormatting>
  <conditionalFormatting sqref="AU24:AU35">
    <cfRule type="cellIs" dxfId="577" priority="1" operator="equal">
      <formula>"Complete"</formula>
    </cfRule>
    <cfRule type="cellIs" dxfId="576" priority="2" operator="equal">
      <formula>"Incomplete"</formula>
    </cfRule>
  </conditionalFormatting>
  <dataValidations count="22">
    <dataValidation allowBlank="1" showInputMessage="1" showErrorMessage="1" promptTitle="Region 1" prompt="Northern Europe" sqref="H37 H7" xr:uid="{00000000-0002-0000-1200-000000000000}"/>
    <dataValidation allowBlank="1" showInputMessage="1" showErrorMessage="1" promptTitle="Region 2" prompt="Western Europe" sqref="J37 J7" xr:uid="{00000000-0002-0000-1200-000001000000}"/>
    <dataValidation allowBlank="1" showInputMessage="1" showErrorMessage="1" promptTitle="Region 3" prompt="Eastern Europe" sqref="L37 L7" xr:uid="{00000000-0002-0000-1200-000002000000}"/>
    <dataValidation allowBlank="1" showInputMessage="1" showErrorMessage="1" promptTitle="Region 4" prompt="Southern Europe" sqref="N37 N7" xr:uid="{00000000-0002-0000-1200-000003000000}"/>
    <dataValidation allowBlank="1" showInputMessage="1" showErrorMessage="1" promptTitle="Region 5" prompt="Central and Western Asia" sqref="P37 P7" xr:uid="{00000000-0002-0000-1200-000004000000}"/>
    <dataValidation allowBlank="1" showInputMessage="1" showErrorMessage="1" promptTitle="Region 6" prompt="Eastern Asia" sqref="R37 R7" xr:uid="{00000000-0002-0000-1200-000005000000}"/>
    <dataValidation allowBlank="1" showInputMessage="1" showErrorMessage="1" promptTitle="Region 7" prompt="South and South-Eastern Asia" sqref="T37 T7" xr:uid="{00000000-0002-0000-1200-000006000000}"/>
    <dataValidation allowBlank="1" showInputMessage="1" showErrorMessage="1" promptTitle="Region 8" prompt="Oceania" sqref="V37 V7" xr:uid="{00000000-0002-0000-1200-000007000000}"/>
    <dataValidation allowBlank="1" showInputMessage="1" showErrorMessage="1" promptTitle="Region 9" prompt="Northern Africa" sqref="X37 X7" xr:uid="{00000000-0002-0000-1200-000008000000}"/>
    <dataValidation allowBlank="1" showInputMessage="1" showErrorMessage="1" promptTitle="Region 10" prompt="Southern Africa" sqref="Z37 Z7" xr:uid="{00000000-0002-0000-1200-000009000000}"/>
    <dataValidation allowBlank="1" showInputMessage="1" showErrorMessage="1" promptTitle="Region 11" prompt="Northern America excluding USA" sqref="AB37 AB7" xr:uid="{00000000-0002-0000-1200-00000A000000}"/>
    <dataValidation allowBlank="1" showInputMessage="1" showErrorMessage="1" promptTitle="Region 12" prompt="Caribbean and Central America" sqref="AD37 AD7" xr:uid="{00000000-0002-0000-1200-00000B000000}"/>
    <dataValidation allowBlank="1" showInputMessage="1" showErrorMessage="1" promptTitle="Region 13" prompt="Eastern South America" sqref="AF37 AF7" xr:uid="{00000000-0002-0000-1200-00000C000000}"/>
    <dataValidation allowBlank="1" showInputMessage="1" showErrorMessage="1" promptTitle="Region 14" prompt="Northern, Southern and Western South America" sqref="AH37 AH7" xr:uid="{00000000-0002-0000-1200-00000D000000}"/>
    <dataValidation allowBlank="1" showInputMessage="1" showErrorMessage="1" promptTitle="Region 15" prompt="North-east USA" sqref="AJ37 AJ7" xr:uid="{00000000-0002-0000-1200-00000E000000}"/>
    <dataValidation allowBlank="1" showInputMessage="1" showErrorMessage="1" promptTitle="Region 16" prompt="South-east USA" sqref="AL37 AL7" xr:uid="{00000000-0002-0000-1200-00000F000000}"/>
    <dataValidation allowBlank="1" showInputMessage="1" showErrorMessage="1" promptTitle="Region 17" prompt="Mid-west USA" sqref="AN37:AO37 AN7:AO7" xr:uid="{00000000-0002-0000-1200-000010000000}"/>
    <dataValidation allowBlank="1" showInputMessage="1" showErrorMessage="1" promptTitle="Region 18" prompt="Western USA" sqref="AP37 AP7" xr:uid="{00000000-0002-0000-1200-000011000000}"/>
    <dataValidation allowBlank="1" showInputMessage="1" showErrorMessage="1" promptTitle="Region 19" prompt="Unallocated Region_x000a__x000a_Not directly allocated to region 1 to 18. Please be careful not to include business in any region which belongs to one of the other columns" sqref="AR37 AR7" xr:uid="{00000000-0002-0000-1200-000012000000}"/>
    <dataValidation allowBlank="1" showInputMessage="1" showErrorMessage="1" prompt="The volume measure for premium risk for the relevant line of business but taking into account only (re)insurance obligations where the underlying risk is situated in the geographical segment, j." sqref="B7" xr:uid="{00000000-0002-0000-1200-000013000000}"/>
    <dataValidation allowBlank="1" showInputMessage="1" showErrorMessage="1" prompt="The volume measure for reserve risk  for the relevant line of business but taking into account only (re)insurance obligations where the underlying risk is situated in the geographical segment, j" sqref="B22" xr:uid="{00000000-0002-0000-1200-000014000000}"/>
    <dataValidation allowBlank="1" showErrorMessage="1" promptTitle="Div(s)" prompt="The diversification benefit between geographical regions for the overall volume measure of each region." sqref="D37 B37" xr:uid="{00000000-0002-0000-1200-000015000000}"/>
  </dataValidations>
  <pageMargins left="0.70866141732283472" right="0.70866141732283472" top="0.74803149606299213" bottom="0.74803149606299213" header="0.31496062992125984" footer="0.31496062992125984"/>
  <pageSetup paperSize="9" scale="47" orientation="landscape" r:id="rId2"/>
  <headerFooter>
    <oddFooter>&amp;CDRAFT - FOR DISCUSSION PURPOSES ONLY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rgb="FFFF99FF"/>
  </sheetPr>
  <dimension ref="A1:U30"/>
  <sheetViews>
    <sheetView workbookViewId="0">
      <selection activeCell="B16" sqref="B16"/>
    </sheetView>
  </sheetViews>
  <sheetFormatPr defaultColWidth="0" defaultRowHeight="14.25" zeroHeight="1" x14ac:dyDescent="0.2"/>
  <cols>
    <col min="1" max="1" width="9" customWidth="1"/>
    <col min="2" max="2" width="47.25" customWidth="1"/>
    <col min="3" max="3" width="2.5" customWidth="1"/>
    <col min="4" max="4" width="24.25" customWidth="1"/>
    <col min="5" max="5" width="3" customWidth="1"/>
    <col min="6" max="6" width="64" customWidth="1"/>
    <col min="7" max="7" width="2" customWidth="1"/>
    <col min="8" max="8" width="61.625" customWidth="1"/>
    <col min="9" max="9" width="9" customWidth="1"/>
    <col min="10" max="21" width="9" hidden="1"/>
  </cols>
  <sheetData>
    <row r="1" spans="1:9" x14ac:dyDescent="0.2">
      <c r="A1" s="795"/>
      <c r="B1" s="795" t="s">
        <v>1133</v>
      </c>
      <c r="C1" s="795"/>
      <c r="D1" s="796">
        <v>45464</v>
      </c>
      <c r="E1" s="7"/>
      <c r="F1" s="7"/>
      <c r="G1" s="7"/>
      <c r="H1" s="7"/>
      <c r="I1" s="7"/>
    </row>
    <row r="2" spans="1:9" x14ac:dyDescent="0.2">
      <c r="A2" s="795"/>
      <c r="B2" s="795" t="s">
        <v>1139</v>
      </c>
      <c r="C2" s="795"/>
      <c r="D2" s="795" t="str">
        <f>'Participant Information'!E10</f>
        <v>V0.05</v>
      </c>
      <c r="E2" s="7"/>
      <c r="F2" s="7"/>
      <c r="G2" s="7"/>
      <c r="H2" s="7"/>
      <c r="I2" s="7"/>
    </row>
    <row r="3" spans="1:9" x14ac:dyDescent="0.2">
      <c r="A3" s="7"/>
      <c r="B3" s="776"/>
      <c r="C3" s="776"/>
      <c r="D3" s="776"/>
      <c r="E3" s="776"/>
      <c r="F3" s="7"/>
      <c r="G3" s="7"/>
      <c r="H3" s="7"/>
      <c r="I3" s="7"/>
    </row>
    <row r="4" spans="1:9" x14ac:dyDescent="0.2">
      <c r="A4" s="778"/>
      <c r="B4" s="777" t="s">
        <v>1125</v>
      </c>
      <c r="C4" s="777"/>
      <c r="D4" s="777" t="s">
        <v>1126</v>
      </c>
      <c r="E4" s="777"/>
      <c r="F4" s="777" t="s">
        <v>1127</v>
      </c>
      <c r="G4" s="777"/>
      <c r="H4" s="777" t="s">
        <v>1128</v>
      </c>
      <c r="I4" s="778"/>
    </row>
    <row r="5" spans="1:9" ht="71.25" x14ac:dyDescent="0.2">
      <c r="A5" s="7"/>
      <c r="B5" s="799">
        <v>45477</v>
      </c>
      <c r="C5" s="779"/>
      <c r="D5" s="797">
        <v>1</v>
      </c>
      <c r="E5" s="779"/>
      <c r="F5" s="798" t="s">
        <v>1134</v>
      </c>
      <c r="G5" s="780"/>
      <c r="H5" s="798" t="s">
        <v>1135</v>
      </c>
      <c r="I5" s="7"/>
    </row>
    <row r="6" spans="1:9" ht="57" x14ac:dyDescent="0.2">
      <c r="A6" s="7"/>
      <c r="B6" s="800">
        <v>45523</v>
      </c>
      <c r="C6" s="780"/>
      <c r="D6" s="780">
        <v>2</v>
      </c>
      <c r="E6" s="780"/>
      <c r="F6" s="798" t="s">
        <v>1136</v>
      </c>
      <c r="G6" s="780"/>
      <c r="H6" s="801" t="s">
        <v>1137</v>
      </c>
      <c r="I6" s="7"/>
    </row>
    <row r="7" spans="1:9" ht="85.5" x14ac:dyDescent="0.2">
      <c r="A7" s="7"/>
      <c r="B7" s="800">
        <v>45604</v>
      </c>
      <c r="C7" s="780"/>
      <c r="D7" s="780">
        <v>3</v>
      </c>
      <c r="E7" s="780"/>
      <c r="F7" s="798" t="s">
        <v>1140</v>
      </c>
      <c r="G7" s="780"/>
      <c r="H7" s="801" t="s">
        <v>1141</v>
      </c>
      <c r="I7" s="7"/>
    </row>
    <row r="8" spans="1:9" ht="28.5" x14ac:dyDescent="0.2">
      <c r="A8" s="7"/>
      <c r="B8" s="800">
        <v>45639</v>
      </c>
      <c r="C8" s="780"/>
      <c r="D8" s="780">
        <v>4</v>
      </c>
      <c r="E8" s="780"/>
      <c r="F8" s="798" t="s">
        <v>1142</v>
      </c>
      <c r="G8" s="780"/>
      <c r="H8" s="798" t="s">
        <v>1143</v>
      </c>
      <c r="I8" s="7"/>
    </row>
    <row r="9" spans="1:9" ht="42.75" x14ac:dyDescent="0.2">
      <c r="A9" s="7"/>
      <c r="B9" s="800">
        <v>45728</v>
      </c>
      <c r="C9" s="780"/>
      <c r="D9" s="780">
        <v>5</v>
      </c>
      <c r="E9" s="780"/>
      <c r="F9" s="798" t="s">
        <v>1145</v>
      </c>
      <c r="G9" s="780"/>
      <c r="H9" s="798" t="s">
        <v>1144</v>
      </c>
      <c r="I9" s="7"/>
    </row>
    <row r="10" spans="1:9" x14ac:dyDescent="0.2">
      <c r="A10" s="7"/>
      <c r="B10" s="780"/>
      <c r="C10" s="780"/>
      <c r="D10" s="780"/>
      <c r="E10" s="780"/>
      <c r="F10" s="780"/>
      <c r="G10" s="780"/>
      <c r="H10" s="780"/>
      <c r="I10" s="7"/>
    </row>
    <row r="11" spans="1:9" x14ac:dyDescent="0.2">
      <c r="A11" s="7"/>
      <c r="B11" s="780"/>
      <c r="C11" s="780"/>
      <c r="D11" s="780"/>
      <c r="E11" s="780"/>
      <c r="F11" s="780"/>
      <c r="G11" s="780"/>
      <c r="H11" s="780"/>
      <c r="I11" s="7"/>
    </row>
    <row r="12" spans="1:9" x14ac:dyDescent="0.2">
      <c r="A12" s="7"/>
      <c r="B12" s="781"/>
      <c r="C12" s="781"/>
      <c r="D12" s="781"/>
      <c r="E12" s="781"/>
      <c r="F12" s="780"/>
      <c r="G12" s="780"/>
      <c r="H12" s="780"/>
      <c r="I12" s="7"/>
    </row>
    <row r="13" spans="1:9" x14ac:dyDescent="0.2">
      <c r="A13" s="7"/>
      <c r="B13" s="780"/>
      <c r="C13" s="780"/>
      <c r="D13" s="780"/>
      <c r="E13" s="780"/>
      <c r="F13" s="780"/>
      <c r="G13" s="780"/>
      <c r="H13" s="780"/>
      <c r="I13" s="7"/>
    </row>
    <row r="14" spans="1:9" x14ac:dyDescent="0.2">
      <c r="A14" s="7"/>
      <c r="B14" s="779"/>
      <c r="C14" s="779"/>
      <c r="D14" s="779"/>
      <c r="E14" s="779"/>
      <c r="F14" s="780"/>
      <c r="G14" s="780"/>
      <c r="H14" s="780"/>
      <c r="I14" s="7"/>
    </row>
    <row r="15" spans="1:9" x14ac:dyDescent="0.2">
      <c r="A15" s="7"/>
      <c r="B15" s="780"/>
      <c r="C15" s="780"/>
      <c r="D15" s="780"/>
      <c r="E15" s="780"/>
      <c r="F15" s="780"/>
      <c r="G15" s="780"/>
      <c r="H15" s="780"/>
      <c r="I15" s="7"/>
    </row>
    <row r="16" spans="1:9" x14ac:dyDescent="0.2">
      <c r="A16" s="7"/>
      <c r="B16" s="780"/>
      <c r="C16" s="780"/>
      <c r="D16" s="780"/>
      <c r="E16" s="780"/>
      <c r="F16" s="780"/>
      <c r="G16" s="780"/>
      <c r="H16" s="780"/>
      <c r="I16" s="7"/>
    </row>
    <row r="17" spans="1:9" x14ac:dyDescent="0.2">
      <c r="A17" s="7"/>
      <c r="B17" s="780"/>
      <c r="C17" s="780"/>
      <c r="D17" s="780"/>
      <c r="E17" s="780"/>
      <c r="F17" s="780"/>
      <c r="G17" s="780"/>
      <c r="H17" s="780"/>
      <c r="I17" s="7"/>
    </row>
    <row r="18" spans="1:9" x14ac:dyDescent="0.2">
      <c r="A18" s="7"/>
      <c r="B18" s="779"/>
      <c r="C18" s="779"/>
      <c r="D18" s="779"/>
      <c r="E18" s="779"/>
      <c r="F18" s="780"/>
      <c r="G18" s="780"/>
      <c r="H18" s="780"/>
      <c r="I18" s="7"/>
    </row>
    <row r="19" spans="1:9" x14ac:dyDescent="0.2">
      <c r="A19" s="7"/>
      <c r="B19" s="780"/>
      <c r="C19" s="780"/>
      <c r="D19" s="780"/>
      <c r="E19" s="780"/>
      <c r="F19" s="780"/>
      <c r="G19" s="780"/>
      <c r="H19" s="780"/>
      <c r="I19" s="7"/>
    </row>
    <row r="20" spans="1:9" x14ac:dyDescent="0.2">
      <c r="A20" s="7"/>
      <c r="B20" s="780"/>
      <c r="C20" s="780"/>
      <c r="D20" s="780"/>
      <c r="E20" s="780"/>
      <c r="F20" s="780"/>
      <c r="G20" s="780"/>
      <c r="H20" s="780"/>
      <c r="I20" s="7"/>
    </row>
    <row r="21" spans="1:9" x14ac:dyDescent="0.2">
      <c r="A21" s="7"/>
      <c r="B21" s="780"/>
      <c r="C21" s="780"/>
      <c r="D21" s="780"/>
      <c r="E21" s="780"/>
      <c r="F21" s="780"/>
      <c r="G21" s="780"/>
      <c r="H21" s="780"/>
      <c r="I21" s="7"/>
    </row>
    <row r="22" spans="1:9" x14ac:dyDescent="0.2">
      <c r="A22" s="7"/>
      <c r="B22" s="780"/>
      <c r="C22" s="780"/>
      <c r="D22" s="780"/>
      <c r="E22" s="780"/>
      <c r="F22" s="780"/>
      <c r="G22" s="780"/>
      <c r="H22" s="780"/>
      <c r="I22" s="7"/>
    </row>
    <row r="23" spans="1:9" x14ac:dyDescent="0.2">
      <c r="A23" s="7"/>
      <c r="B23" s="780"/>
      <c r="C23" s="780"/>
      <c r="D23" s="780"/>
      <c r="E23" s="780"/>
      <c r="F23" s="780"/>
      <c r="G23" s="780"/>
      <c r="H23" s="780"/>
      <c r="I23" s="7"/>
    </row>
    <row r="24" spans="1:9" x14ac:dyDescent="0.2">
      <c r="A24" s="7"/>
      <c r="B24" s="780"/>
      <c r="C24" s="780"/>
      <c r="D24" s="780"/>
      <c r="E24" s="780"/>
      <c r="F24" s="780"/>
      <c r="G24" s="780"/>
      <c r="H24" s="780"/>
      <c r="I24" s="7"/>
    </row>
    <row r="25" spans="1:9" x14ac:dyDescent="0.2">
      <c r="A25" s="7"/>
      <c r="B25" s="780"/>
      <c r="C25" s="780"/>
      <c r="D25" s="780"/>
      <c r="E25" s="780"/>
      <c r="F25" s="780"/>
      <c r="G25" s="780"/>
      <c r="H25" s="780"/>
      <c r="I25" s="7"/>
    </row>
    <row r="26" spans="1:9" x14ac:dyDescent="0.2">
      <c r="A26" s="7"/>
      <c r="B26" s="780"/>
      <c r="C26" s="780"/>
      <c r="D26" s="780"/>
      <c r="E26" s="780"/>
      <c r="F26" s="780"/>
      <c r="G26" s="780"/>
      <c r="H26" s="780"/>
      <c r="I26" s="7"/>
    </row>
    <row r="27" spans="1:9" x14ac:dyDescent="0.2">
      <c r="A27" s="7"/>
      <c r="B27" s="780"/>
      <c r="C27" s="780"/>
      <c r="D27" s="780"/>
      <c r="E27" s="780"/>
      <c r="F27" s="780"/>
      <c r="G27" s="780"/>
      <c r="H27" s="780"/>
      <c r="I27" s="7"/>
    </row>
    <row r="28" spans="1:9" x14ac:dyDescent="0.2">
      <c r="A28" s="7"/>
      <c r="B28" s="780"/>
      <c r="C28" s="780"/>
      <c r="D28" s="780"/>
      <c r="E28" s="780"/>
      <c r="F28" s="780"/>
      <c r="G28" s="780"/>
      <c r="H28" s="780"/>
      <c r="I28" s="7"/>
    </row>
    <row r="29" spans="1:9" x14ac:dyDescent="0.2">
      <c r="A29" s="7"/>
      <c r="B29" s="780"/>
      <c r="C29" s="780"/>
      <c r="D29" s="780"/>
      <c r="E29" s="780"/>
      <c r="F29" s="780"/>
      <c r="G29" s="780"/>
      <c r="H29" s="780"/>
      <c r="I29" s="7"/>
    </row>
    <row r="30" spans="1:9" x14ac:dyDescent="0.2">
      <c r="A30" s="7"/>
      <c r="B30" s="7"/>
      <c r="C30" s="7"/>
      <c r="D30" s="7"/>
      <c r="E30" s="7"/>
      <c r="F30" s="7"/>
      <c r="G30" s="7"/>
      <c r="H30" s="7"/>
      <c r="I30" s="7"/>
    </row>
  </sheetData>
  <sheetProtection algorithmName="SHA-512" hashValue="wTzsyduH/0mmhW+Xu41k1WprmFfSjEvA4JK4iiydxHJnqU6aNioA+AQ7dzZ1p9ftc+d9FZyVKCKprstyZPPWrw==" saltValue="Z/mHyvsEy8M+i9vUALP61w=="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50"/>
    <pageSetUpPr fitToPage="1"/>
  </sheetPr>
  <dimension ref="A1:BX110"/>
  <sheetViews>
    <sheetView workbookViewId="0"/>
  </sheetViews>
  <sheetFormatPr defaultColWidth="0" defaultRowHeight="14.25" zeroHeight="1" x14ac:dyDescent="0.2"/>
  <cols>
    <col min="1" max="1" width="1.875" customWidth="1"/>
    <col min="2" max="2" width="21.375" customWidth="1"/>
    <col min="3" max="3" width="1.875" customWidth="1"/>
    <col min="4" max="4" width="4.625" customWidth="1"/>
    <col min="5" max="5" width="1.875" customWidth="1"/>
    <col min="6" max="6" width="28" customWidth="1"/>
    <col min="7" max="7" width="1.875" customWidth="1"/>
    <col min="8" max="8" width="38.875" bestFit="1" customWidth="1"/>
    <col min="9" max="9" width="1.875" customWidth="1"/>
    <col min="10" max="10" width="20" customWidth="1"/>
    <col min="11" max="11" width="1.875" customWidth="1"/>
    <col min="12" max="12" width="14.125" customWidth="1"/>
    <col min="13" max="13" width="1.875" customWidth="1"/>
    <col min="14" max="14" width="16.125" customWidth="1"/>
    <col min="15" max="16" width="1.875" customWidth="1"/>
    <col min="17" max="17" width="17" customWidth="1"/>
    <col min="18" max="19" width="1.875" customWidth="1"/>
    <col min="20" max="20" width="18.125" customWidth="1"/>
    <col min="21" max="21" width="1.875" customWidth="1"/>
    <col min="22" max="76" width="9" hidden="1"/>
  </cols>
  <sheetData>
    <row r="1" spans="1:21" ht="15.75" x14ac:dyDescent="0.25">
      <c r="A1" s="59">
        <v>1</v>
      </c>
      <c r="B1" s="59"/>
      <c r="C1" s="60"/>
      <c r="D1" s="60"/>
      <c r="E1" s="60"/>
      <c r="F1" s="60"/>
      <c r="G1" s="60"/>
      <c r="H1" s="60"/>
      <c r="I1" s="60"/>
      <c r="J1" s="60"/>
      <c r="K1" s="60"/>
      <c r="L1" s="60"/>
      <c r="M1" s="60"/>
      <c r="N1" s="60"/>
      <c r="O1" s="59"/>
      <c r="P1" s="59"/>
      <c r="Q1" s="59"/>
      <c r="R1" s="59"/>
      <c r="S1" s="59"/>
      <c r="T1" s="60"/>
      <c r="U1" s="60"/>
    </row>
    <row r="2" spans="1:21" ht="42" customHeight="1" x14ac:dyDescent="0.25">
      <c r="A2" s="60"/>
      <c r="B2" s="60"/>
      <c r="C2" s="60"/>
      <c r="D2" s="60"/>
      <c r="E2" s="60"/>
      <c r="F2" s="60"/>
      <c r="G2" s="60"/>
      <c r="H2" s="52" t="s">
        <v>56</v>
      </c>
      <c r="I2" s="60"/>
      <c r="J2" s="60"/>
      <c r="K2" s="60"/>
      <c r="L2" s="60"/>
      <c r="M2" s="60"/>
      <c r="N2" s="60"/>
      <c r="O2" s="60"/>
      <c r="P2" s="60"/>
      <c r="Q2" s="60"/>
      <c r="R2" s="60"/>
      <c r="S2" s="60"/>
      <c r="T2" s="61"/>
      <c r="U2" s="60"/>
    </row>
    <row r="3" spans="1:21" ht="39" customHeight="1" x14ac:dyDescent="0.25">
      <c r="A3" s="53"/>
      <c r="B3" s="842" t="s">
        <v>500</v>
      </c>
      <c r="C3" s="842"/>
      <c r="D3" s="842"/>
      <c r="E3" s="842"/>
      <c r="F3" s="842"/>
      <c r="G3" s="842"/>
      <c r="H3" s="842"/>
      <c r="I3" s="842"/>
      <c r="J3" s="842"/>
      <c r="K3" s="842"/>
      <c r="L3" s="842"/>
      <c r="M3" s="842"/>
      <c r="N3" s="842"/>
      <c r="O3" s="842"/>
      <c r="P3" s="842"/>
      <c r="Q3" s="842"/>
      <c r="R3" s="842"/>
      <c r="S3" s="53"/>
      <c r="T3" s="343" t="str">
        <f>IF(H4="No","Complete",IF(COUNTIF(T10,"Incomplete")&gt;0,"Incomplete","Complete"))</f>
        <v>Complete</v>
      </c>
      <c r="U3" s="53"/>
    </row>
    <row r="4" spans="1:21" ht="16.5" thickBot="1" x14ac:dyDescent="0.3">
      <c r="A4" s="53"/>
      <c r="B4" s="53"/>
      <c r="C4" s="53"/>
      <c r="D4" s="53"/>
      <c r="E4" s="53"/>
      <c r="F4" s="96" t="s">
        <v>501</v>
      </c>
      <c r="G4" s="53"/>
      <c r="H4" s="661" t="s">
        <v>361</v>
      </c>
      <c r="I4" s="53"/>
      <c r="J4" s="53"/>
      <c r="K4" s="53"/>
      <c r="L4" s="53"/>
      <c r="M4" s="53"/>
      <c r="N4" s="53"/>
      <c r="O4" s="53"/>
      <c r="P4" s="53"/>
      <c r="Q4" s="53"/>
      <c r="R4" s="53"/>
      <c r="S4" s="53"/>
      <c r="T4" s="53"/>
      <c r="U4" s="53"/>
    </row>
    <row r="5" spans="1:21" ht="57" customHeight="1" x14ac:dyDescent="0.25">
      <c r="A5" s="53"/>
      <c r="B5" s="145" t="s">
        <v>56</v>
      </c>
      <c r="C5" s="69"/>
      <c r="D5" s="69"/>
      <c r="E5" s="69"/>
      <c r="F5" s="69" t="s">
        <v>502</v>
      </c>
      <c r="G5" s="69"/>
      <c r="H5" s="69" t="s">
        <v>503</v>
      </c>
      <c r="I5" s="69"/>
      <c r="J5" s="69" t="s">
        <v>504</v>
      </c>
      <c r="K5" s="69"/>
      <c r="L5" s="69" t="s">
        <v>505</v>
      </c>
      <c r="M5" s="358"/>
      <c r="N5" s="69" t="s">
        <v>506</v>
      </c>
      <c r="O5" s="366"/>
      <c r="P5" s="366"/>
      <c r="Q5" s="69" t="s">
        <v>507</v>
      </c>
      <c r="R5" s="138"/>
      <c r="S5" s="53"/>
      <c r="T5" s="53"/>
      <c r="U5" s="53"/>
    </row>
    <row r="6" spans="1:21" ht="16.5" thickBot="1" x14ac:dyDescent="0.3">
      <c r="A6" s="53"/>
      <c r="B6" s="147"/>
      <c r="C6" s="148"/>
      <c r="D6" s="148"/>
      <c r="E6" s="148"/>
      <c r="F6" s="148"/>
      <c r="G6" s="148"/>
      <c r="H6" s="148"/>
      <c r="I6" s="148"/>
      <c r="J6" s="75" t="s">
        <v>164</v>
      </c>
      <c r="K6" s="148"/>
      <c r="L6" s="148" t="s">
        <v>508</v>
      </c>
      <c r="M6" s="364"/>
      <c r="N6" s="148" t="s">
        <v>508</v>
      </c>
      <c r="O6" s="199"/>
      <c r="P6" s="199"/>
      <c r="Q6" s="75" t="s">
        <v>164</v>
      </c>
      <c r="R6" s="77"/>
      <c r="S6" s="53"/>
      <c r="T6" s="53"/>
      <c r="U6" s="53"/>
    </row>
    <row r="7" spans="1:21" ht="6" customHeight="1" x14ac:dyDescent="0.25">
      <c r="A7" s="53"/>
      <c r="B7" s="106"/>
      <c r="C7" s="150"/>
      <c r="D7" s="80"/>
      <c r="E7" s="80"/>
      <c r="F7" s="80"/>
      <c r="G7" s="80"/>
      <c r="H7" s="80"/>
      <c r="I7" s="80"/>
      <c r="J7" s="80"/>
      <c r="K7" s="80"/>
      <c r="L7" s="80"/>
      <c r="M7" s="80"/>
      <c r="N7" s="80"/>
      <c r="O7" s="80"/>
      <c r="P7" s="150"/>
      <c r="Q7" s="80"/>
      <c r="R7" s="81"/>
      <c r="S7" s="53"/>
      <c r="T7" s="53"/>
      <c r="U7" s="53"/>
    </row>
    <row r="8" spans="1:21" ht="15.75" x14ac:dyDescent="0.25">
      <c r="A8" s="53"/>
      <c r="B8" s="121"/>
      <c r="C8" s="170"/>
      <c r="D8" s="122"/>
      <c r="E8" s="122"/>
      <c r="F8" s="122"/>
      <c r="G8" s="122"/>
      <c r="H8" s="122"/>
      <c r="I8" s="122"/>
      <c r="J8" s="123"/>
      <c r="K8" s="122"/>
      <c r="L8" s="123"/>
      <c r="M8" s="122"/>
      <c r="N8" s="123"/>
      <c r="O8" s="122"/>
      <c r="P8" s="170"/>
      <c r="Q8" s="123"/>
      <c r="R8" s="124"/>
      <c r="S8" s="53"/>
      <c r="T8" s="53"/>
      <c r="U8" s="53"/>
    </row>
    <row r="9" spans="1:21" ht="6" customHeight="1" x14ac:dyDescent="0.25">
      <c r="A9" s="53"/>
      <c r="B9" s="168"/>
      <c r="C9" s="152"/>
      <c r="D9" s="154"/>
      <c r="E9" s="154"/>
      <c r="F9" s="154"/>
      <c r="G9" s="154"/>
      <c r="H9" s="154"/>
      <c r="I9" s="154"/>
      <c r="J9" s="153"/>
      <c r="K9" s="154"/>
      <c r="L9" s="153"/>
      <c r="M9" s="154"/>
      <c r="N9" s="153"/>
      <c r="O9" s="154"/>
      <c r="P9" s="152"/>
      <c r="Q9" s="153"/>
      <c r="R9" s="157"/>
      <c r="S9" s="53"/>
      <c r="T9" s="53"/>
      <c r="U9" s="53"/>
    </row>
    <row r="10" spans="1:21" ht="15" customHeight="1" x14ac:dyDescent="0.25">
      <c r="A10" s="53"/>
      <c r="B10" s="151"/>
      <c r="C10" s="152"/>
      <c r="D10" s="153">
        <v>1</v>
      </c>
      <c r="E10" s="154"/>
      <c r="F10" s="738"/>
      <c r="G10" s="155"/>
      <c r="H10" s="738"/>
      <c r="I10" s="155"/>
      <c r="J10" s="739">
        <v>0</v>
      </c>
      <c r="K10" s="155"/>
      <c r="L10" s="740">
        <v>0</v>
      </c>
      <c r="M10" s="273"/>
      <c r="N10" s="740">
        <v>0</v>
      </c>
      <c r="O10" s="154"/>
      <c r="P10" s="152"/>
      <c r="Q10" s="725">
        <f>MAX(20%*(1-L10-N10)*J10,0)</f>
        <v>0</v>
      </c>
      <c r="R10" s="157"/>
      <c r="S10" s="53"/>
      <c r="T10" s="343" t="str">
        <f>IF(H4="No","Complete",IF(OR(F10="",H10="",J10="",L10="",N10=""),"Incomplete","Complete"))</f>
        <v>Complete</v>
      </c>
      <c r="U10" s="53"/>
    </row>
    <row r="11" spans="1:21" ht="15" customHeight="1" x14ac:dyDescent="0.25">
      <c r="A11" s="53"/>
      <c r="B11" s="168"/>
      <c r="C11" s="152"/>
      <c r="D11" s="153">
        <v>2</v>
      </c>
      <c r="E11" s="154"/>
      <c r="F11" s="738"/>
      <c r="G11" s="155"/>
      <c r="H11" s="738"/>
      <c r="I11" s="155"/>
      <c r="J11" s="739">
        <v>0</v>
      </c>
      <c r="K11" s="155"/>
      <c r="L11" s="740">
        <v>0</v>
      </c>
      <c r="M11" s="156"/>
      <c r="N11" s="740">
        <v>0</v>
      </c>
      <c r="O11" s="154"/>
      <c r="P11" s="152"/>
      <c r="Q11" s="725">
        <f t="shared" ref="Q11:Q74" si="0">MAX(20%*(1-L11-N11)*J11,0)</f>
        <v>0</v>
      </c>
      <c r="R11" s="157"/>
      <c r="S11" s="53"/>
      <c r="T11" s="53"/>
      <c r="U11" s="53"/>
    </row>
    <row r="12" spans="1:21" ht="15" customHeight="1" x14ac:dyDescent="0.25">
      <c r="A12" s="53"/>
      <c r="B12" s="168"/>
      <c r="C12" s="152"/>
      <c r="D12" s="153">
        <v>3</v>
      </c>
      <c r="E12" s="154"/>
      <c r="F12" s="738"/>
      <c r="G12" s="155"/>
      <c r="H12" s="738"/>
      <c r="I12" s="155"/>
      <c r="J12" s="739">
        <v>0</v>
      </c>
      <c r="K12" s="155"/>
      <c r="L12" s="740">
        <v>0</v>
      </c>
      <c r="M12" s="156"/>
      <c r="N12" s="740">
        <v>0</v>
      </c>
      <c r="O12" s="154"/>
      <c r="P12" s="152"/>
      <c r="Q12" s="725">
        <f t="shared" si="0"/>
        <v>0</v>
      </c>
      <c r="R12" s="157"/>
      <c r="S12" s="53"/>
      <c r="T12" s="53"/>
      <c r="U12" s="53"/>
    </row>
    <row r="13" spans="1:21" ht="15" customHeight="1" x14ac:dyDescent="0.25">
      <c r="A13" s="53"/>
      <c r="B13" s="168"/>
      <c r="C13" s="152"/>
      <c r="D13" s="153">
        <v>4</v>
      </c>
      <c r="E13" s="154"/>
      <c r="F13" s="738"/>
      <c r="G13" s="155"/>
      <c r="H13" s="738"/>
      <c r="I13" s="155"/>
      <c r="J13" s="739">
        <v>0</v>
      </c>
      <c r="K13" s="155"/>
      <c r="L13" s="740">
        <v>0</v>
      </c>
      <c r="M13" s="156"/>
      <c r="N13" s="740">
        <v>0</v>
      </c>
      <c r="O13" s="154"/>
      <c r="P13" s="152"/>
      <c r="Q13" s="725">
        <f t="shared" si="0"/>
        <v>0</v>
      </c>
      <c r="R13" s="157"/>
      <c r="S13" s="53"/>
      <c r="T13" s="53"/>
      <c r="U13" s="53"/>
    </row>
    <row r="14" spans="1:21" ht="15" customHeight="1" x14ac:dyDescent="0.25">
      <c r="A14" s="53"/>
      <c r="B14" s="168"/>
      <c r="C14" s="152"/>
      <c r="D14" s="153">
        <v>5</v>
      </c>
      <c r="E14" s="154"/>
      <c r="F14" s="738"/>
      <c r="G14" s="155"/>
      <c r="H14" s="738"/>
      <c r="I14" s="155"/>
      <c r="J14" s="739">
        <v>0</v>
      </c>
      <c r="K14" s="155"/>
      <c r="L14" s="740">
        <v>0</v>
      </c>
      <c r="M14" s="156"/>
      <c r="N14" s="740">
        <v>0</v>
      </c>
      <c r="O14" s="154"/>
      <c r="P14" s="152"/>
      <c r="Q14" s="725">
        <f t="shared" si="0"/>
        <v>0</v>
      </c>
      <c r="R14" s="157"/>
      <c r="S14" s="53"/>
      <c r="T14" s="53"/>
      <c r="U14" s="53"/>
    </row>
    <row r="15" spans="1:21" ht="15" customHeight="1" x14ac:dyDescent="0.25">
      <c r="A15" s="53"/>
      <c r="B15" s="168"/>
      <c r="C15" s="152"/>
      <c r="D15" s="153">
        <v>6</v>
      </c>
      <c r="E15" s="154"/>
      <c r="F15" s="738"/>
      <c r="G15" s="155"/>
      <c r="H15" s="738"/>
      <c r="I15" s="155"/>
      <c r="J15" s="739">
        <v>0</v>
      </c>
      <c r="K15" s="155"/>
      <c r="L15" s="740">
        <v>0</v>
      </c>
      <c r="M15" s="156"/>
      <c r="N15" s="740">
        <v>0</v>
      </c>
      <c r="O15" s="154"/>
      <c r="P15" s="152"/>
      <c r="Q15" s="725">
        <f t="shared" si="0"/>
        <v>0</v>
      </c>
      <c r="R15" s="157"/>
      <c r="S15" s="53"/>
      <c r="T15" s="53"/>
      <c r="U15" s="53"/>
    </row>
    <row r="16" spans="1:21" ht="15" customHeight="1" x14ac:dyDescent="0.25">
      <c r="A16" s="53"/>
      <c r="B16" s="168"/>
      <c r="C16" s="152"/>
      <c r="D16" s="153">
        <v>7</v>
      </c>
      <c r="E16" s="154"/>
      <c r="F16" s="738"/>
      <c r="G16" s="155"/>
      <c r="H16" s="738"/>
      <c r="I16" s="155"/>
      <c r="J16" s="739">
        <v>0</v>
      </c>
      <c r="K16" s="155"/>
      <c r="L16" s="740">
        <v>0</v>
      </c>
      <c r="M16" s="156"/>
      <c r="N16" s="740">
        <v>0</v>
      </c>
      <c r="O16" s="154"/>
      <c r="P16" s="152"/>
      <c r="Q16" s="725">
        <f t="shared" si="0"/>
        <v>0</v>
      </c>
      <c r="R16" s="157"/>
      <c r="S16" s="53"/>
      <c r="T16" s="53"/>
      <c r="U16" s="53"/>
    </row>
    <row r="17" spans="1:21" ht="15" customHeight="1" x14ac:dyDescent="0.25">
      <c r="A17" s="53"/>
      <c r="B17" s="168"/>
      <c r="C17" s="152"/>
      <c r="D17" s="153">
        <v>8</v>
      </c>
      <c r="E17" s="154"/>
      <c r="F17" s="738"/>
      <c r="G17" s="155"/>
      <c r="H17" s="738"/>
      <c r="I17" s="155"/>
      <c r="J17" s="739">
        <v>0</v>
      </c>
      <c r="K17" s="155"/>
      <c r="L17" s="740">
        <v>0</v>
      </c>
      <c r="M17" s="156"/>
      <c r="N17" s="740">
        <v>0</v>
      </c>
      <c r="O17" s="154"/>
      <c r="P17" s="152"/>
      <c r="Q17" s="725">
        <f t="shared" si="0"/>
        <v>0</v>
      </c>
      <c r="R17" s="157"/>
      <c r="S17" s="53"/>
      <c r="T17" s="53"/>
      <c r="U17" s="53"/>
    </row>
    <row r="18" spans="1:21" ht="15" customHeight="1" x14ac:dyDescent="0.25">
      <c r="A18" s="53"/>
      <c r="B18" s="168"/>
      <c r="C18" s="152"/>
      <c r="D18" s="153">
        <v>9</v>
      </c>
      <c r="E18" s="154"/>
      <c r="F18" s="738"/>
      <c r="G18" s="155"/>
      <c r="H18" s="738"/>
      <c r="I18" s="155"/>
      <c r="J18" s="739">
        <v>0</v>
      </c>
      <c r="K18" s="155"/>
      <c r="L18" s="740">
        <v>0</v>
      </c>
      <c r="M18" s="156"/>
      <c r="N18" s="740">
        <v>0</v>
      </c>
      <c r="O18" s="154"/>
      <c r="P18" s="152"/>
      <c r="Q18" s="725">
        <f t="shared" si="0"/>
        <v>0</v>
      </c>
      <c r="R18" s="157"/>
      <c r="S18" s="53"/>
      <c r="T18" s="53"/>
      <c r="U18" s="53"/>
    </row>
    <row r="19" spans="1:21" ht="15" customHeight="1" x14ac:dyDescent="0.25">
      <c r="A19" s="53"/>
      <c r="B19" s="168"/>
      <c r="C19" s="152"/>
      <c r="D19" s="153">
        <v>10</v>
      </c>
      <c r="E19" s="154"/>
      <c r="F19" s="738"/>
      <c r="G19" s="155"/>
      <c r="H19" s="738"/>
      <c r="I19" s="155"/>
      <c r="J19" s="739">
        <v>0</v>
      </c>
      <c r="K19" s="155"/>
      <c r="L19" s="740">
        <v>0</v>
      </c>
      <c r="M19" s="156"/>
      <c r="N19" s="740">
        <v>0</v>
      </c>
      <c r="O19" s="154"/>
      <c r="P19" s="152"/>
      <c r="Q19" s="725">
        <f t="shared" si="0"/>
        <v>0</v>
      </c>
      <c r="R19" s="157"/>
      <c r="S19" s="53"/>
      <c r="T19" s="53"/>
      <c r="U19" s="53"/>
    </row>
    <row r="20" spans="1:21" ht="15" customHeight="1" x14ac:dyDescent="0.25">
      <c r="A20" s="53"/>
      <c r="B20" s="168"/>
      <c r="C20" s="152"/>
      <c r="D20" s="153">
        <v>11</v>
      </c>
      <c r="E20" s="154"/>
      <c r="F20" s="738"/>
      <c r="G20" s="155"/>
      <c r="H20" s="738"/>
      <c r="I20" s="155"/>
      <c r="J20" s="739">
        <v>0</v>
      </c>
      <c r="K20" s="155"/>
      <c r="L20" s="740">
        <v>0</v>
      </c>
      <c r="M20" s="156"/>
      <c r="N20" s="740">
        <v>0</v>
      </c>
      <c r="O20" s="154"/>
      <c r="P20" s="152"/>
      <c r="Q20" s="725">
        <f t="shared" si="0"/>
        <v>0</v>
      </c>
      <c r="R20" s="157"/>
      <c r="S20" s="53"/>
      <c r="T20" s="53"/>
      <c r="U20" s="53"/>
    </row>
    <row r="21" spans="1:21" ht="15" customHeight="1" x14ac:dyDescent="0.25">
      <c r="A21" s="53"/>
      <c r="B21" s="168"/>
      <c r="C21" s="152"/>
      <c r="D21" s="153">
        <v>12</v>
      </c>
      <c r="E21" s="154"/>
      <c r="F21" s="738"/>
      <c r="G21" s="155"/>
      <c r="H21" s="738"/>
      <c r="I21" s="155"/>
      <c r="J21" s="739">
        <v>0</v>
      </c>
      <c r="K21" s="155"/>
      <c r="L21" s="740">
        <v>0</v>
      </c>
      <c r="M21" s="156"/>
      <c r="N21" s="740">
        <v>0</v>
      </c>
      <c r="O21" s="154"/>
      <c r="P21" s="152"/>
      <c r="Q21" s="725">
        <f t="shared" si="0"/>
        <v>0</v>
      </c>
      <c r="R21" s="157"/>
      <c r="S21" s="53"/>
      <c r="T21" s="53"/>
      <c r="U21" s="53"/>
    </row>
    <row r="22" spans="1:21" ht="15" customHeight="1" x14ac:dyDescent="0.25">
      <c r="A22" s="53"/>
      <c r="B22" s="168"/>
      <c r="C22" s="152"/>
      <c r="D22" s="153">
        <v>13</v>
      </c>
      <c r="E22" s="154"/>
      <c r="F22" s="738"/>
      <c r="G22" s="155"/>
      <c r="H22" s="738"/>
      <c r="I22" s="155"/>
      <c r="J22" s="739">
        <v>0</v>
      </c>
      <c r="K22" s="155"/>
      <c r="L22" s="740">
        <v>0</v>
      </c>
      <c r="M22" s="156"/>
      <c r="N22" s="740">
        <v>0</v>
      </c>
      <c r="O22" s="154"/>
      <c r="P22" s="152"/>
      <c r="Q22" s="725">
        <f t="shared" si="0"/>
        <v>0</v>
      </c>
      <c r="R22" s="157"/>
      <c r="S22" s="53"/>
      <c r="T22" s="53"/>
      <c r="U22" s="53"/>
    </row>
    <row r="23" spans="1:21" ht="15" customHeight="1" x14ac:dyDescent="0.25">
      <c r="A23" s="53"/>
      <c r="B23" s="168"/>
      <c r="C23" s="152"/>
      <c r="D23" s="153">
        <v>14</v>
      </c>
      <c r="E23" s="154"/>
      <c r="F23" s="738"/>
      <c r="G23" s="155"/>
      <c r="H23" s="738"/>
      <c r="I23" s="155"/>
      <c r="J23" s="739">
        <v>0</v>
      </c>
      <c r="K23" s="155"/>
      <c r="L23" s="740">
        <v>0</v>
      </c>
      <c r="M23" s="156"/>
      <c r="N23" s="740">
        <v>0</v>
      </c>
      <c r="O23" s="154"/>
      <c r="P23" s="152"/>
      <c r="Q23" s="725">
        <f t="shared" si="0"/>
        <v>0</v>
      </c>
      <c r="R23" s="157"/>
      <c r="S23" s="53"/>
      <c r="T23" s="53"/>
      <c r="U23" s="53"/>
    </row>
    <row r="24" spans="1:21" ht="15" customHeight="1" x14ac:dyDescent="0.25">
      <c r="A24" s="53"/>
      <c r="B24" s="168"/>
      <c r="C24" s="152"/>
      <c r="D24" s="153">
        <v>15</v>
      </c>
      <c r="E24" s="154"/>
      <c r="F24" s="738"/>
      <c r="G24" s="155"/>
      <c r="H24" s="738"/>
      <c r="I24" s="155"/>
      <c r="J24" s="739">
        <v>0</v>
      </c>
      <c r="K24" s="155"/>
      <c r="L24" s="740">
        <v>0</v>
      </c>
      <c r="M24" s="156"/>
      <c r="N24" s="740">
        <v>0</v>
      </c>
      <c r="O24" s="154"/>
      <c r="P24" s="152"/>
      <c r="Q24" s="725">
        <f t="shared" si="0"/>
        <v>0</v>
      </c>
      <c r="R24" s="157"/>
      <c r="S24" s="53"/>
      <c r="T24" s="53"/>
      <c r="U24" s="53"/>
    </row>
    <row r="25" spans="1:21" ht="15" customHeight="1" x14ac:dyDescent="0.25">
      <c r="A25" s="53"/>
      <c r="B25" s="168"/>
      <c r="C25" s="152"/>
      <c r="D25" s="153">
        <v>16</v>
      </c>
      <c r="E25" s="154"/>
      <c r="F25" s="738"/>
      <c r="G25" s="155"/>
      <c r="H25" s="738"/>
      <c r="I25" s="155"/>
      <c r="J25" s="739">
        <v>0</v>
      </c>
      <c r="K25" s="155"/>
      <c r="L25" s="740">
        <v>0</v>
      </c>
      <c r="M25" s="156"/>
      <c r="N25" s="740">
        <v>0</v>
      </c>
      <c r="O25" s="154"/>
      <c r="P25" s="152"/>
      <c r="Q25" s="725">
        <f t="shared" si="0"/>
        <v>0</v>
      </c>
      <c r="R25" s="157"/>
      <c r="S25" s="53"/>
      <c r="T25" s="53"/>
      <c r="U25" s="53"/>
    </row>
    <row r="26" spans="1:21" ht="15" customHeight="1" x14ac:dyDescent="0.25">
      <c r="A26" s="53"/>
      <c r="B26" s="168"/>
      <c r="C26" s="152"/>
      <c r="D26" s="153">
        <v>17</v>
      </c>
      <c r="E26" s="154"/>
      <c r="F26" s="738"/>
      <c r="G26" s="155"/>
      <c r="H26" s="738"/>
      <c r="I26" s="155"/>
      <c r="J26" s="739">
        <v>0</v>
      </c>
      <c r="K26" s="155"/>
      <c r="L26" s="740">
        <v>0</v>
      </c>
      <c r="M26" s="156"/>
      <c r="N26" s="740">
        <v>0</v>
      </c>
      <c r="O26" s="154"/>
      <c r="P26" s="152"/>
      <c r="Q26" s="725">
        <f t="shared" si="0"/>
        <v>0</v>
      </c>
      <c r="R26" s="157"/>
      <c r="S26" s="53"/>
      <c r="T26" s="53"/>
      <c r="U26" s="53"/>
    </row>
    <row r="27" spans="1:21" ht="15" customHeight="1" x14ac:dyDescent="0.25">
      <c r="A27" s="53"/>
      <c r="B27" s="168"/>
      <c r="C27" s="152"/>
      <c r="D27" s="153">
        <v>18</v>
      </c>
      <c r="E27" s="154"/>
      <c r="F27" s="738"/>
      <c r="G27" s="155"/>
      <c r="H27" s="738"/>
      <c r="I27" s="155"/>
      <c r="J27" s="739">
        <v>0</v>
      </c>
      <c r="K27" s="155"/>
      <c r="L27" s="740">
        <v>0</v>
      </c>
      <c r="M27" s="156"/>
      <c r="N27" s="740">
        <v>0</v>
      </c>
      <c r="O27" s="154"/>
      <c r="P27" s="152"/>
      <c r="Q27" s="725">
        <f t="shared" si="0"/>
        <v>0</v>
      </c>
      <c r="R27" s="157"/>
      <c r="S27" s="53"/>
      <c r="T27" s="53"/>
      <c r="U27" s="53"/>
    </row>
    <row r="28" spans="1:21" ht="15" customHeight="1" x14ac:dyDescent="0.25">
      <c r="A28" s="53"/>
      <c r="B28" s="168"/>
      <c r="C28" s="152"/>
      <c r="D28" s="153">
        <v>19</v>
      </c>
      <c r="E28" s="154"/>
      <c r="F28" s="738"/>
      <c r="G28" s="155"/>
      <c r="H28" s="738"/>
      <c r="I28" s="155"/>
      <c r="J28" s="739">
        <v>0</v>
      </c>
      <c r="K28" s="155"/>
      <c r="L28" s="740">
        <v>0</v>
      </c>
      <c r="M28" s="156"/>
      <c r="N28" s="740">
        <v>0</v>
      </c>
      <c r="O28" s="154"/>
      <c r="P28" s="152"/>
      <c r="Q28" s="725">
        <f t="shared" si="0"/>
        <v>0</v>
      </c>
      <c r="R28" s="157"/>
      <c r="S28" s="53"/>
      <c r="T28" s="53"/>
      <c r="U28" s="53"/>
    </row>
    <row r="29" spans="1:21" ht="15" customHeight="1" x14ac:dyDescent="0.25">
      <c r="A29" s="53"/>
      <c r="B29" s="168"/>
      <c r="C29" s="152"/>
      <c r="D29" s="153">
        <v>20</v>
      </c>
      <c r="E29" s="154"/>
      <c r="F29" s="738"/>
      <c r="G29" s="155"/>
      <c r="H29" s="738"/>
      <c r="I29" s="155"/>
      <c r="J29" s="739">
        <v>0</v>
      </c>
      <c r="K29" s="155"/>
      <c r="L29" s="740">
        <v>0</v>
      </c>
      <c r="M29" s="156"/>
      <c r="N29" s="740">
        <v>0</v>
      </c>
      <c r="O29" s="154"/>
      <c r="P29" s="152"/>
      <c r="Q29" s="725">
        <f t="shared" si="0"/>
        <v>0</v>
      </c>
      <c r="R29" s="157"/>
      <c r="S29" s="53"/>
      <c r="T29" s="53"/>
      <c r="U29" s="53"/>
    </row>
    <row r="30" spans="1:21" ht="15" customHeight="1" x14ac:dyDescent="0.25">
      <c r="A30" s="53"/>
      <c r="B30" s="168"/>
      <c r="C30" s="152"/>
      <c r="D30" s="153">
        <v>21</v>
      </c>
      <c r="E30" s="154"/>
      <c r="F30" s="738"/>
      <c r="G30" s="155"/>
      <c r="H30" s="738"/>
      <c r="I30" s="155"/>
      <c r="J30" s="739">
        <v>0</v>
      </c>
      <c r="K30" s="155"/>
      <c r="L30" s="740">
        <v>0</v>
      </c>
      <c r="M30" s="156"/>
      <c r="N30" s="740">
        <v>0</v>
      </c>
      <c r="O30" s="154"/>
      <c r="P30" s="152"/>
      <c r="Q30" s="725">
        <f t="shared" si="0"/>
        <v>0</v>
      </c>
      <c r="R30" s="157"/>
      <c r="S30" s="53"/>
      <c r="T30" s="53"/>
      <c r="U30" s="53"/>
    </row>
    <row r="31" spans="1:21" ht="15" customHeight="1" x14ac:dyDescent="0.25">
      <c r="A31" s="53"/>
      <c r="B31" s="168"/>
      <c r="C31" s="152"/>
      <c r="D31" s="153">
        <v>22</v>
      </c>
      <c r="E31" s="154"/>
      <c r="F31" s="738"/>
      <c r="G31" s="155"/>
      <c r="H31" s="738"/>
      <c r="I31" s="155"/>
      <c r="J31" s="739">
        <v>0</v>
      </c>
      <c r="K31" s="155"/>
      <c r="L31" s="740">
        <v>0</v>
      </c>
      <c r="M31" s="156"/>
      <c r="N31" s="740">
        <v>0</v>
      </c>
      <c r="O31" s="154"/>
      <c r="P31" s="152"/>
      <c r="Q31" s="725">
        <f t="shared" si="0"/>
        <v>0</v>
      </c>
      <c r="R31" s="157"/>
      <c r="S31" s="53"/>
      <c r="T31" s="53"/>
      <c r="U31" s="53"/>
    </row>
    <row r="32" spans="1:21" ht="15" customHeight="1" x14ac:dyDescent="0.25">
      <c r="A32" s="53"/>
      <c r="B32" s="168"/>
      <c r="C32" s="152"/>
      <c r="D32" s="153">
        <v>23</v>
      </c>
      <c r="E32" s="154"/>
      <c r="F32" s="738"/>
      <c r="G32" s="155"/>
      <c r="H32" s="738"/>
      <c r="I32" s="155"/>
      <c r="J32" s="739">
        <v>0</v>
      </c>
      <c r="K32" s="155"/>
      <c r="L32" s="740">
        <v>0</v>
      </c>
      <c r="M32" s="156"/>
      <c r="N32" s="740">
        <v>0</v>
      </c>
      <c r="O32" s="154"/>
      <c r="P32" s="152"/>
      <c r="Q32" s="725">
        <f t="shared" si="0"/>
        <v>0</v>
      </c>
      <c r="R32" s="157"/>
      <c r="S32" s="53"/>
      <c r="T32" s="53"/>
      <c r="U32" s="53"/>
    </row>
    <row r="33" spans="1:21" ht="15" customHeight="1" x14ac:dyDescent="0.25">
      <c r="A33" s="53"/>
      <c r="B33" s="168"/>
      <c r="C33" s="152"/>
      <c r="D33" s="153">
        <v>24</v>
      </c>
      <c r="E33" s="154"/>
      <c r="F33" s="738"/>
      <c r="G33" s="155"/>
      <c r="H33" s="738"/>
      <c r="I33" s="155"/>
      <c r="J33" s="739">
        <v>0</v>
      </c>
      <c r="K33" s="155"/>
      <c r="L33" s="740">
        <v>0</v>
      </c>
      <c r="M33" s="156"/>
      <c r="N33" s="740">
        <v>0</v>
      </c>
      <c r="O33" s="154"/>
      <c r="P33" s="152"/>
      <c r="Q33" s="725">
        <f t="shared" si="0"/>
        <v>0</v>
      </c>
      <c r="R33" s="157"/>
      <c r="S33" s="53"/>
      <c r="T33" s="53"/>
      <c r="U33" s="53"/>
    </row>
    <row r="34" spans="1:21" ht="15" customHeight="1" x14ac:dyDescent="0.25">
      <c r="A34" s="53"/>
      <c r="B34" s="168"/>
      <c r="C34" s="152"/>
      <c r="D34" s="153">
        <v>25</v>
      </c>
      <c r="E34" s="154"/>
      <c r="F34" s="738"/>
      <c r="G34" s="155"/>
      <c r="H34" s="738"/>
      <c r="I34" s="155"/>
      <c r="J34" s="739">
        <v>0</v>
      </c>
      <c r="K34" s="155"/>
      <c r="L34" s="740">
        <v>0</v>
      </c>
      <c r="M34" s="156"/>
      <c r="N34" s="740">
        <v>0</v>
      </c>
      <c r="O34" s="154"/>
      <c r="P34" s="152"/>
      <c r="Q34" s="725">
        <f t="shared" si="0"/>
        <v>0</v>
      </c>
      <c r="R34" s="157"/>
      <c r="S34" s="53"/>
      <c r="T34" s="53"/>
      <c r="U34" s="53"/>
    </row>
    <row r="35" spans="1:21" ht="15" customHeight="1" x14ac:dyDescent="0.25">
      <c r="A35" s="53"/>
      <c r="B35" s="168"/>
      <c r="C35" s="152"/>
      <c r="D35" s="153">
        <v>26</v>
      </c>
      <c r="E35" s="154"/>
      <c r="F35" s="738"/>
      <c r="G35" s="155"/>
      <c r="H35" s="738"/>
      <c r="I35" s="155"/>
      <c r="J35" s="739">
        <v>0</v>
      </c>
      <c r="K35" s="155"/>
      <c r="L35" s="740">
        <v>0</v>
      </c>
      <c r="M35" s="156"/>
      <c r="N35" s="740">
        <v>0</v>
      </c>
      <c r="O35" s="154"/>
      <c r="P35" s="152"/>
      <c r="Q35" s="725">
        <f t="shared" si="0"/>
        <v>0</v>
      </c>
      <c r="R35" s="157"/>
      <c r="S35" s="53"/>
      <c r="T35" s="53"/>
      <c r="U35" s="53"/>
    </row>
    <row r="36" spans="1:21" ht="15" customHeight="1" x14ac:dyDescent="0.25">
      <c r="A36" s="53"/>
      <c r="B36" s="168"/>
      <c r="C36" s="152"/>
      <c r="D36" s="153">
        <v>27</v>
      </c>
      <c r="E36" s="154"/>
      <c r="F36" s="738"/>
      <c r="G36" s="155"/>
      <c r="H36" s="738"/>
      <c r="I36" s="155"/>
      <c r="J36" s="739">
        <v>0</v>
      </c>
      <c r="K36" s="155"/>
      <c r="L36" s="740">
        <v>0</v>
      </c>
      <c r="M36" s="156"/>
      <c r="N36" s="740">
        <v>0</v>
      </c>
      <c r="O36" s="154"/>
      <c r="P36" s="152"/>
      <c r="Q36" s="725">
        <f t="shared" si="0"/>
        <v>0</v>
      </c>
      <c r="R36" s="157"/>
      <c r="S36" s="53"/>
      <c r="T36" s="53"/>
      <c r="U36" s="53"/>
    </row>
    <row r="37" spans="1:21" ht="15" customHeight="1" x14ac:dyDescent="0.25">
      <c r="A37" s="53"/>
      <c r="B37" s="168"/>
      <c r="C37" s="152"/>
      <c r="D37" s="153">
        <v>28</v>
      </c>
      <c r="E37" s="154"/>
      <c r="F37" s="738"/>
      <c r="G37" s="155"/>
      <c r="H37" s="738"/>
      <c r="I37" s="155"/>
      <c r="J37" s="739">
        <v>0</v>
      </c>
      <c r="K37" s="155"/>
      <c r="L37" s="740">
        <v>0</v>
      </c>
      <c r="M37" s="156"/>
      <c r="N37" s="740">
        <v>0</v>
      </c>
      <c r="O37" s="154"/>
      <c r="P37" s="152"/>
      <c r="Q37" s="725">
        <f t="shared" si="0"/>
        <v>0</v>
      </c>
      <c r="R37" s="157"/>
      <c r="S37" s="53"/>
      <c r="T37" s="53"/>
      <c r="U37" s="53"/>
    </row>
    <row r="38" spans="1:21" ht="15" customHeight="1" x14ac:dyDescent="0.25">
      <c r="A38" s="53"/>
      <c r="B38" s="168"/>
      <c r="C38" s="152"/>
      <c r="D38" s="153">
        <v>29</v>
      </c>
      <c r="E38" s="154"/>
      <c r="F38" s="738"/>
      <c r="G38" s="155"/>
      <c r="H38" s="738"/>
      <c r="I38" s="155"/>
      <c r="J38" s="739">
        <v>0</v>
      </c>
      <c r="K38" s="155"/>
      <c r="L38" s="740">
        <v>0</v>
      </c>
      <c r="M38" s="156"/>
      <c r="N38" s="740">
        <v>0</v>
      </c>
      <c r="O38" s="154"/>
      <c r="P38" s="152"/>
      <c r="Q38" s="725">
        <f t="shared" si="0"/>
        <v>0</v>
      </c>
      <c r="R38" s="157"/>
      <c r="S38" s="53"/>
      <c r="T38" s="53"/>
      <c r="U38" s="53"/>
    </row>
    <row r="39" spans="1:21" ht="15" customHeight="1" x14ac:dyDescent="0.25">
      <c r="A39" s="53"/>
      <c r="B39" s="168"/>
      <c r="C39" s="152"/>
      <c r="D39" s="153">
        <v>30</v>
      </c>
      <c r="E39" s="154"/>
      <c r="F39" s="738"/>
      <c r="G39" s="155"/>
      <c r="H39" s="738"/>
      <c r="I39" s="155"/>
      <c r="J39" s="739">
        <v>0</v>
      </c>
      <c r="K39" s="155"/>
      <c r="L39" s="740">
        <v>0</v>
      </c>
      <c r="M39" s="156"/>
      <c r="N39" s="740">
        <v>0</v>
      </c>
      <c r="O39" s="154"/>
      <c r="P39" s="152"/>
      <c r="Q39" s="725">
        <f t="shared" si="0"/>
        <v>0</v>
      </c>
      <c r="R39" s="157"/>
      <c r="S39" s="53"/>
      <c r="T39" s="53"/>
      <c r="U39" s="53"/>
    </row>
    <row r="40" spans="1:21" ht="15" customHeight="1" x14ac:dyDescent="0.25">
      <c r="A40" s="53"/>
      <c r="B40" s="168"/>
      <c r="C40" s="152"/>
      <c r="D40" s="153">
        <v>31</v>
      </c>
      <c r="E40" s="154"/>
      <c r="F40" s="738"/>
      <c r="G40" s="155"/>
      <c r="H40" s="738"/>
      <c r="I40" s="155"/>
      <c r="J40" s="739">
        <v>0</v>
      </c>
      <c r="K40" s="155"/>
      <c r="L40" s="740">
        <v>0</v>
      </c>
      <c r="M40" s="156"/>
      <c r="N40" s="740">
        <v>0</v>
      </c>
      <c r="O40" s="154"/>
      <c r="P40" s="152"/>
      <c r="Q40" s="725">
        <f t="shared" si="0"/>
        <v>0</v>
      </c>
      <c r="R40" s="157"/>
      <c r="S40" s="53"/>
      <c r="T40" s="53"/>
      <c r="U40" s="53"/>
    </row>
    <row r="41" spans="1:21" ht="15" customHeight="1" x14ac:dyDescent="0.25">
      <c r="A41" s="53"/>
      <c r="B41" s="168"/>
      <c r="C41" s="152"/>
      <c r="D41" s="153">
        <v>32</v>
      </c>
      <c r="E41" s="154"/>
      <c r="F41" s="738"/>
      <c r="G41" s="155"/>
      <c r="H41" s="738"/>
      <c r="I41" s="155"/>
      <c r="J41" s="739">
        <v>0</v>
      </c>
      <c r="K41" s="155"/>
      <c r="L41" s="740">
        <v>0</v>
      </c>
      <c r="M41" s="156"/>
      <c r="N41" s="740">
        <v>0</v>
      </c>
      <c r="O41" s="154"/>
      <c r="P41" s="152"/>
      <c r="Q41" s="725">
        <f t="shared" si="0"/>
        <v>0</v>
      </c>
      <c r="R41" s="157"/>
      <c r="S41" s="53"/>
      <c r="T41" s="53"/>
      <c r="U41" s="53"/>
    </row>
    <row r="42" spans="1:21" ht="15" customHeight="1" x14ac:dyDescent="0.25">
      <c r="A42" s="53"/>
      <c r="B42" s="168"/>
      <c r="C42" s="152"/>
      <c r="D42" s="153">
        <v>33</v>
      </c>
      <c r="E42" s="154"/>
      <c r="F42" s="738"/>
      <c r="G42" s="155"/>
      <c r="H42" s="738"/>
      <c r="I42" s="155"/>
      <c r="J42" s="739">
        <v>0</v>
      </c>
      <c r="K42" s="155"/>
      <c r="L42" s="740">
        <v>0</v>
      </c>
      <c r="M42" s="156"/>
      <c r="N42" s="740">
        <v>0</v>
      </c>
      <c r="O42" s="154"/>
      <c r="P42" s="152"/>
      <c r="Q42" s="725">
        <f t="shared" si="0"/>
        <v>0</v>
      </c>
      <c r="R42" s="157"/>
      <c r="S42" s="53"/>
      <c r="T42" s="53"/>
      <c r="U42" s="53"/>
    </row>
    <row r="43" spans="1:21" ht="15" customHeight="1" x14ac:dyDescent="0.25">
      <c r="A43" s="53"/>
      <c r="B43" s="168"/>
      <c r="C43" s="152"/>
      <c r="D43" s="153">
        <v>34</v>
      </c>
      <c r="E43" s="154"/>
      <c r="F43" s="738"/>
      <c r="G43" s="155"/>
      <c r="H43" s="738"/>
      <c r="I43" s="155"/>
      <c r="J43" s="739">
        <v>0</v>
      </c>
      <c r="K43" s="155"/>
      <c r="L43" s="740">
        <v>0</v>
      </c>
      <c r="M43" s="156"/>
      <c r="N43" s="740">
        <v>0</v>
      </c>
      <c r="O43" s="154"/>
      <c r="P43" s="152"/>
      <c r="Q43" s="725">
        <f t="shared" si="0"/>
        <v>0</v>
      </c>
      <c r="R43" s="157"/>
      <c r="S43" s="53"/>
      <c r="T43" s="53"/>
      <c r="U43" s="53"/>
    </row>
    <row r="44" spans="1:21" ht="15" customHeight="1" x14ac:dyDescent="0.25">
      <c r="A44" s="53"/>
      <c r="B44" s="168"/>
      <c r="C44" s="152"/>
      <c r="D44" s="153">
        <v>35</v>
      </c>
      <c r="E44" s="154"/>
      <c r="F44" s="738"/>
      <c r="G44" s="155"/>
      <c r="H44" s="738"/>
      <c r="I44" s="155"/>
      <c r="J44" s="739">
        <v>0</v>
      </c>
      <c r="K44" s="155"/>
      <c r="L44" s="740">
        <v>0</v>
      </c>
      <c r="M44" s="156"/>
      <c r="N44" s="740">
        <v>0</v>
      </c>
      <c r="O44" s="154"/>
      <c r="P44" s="152"/>
      <c r="Q44" s="725">
        <f t="shared" si="0"/>
        <v>0</v>
      </c>
      <c r="R44" s="157"/>
      <c r="S44" s="53"/>
      <c r="T44" s="53"/>
      <c r="U44" s="53"/>
    </row>
    <row r="45" spans="1:21" ht="15" customHeight="1" x14ac:dyDescent="0.25">
      <c r="A45" s="53"/>
      <c r="B45" s="168"/>
      <c r="C45" s="152"/>
      <c r="D45" s="153">
        <v>36</v>
      </c>
      <c r="E45" s="154"/>
      <c r="F45" s="738"/>
      <c r="G45" s="155"/>
      <c r="H45" s="738"/>
      <c r="I45" s="155"/>
      <c r="J45" s="739">
        <v>0</v>
      </c>
      <c r="K45" s="155"/>
      <c r="L45" s="740">
        <v>0</v>
      </c>
      <c r="M45" s="156"/>
      <c r="N45" s="740">
        <v>0</v>
      </c>
      <c r="O45" s="154"/>
      <c r="P45" s="152"/>
      <c r="Q45" s="725">
        <f t="shared" si="0"/>
        <v>0</v>
      </c>
      <c r="R45" s="157"/>
      <c r="S45" s="53"/>
      <c r="T45" s="53"/>
      <c r="U45" s="53"/>
    </row>
    <row r="46" spans="1:21" ht="15" customHeight="1" x14ac:dyDescent="0.25">
      <c r="A46" s="53"/>
      <c r="B46" s="168"/>
      <c r="C46" s="152"/>
      <c r="D46" s="153">
        <v>37</v>
      </c>
      <c r="E46" s="154"/>
      <c r="F46" s="738"/>
      <c r="G46" s="155"/>
      <c r="H46" s="738"/>
      <c r="I46" s="155"/>
      <c r="J46" s="739">
        <v>0</v>
      </c>
      <c r="K46" s="155"/>
      <c r="L46" s="740">
        <v>0</v>
      </c>
      <c r="M46" s="156"/>
      <c r="N46" s="740">
        <v>0</v>
      </c>
      <c r="O46" s="154"/>
      <c r="P46" s="152"/>
      <c r="Q46" s="725">
        <f t="shared" si="0"/>
        <v>0</v>
      </c>
      <c r="R46" s="157"/>
      <c r="S46" s="53"/>
      <c r="T46" s="53"/>
      <c r="U46" s="53"/>
    </row>
    <row r="47" spans="1:21" ht="15" customHeight="1" x14ac:dyDescent="0.25">
      <c r="A47" s="53"/>
      <c r="B47" s="168"/>
      <c r="C47" s="152"/>
      <c r="D47" s="153">
        <v>38</v>
      </c>
      <c r="E47" s="154"/>
      <c r="F47" s="738"/>
      <c r="G47" s="155"/>
      <c r="H47" s="738"/>
      <c r="I47" s="155"/>
      <c r="J47" s="739">
        <v>0</v>
      </c>
      <c r="K47" s="155"/>
      <c r="L47" s="740">
        <v>0</v>
      </c>
      <c r="M47" s="156"/>
      <c r="N47" s="740">
        <v>0</v>
      </c>
      <c r="O47" s="154"/>
      <c r="P47" s="152"/>
      <c r="Q47" s="725">
        <f t="shared" si="0"/>
        <v>0</v>
      </c>
      <c r="R47" s="157"/>
      <c r="S47" s="53"/>
      <c r="T47" s="53"/>
      <c r="U47" s="53"/>
    </row>
    <row r="48" spans="1:21" ht="15" customHeight="1" x14ac:dyDescent="0.25">
      <c r="A48" s="53"/>
      <c r="B48" s="168"/>
      <c r="C48" s="152"/>
      <c r="D48" s="153">
        <v>39</v>
      </c>
      <c r="E48" s="154"/>
      <c r="F48" s="738"/>
      <c r="G48" s="155"/>
      <c r="H48" s="738"/>
      <c r="I48" s="155"/>
      <c r="J48" s="739">
        <v>0</v>
      </c>
      <c r="K48" s="155"/>
      <c r="L48" s="740">
        <v>0</v>
      </c>
      <c r="M48" s="156"/>
      <c r="N48" s="740">
        <v>0</v>
      </c>
      <c r="O48" s="154"/>
      <c r="P48" s="152"/>
      <c r="Q48" s="725">
        <f t="shared" si="0"/>
        <v>0</v>
      </c>
      <c r="R48" s="157"/>
      <c r="S48" s="53"/>
      <c r="T48" s="53"/>
      <c r="U48" s="53"/>
    </row>
    <row r="49" spans="1:21" ht="15" customHeight="1" x14ac:dyDescent="0.25">
      <c r="A49" s="53"/>
      <c r="B49" s="168"/>
      <c r="C49" s="152"/>
      <c r="D49" s="153">
        <v>40</v>
      </c>
      <c r="E49" s="154"/>
      <c r="F49" s="738"/>
      <c r="G49" s="155"/>
      <c r="H49" s="738"/>
      <c r="I49" s="155"/>
      <c r="J49" s="739">
        <v>0</v>
      </c>
      <c r="K49" s="155"/>
      <c r="L49" s="740">
        <v>0</v>
      </c>
      <c r="M49" s="156"/>
      <c r="N49" s="740">
        <v>0</v>
      </c>
      <c r="O49" s="154"/>
      <c r="P49" s="152"/>
      <c r="Q49" s="725">
        <f t="shared" si="0"/>
        <v>0</v>
      </c>
      <c r="R49" s="157"/>
      <c r="S49" s="53"/>
      <c r="T49" s="53"/>
      <c r="U49" s="53"/>
    </row>
    <row r="50" spans="1:21" ht="15" customHeight="1" x14ac:dyDescent="0.25">
      <c r="A50" s="53"/>
      <c r="B50" s="168"/>
      <c r="C50" s="152"/>
      <c r="D50" s="153">
        <v>41</v>
      </c>
      <c r="E50" s="154"/>
      <c r="F50" s="738"/>
      <c r="G50" s="155"/>
      <c r="H50" s="738"/>
      <c r="I50" s="155"/>
      <c r="J50" s="739">
        <v>0</v>
      </c>
      <c r="K50" s="155"/>
      <c r="L50" s="740">
        <v>0</v>
      </c>
      <c r="M50" s="156"/>
      <c r="N50" s="740">
        <v>0</v>
      </c>
      <c r="O50" s="154"/>
      <c r="P50" s="152"/>
      <c r="Q50" s="725">
        <f t="shared" si="0"/>
        <v>0</v>
      </c>
      <c r="R50" s="157"/>
      <c r="S50" s="53"/>
      <c r="T50" s="53"/>
      <c r="U50" s="53"/>
    </row>
    <row r="51" spans="1:21" ht="15" customHeight="1" x14ac:dyDescent="0.25">
      <c r="A51" s="53"/>
      <c r="B51" s="168"/>
      <c r="C51" s="152"/>
      <c r="D51" s="153">
        <v>42</v>
      </c>
      <c r="E51" s="154"/>
      <c r="F51" s="738"/>
      <c r="G51" s="155"/>
      <c r="H51" s="738"/>
      <c r="I51" s="155"/>
      <c r="J51" s="739">
        <v>0</v>
      </c>
      <c r="K51" s="155"/>
      <c r="L51" s="740">
        <v>0</v>
      </c>
      <c r="M51" s="156"/>
      <c r="N51" s="740">
        <v>0</v>
      </c>
      <c r="O51" s="154"/>
      <c r="P51" s="152"/>
      <c r="Q51" s="725">
        <f t="shared" si="0"/>
        <v>0</v>
      </c>
      <c r="R51" s="157"/>
      <c r="S51" s="53"/>
      <c r="T51" s="53"/>
      <c r="U51" s="53"/>
    </row>
    <row r="52" spans="1:21" ht="15" customHeight="1" x14ac:dyDescent="0.25">
      <c r="A52" s="53"/>
      <c r="B52" s="168"/>
      <c r="C52" s="152"/>
      <c r="D52" s="153">
        <v>43</v>
      </c>
      <c r="E52" s="154"/>
      <c r="F52" s="738"/>
      <c r="G52" s="155"/>
      <c r="H52" s="738"/>
      <c r="I52" s="155"/>
      <c r="J52" s="739">
        <v>0</v>
      </c>
      <c r="K52" s="155"/>
      <c r="L52" s="740">
        <v>0</v>
      </c>
      <c r="M52" s="156"/>
      <c r="N52" s="740">
        <v>0</v>
      </c>
      <c r="O52" s="154"/>
      <c r="P52" s="152"/>
      <c r="Q52" s="725">
        <f t="shared" si="0"/>
        <v>0</v>
      </c>
      <c r="R52" s="157"/>
      <c r="S52" s="53"/>
      <c r="T52" s="53"/>
      <c r="U52" s="53"/>
    </row>
    <row r="53" spans="1:21" ht="15" customHeight="1" x14ac:dyDescent="0.25">
      <c r="A53" s="53"/>
      <c r="B53" s="168"/>
      <c r="C53" s="152"/>
      <c r="D53" s="153">
        <v>44</v>
      </c>
      <c r="E53" s="154"/>
      <c r="F53" s="738"/>
      <c r="G53" s="155"/>
      <c r="H53" s="738"/>
      <c r="I53" s="155"/>
      <c r="J53" s="739">
        <v>0</v>
      </c>
      <c r="K53" s="155"/>
      <c r="L53" s="740">
        <v>0</v>
      </c>
      <c r="M53" s="156"/>
      <c r="N53" s="740">
        <v>0</v>
      </c>
      <c r="O53" s="154"/>
      <c r="P53" s="152"/>
      <c r="Q53" s="725">
        <f t="shared" si="0"/>
        <v>0</v>
      </c>
      <c r="R53" s="157"/>
      <c r="S53" s="53"/>
      <c r="T53" s="53"/>
      <c r="U53" s="53"/>
    </row>
    <row r="54" spans="1:21" ht="15" customHeight="1" x14ac:dyDescent="0.25">
      <c r="A54" s="53"/>
      <c r="B54" s="168"/>
      <c r="C54" s="152"/>
      <c r="D54" s="153">
        <v>45</v>
      </c>
      <c r="E54" s="154"/>
      <c r="F54" s="738"/>
      <c r="G54" s="155"/>
      <c r="H54" s="738"/>
      <c r="I54" s="155"/>
      <c r="J54" s="739">
        <v>0</v>
      </c>
      <c r="K54" s="155"/>
      <c r="L54" s="740">
        <v>0</v>
      </c>
      <c r="M54" s="156"/>
      <c r="N54" s="740">
        <v>0</v>
      </c>
      <c r="O54" s="154"/>
      <c r="P54" s="152"/>
      <c r="Q54" s="725">
        <f t="shared" si="0"/>
        <v>0</v>
      </c>
      <c r="R54" s="157"/>
      <c r="S54" s="53"/>
      <c r="T54" s="53"/>
      <c r="U54" s="53"/>
    </row>
    <row r="55" spans="1:21" ht="15" customHeight="1" x14ac:dyDescent="0.25">
      <c r="A55" s="53"/>
      <c r="B55" s="168"/>
      <c r="C55" s="152"/>
      <c r="D55" s="153">
        <v>46</v>
      </c>
      <c r="E55" s="154"/>
      <c r="F55" s="738"/>
      <c r="G55" s="155"/>
      <c r="H55" s="738"/>
      <c r="I55" s="155"/>
      <c r="J55" s="739">
        <v>0</v>
      </c>
      <c r="K55" s="155"/>
      <c r="L55" s="740">
        <v>0</v>
      </c>
      <c r="M55" s="156"/>
      <c r="N55" s="740">
        <v>0</v>
      </c>
      <c r="O55" s="154"/>
      <c r="P55" s="152"/>
      <c r="Q55" s="725">
        <f t="shared" si="0"/>
        <v>0</v>
      </c>
      <c r="R55" s="157"/>
      <c r="S55" s="53"/>
      <c r="T55" s="53"/>
      <c r="U55" s="53"/>
    </row>
    <row r="56" spans="1:21" ht="15" customHeight="1" x14ac:dyDescent="0.25">
      <c r="A56" s="53"/>
      <c r="B56" s="168"/>
      <c r="C56" s="152"/>
      <c r="D56" s="153">
        <v>47</v>
      </c>
      <c r="E56" s="154"/>
      <c r="F56" s="738"/>
      <c r="G56" s="155"/>
      <c r="H56" s="738"/>
      <c r="I56" s="155"/>
      <c r="J56" s="739">
        <v>0</v>
      </c>
      <c r="K56" s="155"/>
      <c r="L56" s="740">
        <v>0</v>
      </c>
      <c r="M56" s="156"/>
      <c r="N56" s="740">
        <v>0</v>
      </c>
      <c r="O56" s="154"/>
      <c r="P56" s="152"/>
      <c r="Q56" s="725">
        <f t="shared" si="0"/>
        <v>0</v>
      </c>
      <c r="R56" s="157"/>
      <c r="S56" s="53"/>
      <c r="T56" s="53"/>
      <c r="U56" s="53"/>
    </row>
    <row r="57" spans="1:21" ht="15" customHeight="1" x14ac:dyDescent="0.25">
      <c r="A57" s="53"/>
      <c r="B57" s="168"/>
      <c r="C57" s="152"/>
      <c r="D57" s="153">
        <v>48</v>
      </c>
      <c r="E57" s="154"/>
      <c r="F57" s="738"/>
      <c r="G57" s="155"/>
      <c r="H57" s="738"/>
      <c r="I57" s="155"/>
      <c r="J57" s="739">
        <v>0</v>
      </c>
      <c r="K57" s="155"/>
      <c r="L57" s="740">
        <v>0</v>
      </c>
      <c r="M57" s="156"/>
      <c r="N57" s="740">
        <v>0</v>
      </c>
      <c r="O57" s="154"/>
      <c r="P57" s="152"/>
      <c r="Q57" s="725">
        <f t="shared" si="0"/>
        <v>0</v>
      </c>
      <c r="R57" s="157"/>
      <c r="S57" s="53"/>
      <c r="T57" s="53"/>
      <c r="U57" s="53"/>
    </row>
    <row r="58" spans="1:21" ht="15" customHeight="1" x14ac:dyDescent="0.25">
      <c r="A58" s="53"/>
      <c r="B58" s="168"/>
      <c r="C58" s="152"/>
      <c r="D58" s="153">
        <v>49</v>
      </c>
      <c r="E58" s="154"/>
      <c r="F58" s="738"/>
      <c r="G58" s="155"/>
      <c r="H58" s="738"/>
      <c r="I58" s="155"/>
      <c r="J58" s="739">
        <v>0</v>
      </c>
      <c r="K58" s="155"/>
      <c r="L58" s="740">
        <v>0</v>
      </c>
      <c r="M58" s="156"/>
      <c r="N58" s="740">
        <v>0</v>
      </c>
      <c r="O58" s="154"/>
      <c r="P58" s="152"/>
      <c r="Q58" s="725">
        <f t="shared" si="0"/>
        <v>0</v>
      </c>
      <c r="R58" s="157"/>
      <c r="S58" s="53"/>
      <c r="T58" s="53"/>
      <c r="U58" s="53"/>
    </row>
    <row r="59" spans="1:21" ht="15" customHeight="1" x14ac:dyDescent="0.25">
      <c r="A59" s="53"/>
      <c r="B59" s="168"/>
      <c r="C59" s="152"/>
      <c r="D59" s="153">
        <v>50</v>
      </c>
      <c r="E59" s="154"/>
      <c r="F59" s="738"/>
      <c r="G59" s="155"/>
      <c r="H59" s="738"/>
      <c r="I59" s="155"/>
      <c r="J59" s="739">
        <v>0</v>
      </c>
      <c r="K59" s="155"/>
      <c r="L59" s="740">
        <v>0</v>
      </c>
      <c r="M59" s="156"/>
      <c r="N59" s="740">
        <v>0</v>
      </c>
      <c r="O59" s="154"/>
      <c r="P59" s="152"/>
      <c r="Q59" s="725">
        <f t="shared" si="0"/>
        <v>0</v>
      </c>
      <c r="R59" s="157"/>
      <c r="S59" s="53"/>
      <c r="T59" s="53"/>
      <c r="U59" s="53"/>
    </row>
    <row r="60" spans="1:21" ht="15" customHeight="1" x14ac:dyDescent="0.25">
      <c r="A60" s="53"/>
      <c r="B60" s="168"/>
      <c r="C60" s="152"/>
      <c r="D60" s="153">
        <v>51</v>
      </c>
      <c r="E60" s="154"/>
      <c r="F60" s="738"/>
      <c r="G60" s="155"/>
      <c r="H60" s="738"/>
      <c r="I60" s="155"/>
      <c r="J60" s="739">
        <v>0</v>
      </c>
      <c r="K60" s="155"/>
      <c r="L60" s="740">
        <v>0</v>
      </c>
      <c r="M60" s="156"/>
      <c r="N60" s="740">
        <v>0</v>
      </c>
      <c r="O60" s="154"/>
      <c r="P60" s="152"/>
      <c r="Q60" s="725">
        <f t="shared" si="0"/>
        <v>0</v>
      </c>
      <c r="R60" s="157"/>
      <c r="S60" s="53"/>
      <c r="T60" s="53"/>
      <c r="U60" s="53"/>
    </row>
    <row r="61" spans="1:21" ht="15" customHeight="1" x14ac:dyDescent="0.25">
      <c r="A61" s="53"/>
      <c r="B61" s="168"/>
      <c r="C61" s="152"/>
      <c r="D61" s="153">
        <v>52</v>
      </c>
      <c r="E61" s="154"/>
      <c r="F61" s="738"/>
      <c r="G61" s="155"/>
      <c r="H61" s="738"/>
      <c r="I61" s="155"/>
      <c r="J61" s="739">
        <v>0</v>
      </c>
      <c r="K61" s="155"/>
      <c r="L61" s="740">
        <v>0</v>
      </c>
      <c r="M61" s="156"/>
      <c r="N61" s="740">
        <v>0</v>
      </c>
      <c r="O61" s="154"/>
      <c r="P61" s="152"/>
      <c r="Q61" s="725">
        <f t="shared" si="0"/>
        <v>0</v>
      </c>
      <c r="R61" s="157"/>
      <c r="S61" s="53"/>
      <c r="T61" s="53"/>
      <c r="U61" s="53"/>
    </row>
    <row r="62" spans="1:21" ht="15" customHeight="1" x14ac:dyDescent="0.25">
      <c r="A62" s="53"/>
      <c r="B62" s="168"/>
      <c r="C62" s="152"/>
      <c r="D62" s="153">
        <v>53</v>
      </c>
      <c r="E62" s="154"/>
      <c r="F62" s="738"/>
      <c r="G62" s="155"/>
      <c r="H62" s="738"/>
      <c r="I62" s="155"/>
      <c r="J62" s="739">
        <v>0</v>
      </c>
      <c r="K62" s="155"/>
      <c r="L62" s="740">
        <v>0</v>
      </c>
      <c r="M62" s="156"/>
      <c r="N62" s="740">
        <v>0</v>
      </c>
      <c r="O62" s="154"/>
      <c r="P62" s="152"/>
      <c r="Q62" s="725">
        <f t="shared" si="0"/>
        <v>0</v>
      </c>
      <c r="R62" s="157"/>
      <c r="S62" s="53"/>
      <c r="T62" s="53"/>
      <c r="U62" s="53"/>
    </row>
    <row r="63" spans="1:21" ht="15" customHeight="1" x14ac:dyDescent="0.25">
      <c r="A63" s="53"/>
      <c r="B63" s="168"/>
      <c r="C63" s="152"/>
      <c r="D63" s="153">
        <v>54</v>
      </c>
      <c r="E63" s="154"/>
      <c r="F63" s="738"/>
      <c r="G63" s="155"/>
      <c r="H63" s="738"/>
      <c r="I63" s="155"/>
      <c r="J63" s="739">
        <v>0</v>
      </c>
      <c r="K63" s="155"/>
      <c r="L63" s="740">
        <v>0</v>
      </c>
      <c r="M63" s="156"/>
      <c r="N63" s="740">
        <v>0</v>
      </c>
      <c r="O63" s="154"/>
      <c r="P63" s="152"/>
      <c r="Q63" s="725">
        <f t="shared" si="0"/>
        <v>0</v>
      </c>
      <c r="R63" s="157"/>
      <c r="S63" s="53"/>
      <c r="T63" s="53"/>
      <c r="U63" s="53"/>
    </row>
    <row r="64" spans="1:21" ht="15" customHeight="1" x14ac:dyDescent="0.25">
      <c r="A64" s="53"/>
      <c r="B64" s="168"/>
      <c r="C64" s="152"/>
      <c r="D64" s="153">
        <v>55</v>
      </c>
      <c r="E64" s="154"/>
      <c r="F64" s="738"/>
      <c r="G64" s="155"/>
      <c r="H64" s="738"/>
      <c r="I64" s="155"/>
      <c r="J64" s="739">
        <v>0</v>
      </c>
      <c r="K64" s="155"/>
      <c r="L64" s="740">
        <v>0</v>
      </c>
      <c r="M64" s="156"/>
      <c r="N64" s="740">
        <v>0</v>
      </c>
      <c r="O64" s="154"/>
      <c r="P64" s="152"/>
      <c r="Q64" s="725">
        <f t="shared" si="0"/>
        <v>0</v>
      </c>
      <c r="R64" s="157"/>
      <c r="S64" s="53"/>
      <c r="T64" s="53"/>
      <c r="U64" s="53"/>
    </row>
    <row r="65" spans="1:21" ht="15" customHeight="1" x14ac:dyDescent="0.25">
      <c r="A65" s="53"/>
      <c r="B65" s="168"/>
      <c r="C65" s="152"/>
      <c r="D65" s="153">
        <v>56</v>
      </c>
      <c r="E65" s="154"/>
      <c r="F65" s="738"/>
      <c r="G65" s="155"/>
      <c r="H65" s="738"/>
      <c r="I65" s="155"/>
      <c r="J65" s="739">
        <v>0</v>
      </c>
      <c r="K65" s="155"/>
      <c r="L65" s="740">
        <v>0</v>
      </c>
      <c r="M65" s="156"/>
      <c r="N65" s="740">
        <v>0</v>
      </c>
      <c r="O65" s="154"/>
      <c r="P65" s="152"/>
      <c r="Q65" s="725">
        <f t="shared" si="0"/>
        <v>0</v>
      </c>
      <c r="R65" s="157"/>
      <c r="S65" s="53"/>
      <c r="T65" s="53"/>
      <c r="U65" s="53"/>
    </row>
    <row r="66" spans="1:21" ht="15" customHeight="1" x14ac:dyDescent="0.25">
      <c r="A66" s="53"/>
      <c r="B66" s="168"/>
      <c r="C66" s="152"/>
      <c r="D66" s="153">
        <v>57</v>
      </c>
      <c r="E66" s="154"/>
      <c r="F66" s="738"/>
      <c r="G66" s="155"/>
      <c r="H66" s="738"/>
      <c r="I66" s="155"/>
      <c r="J66" s="739">
        <v>0</v>
      </c>
      <c r="K66" s="155"/>
      <c r="L66" s="740">
        <v>0</v>
      </c>
      <c r="M66" s="156"/>
      <c r="N66" s="740">
        <v>0</v>
      </c>
      <c r="O66" s="154"/>
      <c r="P66" s="152"/>
      <c r="Q66" s="725">
        <f t="shared" si="0"/>
        <v>0</v>
      </c>
      <c r="R66" s="157"/>
      <c r="S66" s="53"/>
      <c r="T66" s="53"/>
      <c r="U66" s="53"/>
    </row>
    <row r="67" spans="1:21" ht="15" customHeight="1" x14ac:dyDescent="0.25">
      <c r="A67" s="53"/>
      <c r="B67" s="168"/>
      <c r="C67" s="152"/>
      <c r="D67" s="153">
        <v>58</v>
      </c>
      <c r="E67" s="154"/>
      <c r="F67" s="738"/>
      <c r="G67" s="155"/>
      <c r="H67" s="738"/>
      <c r="I67" s="155"/>
      <c r="J67" s="739">
        <v>0</v>
      </c>
      <c r="K67" s="155"/>
      <c r="L67" s="740">
        <v>0</v>
      </c>
      <c r="M67" s="156"/>
      <c r="N67" s="740">
        <v>0</v>
      </c>
      <c r="O67" s="154"/>
      <c r="P67" s="152"/>
      <c r="Q67" s="725">
        <f t="shared" si="0"/>
        <v>0</v>
      </c>
      <c r="R67" s="157"/>
      <c r="S67" s="53"/>
      <c r="T67" s="53"/>
      <c r="U67" s="53"/>
    </row>
    <row r="68" spans="1:21" ht="15" customHeight="1" x14ac:dyDescent="0.25">
      <c r="A68" s="53"/>
      <c r="B68" s="168"/>
      <c r="C68" s="152"/>
      <c r="D68" s="153">
        <v>59</v>
      </c>
      <c r="E68" s="154"/>
      <c r="F68" s="738"/>
      <c r="G68" s="155"/>
      <c r="H68" s="738"/>
      <c r="I68" s="155"/>
      <c r="J68" s="739">
        <v>0</v>
      </c>
      <c r="K68" s="155"/>
      <c r="L68" s="740">
        <v>0</v>
      </c>
      <c r="M68" s="156"/>
      <c r="N68" s="740">
        <v>0</v>
      </c>
      <c r="O68" s="154"/>
      <c r="P68" s="152"/>
      <c r="Q68" s="725">
        <f t="shared" si="0"/>
        <v>0</v>
      </c>
      <c r="R68" s="157"/>
      <c r="S68" s="53"/>
      <c r="T68" s="53"/>
      <c r="U68" s="53"/>
    </row>
    <row r="69" spans="1:21" ht="15" customHeight="1" x14ac:dyDescent="0.25">
      <c r="A69" s="53"/>
      <c r="B69" s="168"/>
      <c r="C69" s="152"/>
      <c r="D69" s="153">
        <v>60</v>
      </c>
      <c r="E69" s="154"/>
      <c r="F69" s="738"/>
      <c r="G69" s="155"/>
      <c r="H69" s="738"/>
      <c r="I69" s="155"/>
      <c r="J69" s="739">
        <v>0</v>
      </c>
      <c r="K69" s="155"/>
      <c r="L69" s="740">
        <v>0</v>
      </c>
      <c r="M69" s="156"/>
      <c r="N69" s="740">
        <v>0</v>
      </c>
      <c r="O69" s="154"/>
      <c r="P69" s="152"/>
      <c r="Q69" s="725">
        <f t="shared" si="0"/>
        <v>0</v>
      </c>
      <c r="R69" s="157"/>
      <c r="S69" s="53"/>
      <c r="T69" s="53"/>
      <c r="U69" s="53"/>
    </row>
    <row r="70" spans="1:21" ht="15" customHeight="1" x14ac:dyDescent="0.25">
      <c r="A70" s="53"/>
      <c r="B70" s="168"/>
      <c r="C70" s="152"/>
      <c r="D70" s="153">
        <v>61</v>
      </c>
      <c r="E70" s="154"/>
      <c r="F70" s="738"/>
      <c r="G70" s="155"/>
      <c r="H70" s="738"/>
      <c r="I70" s="155"/>
      <c r="J70" s="739">
        <v>0</v>
      </c>
      <c r="K70" s="155"/>
      <c r="L70" s="740">
        <v>0</v>
      </c>
      <c r="M70" s="156"/>
      <c r="N70" s="740">
        <v>0</v>
      </c>
      <c r="O70" s="154"/>
      <c r="P70" s="152"/>
      <c r="Q70" s="725">
        <f t="shared" si="0"/>
        <v>0</v>
      </c>
      <c r="R70" s="157"/>
      <c r="S70" s="53"/>
      <c r="T70" s="53"/>
      <c r="U70" s="53"/>
    </row>
    <row r="71" spans="1:21" ht="15" customHeight="1" x14ac:dyDescent="0.25">
      <c r="A71" s="53"/>
      <c r="B71" s="168"/>
      <c r="C71" s="152"/>
      <c r="D71" s="153">
        <v>62</v>
      </c>
      <c r="E71" s="154"/>
      <c r="F71" s="738"/>
      <c r="G71" s="155"/>
      <c r="H71" s="738"/>
      <c r="I71" s="155"/>
      <c r="J71" s="739">
        <v>0</v>
      </c>
      <c r="K71" s="155"/>
      <c r="L71" s="740">
        <v>0</v>
      </c>
      <c r="M71" s="156"/>
      <c r="N71" s="740">
        <v>0</v>
      </c>
      <c r="O71" s="154"/>
      <c r="P71" s="152"/>
      <c r="Q71" s="725">
        <f t="shared" si="0"/>
        <v>0</v>
      </c>
      <c r="R71" s="157"/>
      <c r="S71" s="53"/>
      <c r="T71" s="53"/>
      <c r="U71" s="53"/>
    </row>
    <row r="72" spans="1:21" ht="15" customHeight="1" x14ac:dyDescent="0.25">
      <c r="A72" s="53"/>
      <c r="B72" s="168"/>
      <c r="C72" s="152"/>
      <c r="D72" s="153">
        <v>63</v>
      </c>
      <c r="E72" s="154"/>
      <c r="F72" s="738"/>
      <c r="G72" s="155"/>
      <c r="H72" s="738"/>
      <c r="I72" s="155"/>
      <c r="J72" s="739">
        <v>0</v>
      </c>
      <c r="K72" s="155"/>
      <c r="L72" s="740">
        <v>0</v>
      </c>
      <c r="M72" s="156"/>
      <c r="N72" s="740">
        <v>0</v>
      </c>
      <c r="O72" s="154"/>
      <c r="P72" s="152"/>
      <c r="Q72" s="725">
        <f t="shared" si="0"/>
        <v>0</v>
      </c>
      <c r="R72" s="157"/>
      <c r="S72" s="53"/>
      <c r="T72" s="53"/>
      <c r="U72" s="53"/>
    </row>
    <row r="73" spans="1:21" ht="15" customHeight="1" x14ac:dyDescent="0.25">
      <c r="A73" s="53"/>
      <c r="B73" s="168"/>
      <c r="C73" s="152"/>
      <c r="D73" s="153">
        <v>64</v>
      </c>
      <c r="E73" s="154"/>
      <c r="F73" s="738"/>
      <c r="G73" s="155"/>
      <c r="H73" s="738"/>
      <c r="I73" s="155"/>
      <c r="J73" s="739">
        <v>0</v>
      </c>
      <c r="K73" s="155"/>
      <c r="L73" s="740">
        <v>0</v>
      </c>
      <c r="M73" s="156"/>
      <c r="N73" s="740">
        <v>0</v>
      </c>
      <c r="O73" s="154"/>
      <c r="P73" s="152"/>
      <c r="Q73" s="725">
        <f t="shared" si="0"/>
        <v>0</v>
      </c>
      <c r="R73" s="157"/>
      <c r="S73" s="53"/>
      <c r="T73" s="53"/>
      <c r="U73" s="53"/>
    </row>
    <row r="74" spans="1:21" ht="15" customHeight="1" x14ac:dyDescent="0.25">
      <c r="A74" s="53"/>
      <c r="B74" s="168"/>
      <c r="C74" s="152"/>
      <c r="D74" s="153">
        <v>65</v>
      </c>
      <c r="E74" s="154"/>
      <c r="F74" s="738"/>
      <c r="G74" s="155"/>
      <c r="H74" s="738"/>
      <c r="I74" s="155"/>
      <c r="J74" s="739">
        <v>0</v>
      </c>
      <c r="K74" s="155"/>
      <c r="L74" s="740">
        <v>0</v>
      </c>
      <c r="M74" s="156"/>
      <c r="N74" s="740">
        <v>0</v>
      </c>
      <c r="O74" s="154"/>
      <c r="P74" s="152"/>
      <c r="Q74" s="725">
        <f t="shared" si="0"/>
        <v>0</v>
      </c>
      <c r="R74" s="157"/>
      <c r="S74" s="53"/>
      <c r="T74" s="53"/>
      <c r="U74" s="53"/>
    </row>
    <row r="75" spans="1:21" ht="15" customHeight="1" x14ac:dyDescent="0.25">
      <c r="A75" s="53"/>
      <c r="B75" s="168"/>
      <c r="C75" s="152"/>
      <c r="D75" s="153">
        <v>66</v>
      </c>
      <c r="E75" s="154"/>
      <c r="F75" s="738"/>
      <c r="G75" s="155"/>
      <c r="H75" s="738"/>
      <c r="I75" s="155"/>
      <c r="J75" s="739">
        <v>0</v>
      </c>
      <c r="K75" s="155"/>
      <c r="L75" s="740">
        <v>0</v>
      </c>
      <c r="M75" s="156"/>
      <c r="N75" s="740">
        <v>0</v>
      </c>
      <c r="O75" s="154"/>
      <c r="P75" s="152"/>
      <c r="Q75" s="725">
        <f t="shared" ref="Q75:Q99" si="1">MAX(20%*(1-L75-N75)*J75,0)</f>
        <v>0</v>
      </c>
      <c r="R75" s="157"/>
      <c r="S75" s="53"/>
      <c r="T75" s="53"/>
      <c r="U75" s="53"/>
    </row>
    <row r="76" spans="1:21" ht="15" customHeight="1" x14ac:dyDescent="0.25">
      <c r="A76" s="53"/>
      <c r="B76" s="168"/>
      <c r="C76" s="152"/>
      <c r="D76" s="153">
        <v>67</v>
      </c>
      <c r="E76" s="154"/>
      <c r="F76" s="738"/>
      <c r="G76" s="155"/>
      <c r="H76" s="738"/>
      <c r="I76" s="155"/>
      <c r="J76" s="739">
        <v>0</v>
      </c>
      <c r="K76" s="155"/>
      <c r="L76" s="740">
        <v>0</v>
      </c>
      <c r="M76" s="156"/>
      <c r="N76" s="740">
        <v>0</v>
      </c>
      <c r="O76" s="154"/>
      <c r="P76" s="152"/>
      <c r="Q76" s="725">
        <f t="shared" si="1"/>
        <v>0</v>
      </c>
      <c r="R76" s="157"/>
      <c r="S76" s="53"/>
      <c r="T76" s="53"/>
      <c r="U76" s="53"/>
    </row>
    <row r="77" spans="1:21" ht="15" customHeight="1" x14ac:dyDescent="0.25">
      <c r="A77" s="53"/>
      <c r="B77" s="168"/>
      <c r="C77" s="152"/>
      <c r="D77" s="153">
        <v>68</v>
      </c>
      <c r="E77" s="154"/>
      <c r="F77" s="738"/>
      <c r="G77" s="155"/>
      <c r="H77" s="738"/>
      <c r="I77" s="155"/>
      <c r="J77" s="739">
        <v>0</v>
      </c>
      <c r="K77" s="155"/>
      <c r="L77" s="740">
        <v>0</v>
      </c>
      <c r="M77" s="156"/>
      <c r="N77" s="740">
        <v>0</v>
      </c>
      <c r="O77" s="154"/>
      <c r="P77" s="152"/>
      <c r="Q77" s="725">
        <f t="shared" si="1"/>
        <v>0</v>
      </c>
      <c r="R77" s="157"/>
      <c r="S77" s="53"/>
      <c r="T77" s="53"/>
      <c r="U77" s="53"/>
    </row>
    <row r="78" spans="1:21" ht="15" customHeight="1" x14ac:dyDescent="0.25">
      <c r="A78" s="53"/>
      <c r="B78" s="168"/>
      <c r="C78" s="152"/>
      <c r="D78" s="153">
        <v>69</v>
      </c>
      <c r="E78" s="154"/>
      <c r="F78" s="738"/>
      <c r="G78" s="155"/>
      <c r="H78" s="738"/>
      <c r="I78" s="155"/>
      <c r="J78" s="739">
        <v>0</v>
      </c>
      <c r="K78" s="155"/>
      <c r="L78" s="740">
        <v>0</v>
      </c>
      <c r="M78" s="156"/>
      <c r="N78" s="740">
        <v>0</v>
      </c>
      <c r="O78" s="154"/>
      <c r="P78" s="152"/>
      <c r="Q78" s="725">
        <f t="shared" si="1"/>
        <v>0</v>
      </c>
      <c r="R78" s="157"/>
      <c r="S78" s="53"/>
      <c r="T78" s="53"/>
      <c r="U78" s="53"/>
    </row>
    <row r="79" spans="1:21" ht="15" customHeight="1" x14ac:dyDescent="0.25">
      <c r="A79" s="53"/>
      <c r="B79" s="168"/>
      <c r="C79" s="152"/>
      <c r="D79" s="153">
        <v>70</v>
      </c>
      <c r="E79" s="154"/>
      <c r="F79" s="738"/>
      <c r="G79" s="155"/>
      <c r="H79" s="738"/>
      <c r="I79" s="155"/>
      <c r="J79" s="739">
        <v>0</v>
      </c>
      <c r="K79" s="155"/>
      <c r="L79" s="740">
        <v>0</v>
      </c>
      <c r="M79" s="156"/>
      <c r="N79" s="740">
        <v>0</v>
      </c>
      <c r="O79" s="154"/>
      <c r="P79" s="152"/>
      <c r="Q79" s="725">
        <f t="shared" si="1"/>
        <v>0</v>
      </c>
      <c r="R79" s="157"/>
      <c r="S79" s="53"/>
      <c r="T79" s="53"/>
      <c r="U79" s="53"/>
    </row>
    <row r="80" spans="1:21" ht="15" customHeight="1" x14ac:dyDescent="0.25">
      <c r="A80" s="53"/>
      <c r="B80" s="168"/>
      <c r="C80" s="152"/>
      <c r="D80" s="153">
        <v>71</v>
      </c>
      <c r="E80" s="154"/>
      <c r="F80" s="738"/>
      <c r="G80" s="155"/>
      <c r="H80" s="738"/>
      <c r="I80" s="155"/>
      <c r="J80" s="739">
        <v>0</v>
      </c>
      <c r="K80" s="155"/>
      <c r="L80" s="740">
        <v>0</v>
      </c>
      <c r="M80" s="156"/>
      <c r="N80" s="740">
        <v>0</v>
      </c>
      <c r="O80" s="154"/>
      <c r="P80" s="152"/>
      <c r="Q80" s="725">
        <f t="shared" si="1"/>
        <v>0</v>
      </c>
      <c r="R80" s="157"/>
      <c r="S80" s="53"/>
      <c r="T80" s="53"/>
      <c r="U80" s="53"/>
    </row>
    <row r="81" spans="1:21" ht="15" customHeight="1" x14ac:dyDescent="0.25">
      <c r="A81" s="53"/>
      <c r="B81" s="168"/>
      <c r="C81" s="152"/>
      <c r="D81" s="153">
        <v>72</v>
      </c>
      <c r="E81" s="154"/>
      <c r="F81" s="738"/>
      <c r="G81" s="155"/>
      <c r="H81" s="738"/>
      <c r="I81" s="155"/>
      <c r="J81" s="739">
        <v>0</v>
      </c>
      <c r="K81" s="155"/>
      <c r="L81" s="740">
        <v>0</v>
      </c>
      <c r="M81" s="156"/>
      <c r="N81" s="740">
        <v>0</v>
      </c>
      <c r="O81" s="154"/>
      <c r="P81" s="152"/>
      <c r="Q81" s="725">
        <f t="shared" si="1"/>
        <v>0</v>
      </c>
      <c r="R81" s="157"/>
      <c r="S81" s="53"/>
      <c r="T81" s="53"/>
      <c r="U81" s="53"/>
    </row>
    <row r="82" spans="1:21" ht="15" customHeight="1" x14ac:dyDescent="0.25">
      <c r="A82" s="53"/>
      <c r="B82" s="168"/>
      <c r="C82" s="152"/>
      <c r="D82" s="153">
        <v>73</v>
      </c>
      <c r="E82" s="154"/>
      <c r="F82" s="738"/>
      <c r="G82" s="155"/>
      <c r="H82" s="738"/>
      <c r="I82" s="155"/>
      <c r="J82" s="739">
        <v>0</v>
      </c>
      <c r="K82" s="155"/>
      <c r="L82" s="740">
        <v>0</v>
      </c>
      <c r="M82" s="156"/>
      <c r="N82" s="740">
        <v>0</v>
      </c>
      <c r="O82" s="154"/>
      <c r="P82" s="152"/>
      <c r="Q82" s="725">
        <f t="shared" si="1"/>
        <v>0</v>
      </c>
      <c r="R82" s="157"/>
      <c r="S82" s="53"/>
      <c r="T82" s="53"/>
      <c r="U82" s="53"/>
    </row>
    <row r="83" spans="1:21" ht="15" customHeight="1" x14ac:dyDescent="0.25">
      <c r="A83" s="53"/>
      <c r="B83" s="168"/>
      <c r="C83" s="152"/>
      <c r="D83" s="153">
        <v>74</v>
      </c>
      <c r="E83" s="154"/>
      <c r="F83" s="738"/>
      <c r="G83" s="155"/>
      <c r="H83" s="738"/>
      <c r="I83" s="155"/>
      <c r="J83" s="739">
        <v>0</v>
      </c>
      <c r="K83" s="155"/>
      <c r="L83" s="740">
        <v>0</v>
      </c>
      <c r="M83" s="156"/>
      <c r="N83" s="740">
        <v>0</v>
      </c>
      <c r="O83" s="154"/>
      <c r="P83" s="152"/>
      <c r="Q83" s="725">
        <f t="shared" si="1"/>
        <v>0</v>
      </c>
      <c r="R83" s="157"/>
      <c r="S83" s="53"/>
      <c r="T83" s="53"/>
      <c r="U83" s="53"/>
    </row>
    <row r="84" spans="1:21" ht="15" customHeight="1" x14ac:dyDescent="0.25">
      <c r="A84" s="53"/>
      <c r="B84" s="168"/>
      <c r="C84" s="152"/>
      <c r="D84" s="153">
        <v>75</v>
      </c>
      <c r="E84" s="154"/>
      <c r="F84" s="738"/>
      <c r="G84" s="155"/>
      <c r="H84" s="738"/>
      <c r="I84" s="155"/>
      <c r="J84" s="739">
        <v>0</v>
      </c>
      <c r="K84" s="155"/>
      <c r="L84" s="740">
        <v>0</v>
      </c>
      <c r="M84" s="156"/>
      <c r="N84" s="740">
        <v>0</v>
      </c>
      <c r="O84" s="154"/>
      <c r="P84" s="152"/>
      <c r="Q84" s="725">
        <f t="shared" si="1"/>
        <v>0</v>
      </c>
      <c r="R84" s="157"/>
      <c r="S84" s="53"/>
      <c r="T84" s="53"/>
      <c r="U84" s="53"/>
    </row>
    <row r="85" spans="1:21" ht="15" customHeight="1" x14ac:dyDescent="0.25">
      <c r="A85" s="53"/>
      <c r="B85" s="168"/>
      <c r="C85" s="152"/>
      <c r="D85" s="153">
        <v>76</v>
      </c>
      <c r="E85" s="154"/>
      <c r="F85" s="738"/>
      <c r="G85" s="155"/>
      <c r="H85" s="738"/>
      <c r="I85" s="155"/>
      <c r="J85" s="739">
        <v>0</v>
      </c>
      <c r="K85" s="155"/>
      <c r="L85" s="740">
        <v>0</v>
      </c>
      <c r="M85" s="156"/>
      <c r="N85" s="740">
        <v>0</v>
      </c>
      <c r="O85" s="154"/>
      <c r="P85" s="152"/>
      <c r="Q85" s="725">
        <f t="shared" si="1"/>
        <v>0</v>
      </c>
      <c r="R85" s="157"/>
      <c r="S85" s="53"/>
      <c r="T85" s="53"/>
      <c r="U85" s="53"/>
    </row>
    <row r="86" spans="1:21" ht="15" customHeight="1" x14ac:dyDescent="0.25">
      <c r="A86" s="53"/>
      <c r="B86" s="168"/>
      <c r="C86" s="152"/>
      <c r="D86" s="153">
        <v>77</v>
      </c>
      <c r="E86" s="154"/>
      <c r="F86" s="738"/>
      <c r="G86" s="155"/>
      <c r="H86" s="738"/>
      <c r="I86" s="155"/>
      <c r="J86" s="739">
        <v>0</v>
      </c>
      <c r="K86" s="155"/>
      <c r="L86" s="740">
        <v>0</v>
      </c>
      <c r="M86" s="156"/>
      <c r="N86" s="740">
        <v>0</v>
      </c>
      <c r="O86" s="154"/>
      <c r="P86" s="152"/>
      <c r="Q86" s="725">
        <f t="shared" si="1"/>
        <v>0</v>
      </c>
      <c r="R86" s="157"/>
      <c r="S86" s="53"/>
      <c r="T86" s="53"/>
      <c r="U86" s="53"/>
    </row>
    <row r="87" spans="1:21" ht="15" customHeight="1" x14ac:dyDescent="0.25">
      <c r="A87" s="53"/>
      <c r="B87" s="168"/>
      <c r="C87" s="152"/>
      <c r="D87" s="153">
        <v>78</v>
      </c>
      <c r="E87" s="154"/>
      <c r="F87" s="738"/>
      <c r="G87" s="155"/>
      <c r="H87" s="738"/>
      <c r="I87" s="155"/>
      <c r="J87" s="739">
        <v>0</v>
      </c>
      <c r="K87" s="155"/>
      <c r="L87" s="740">
        <v>0</v>
      </c>
      <c r="M87" s="156"/>
      <c r="N87" s="740">
        <v>0</v>
      </c>
      <c r="O87" s="154"/>
      <c r="P87" s="152"/>
      <c r="Q87" s="725">
        <f t="shared" si="1"/>
        <v>0</v>
      </c>
      <c r="R87" s="157"/>
      <c r="S87" s="53"/>
      <c r="T87" s="53"/>
      <c r="U87" s="53"/>
    </row>
    <row r="88" spans="1:21" ht="15" customHeight="1" x14ac:dyDescent="0.25">
      <c r="A88" s="53"/>
      <c r="B88" s="168"/>
      <c r="C88" s="152"/>
      <c r="D88" s="153">
        <v>79</v>
      </c>
      <c r="E88" s="154"/>
      <c r="F88" s="738"/>
      <c r="G88" s="155"/>
      <c r="H88" s="738"/>
      <c r="I88" s="155"/>
      <c r="J88" s="739">
        <v>0</v>
      </c>
      <c r="K88" s="155"/>
      <c r="L88" s="740">
        <v>0</v>
      </c>
      <c r="M88" s="156"/>
      <c r="N88" s="740">
        <v>0</v>
      </c>
      <c r="O88" s="154"/>
      <c r="P88" s="152"/>
      <c r="Q88" s="725">
        <f t="shared" si="1"/>
        <v>0</v>
      </c>
      <c r="R88" s="157"/>
      <c r="S88" s="53"/>
      <c r="T88" s="53"/>
      <c r="U88" s="53"/>
    </row>
    <row r="89" spans="1:21" ht="15" customHeight="1" x14ac:dyDescent="0.25">
      <c r="A89" s="53"/>
      <c r="B89" s="168"/>
      <c r="C89" s="152"/>
      <c r="D89" s="153">
        <v>80</v>
      </c>
      <c r="E89" s="154"/>
      <c r="F89" s="738"/>
      <c r="G89" s="155"/>
      <c r="H89" s="738"/>
      <c r="I89" s="155"/>
      <c r="J89" s="739">
        <v>0</v>
      </c>
      <c r="K89" s="155"/>
      <c r="L89" s="740">
        <v>0</v>
      </c>
      <c r="M89" s="156"/>
      <c r="N89" s="740">
        <v>0</v>
      </c>
      <c r="O89" s="154"/>
      <c r="P89" s="152"/>
      <c r="Q89" s="725">
        <f t="shared" si="1"/>
        <v>0</v>
      </c>
      <c r="R89" s="157"/>
      <c r="S89" s="53"/>
      <c r="T89" s="53"/>
      <c r="U89" s="53"/>
    </row>
    <row r="90" spans="1:21" ht="15" customHeight="1" x14ac:dyDescent="0.25">
      <c r="A90" s="53"/>
      <c r="B90" s="168"/>
      <c r="C90" s="152"/>
      <c r="D90" s="153">
        <v>81</v>
      </c>
      <c r="E90" s="154"/>
      <c r="F90" s="738"/>
      <c r="G90" s="155"/>
      <c r="H90" s="738"/>
      <c r="I90" s="155"/>
      <c r="J90" s="739">
        <v>0</v>
      </c>
      <c r="K90" s="155"/>
      <c r="L90" s="740">
        <v>0</v>
      </c>
      <c r="M90" s="156"/>
      <c r="N90" s="740">
        <v>0</v>
      </c>
      <c r="O90" s="154"/>
      <c r="P90" s="152"/>
      <c r="Q90" s="725">
        <f t="shared" si="1"/>
        <v>0</v>
      </c>
      <c r="R90" s="157"/>
      <c r="S90" s="53"/>
      <c r="T90" s="53"/>
      <c r="U90" s="53"/>
    </row>
    <row r="91" spans="1:21" ht="15" customHeight="1" x14ac:dyDescent="0.25">
      <c r="A91" s="53"/>
      <c r="B91" s="168"/>
      <c r="C91" s="152"/>
      <c r="D91" s="153">
        <v>82</v>
      </c>
      <c r="E91" s="154"/>
      <c r="F91" s="738"/>
      <c r="G91" s="155"/>
      <c r="H91" s="738"/>
      <c r="I91" s="155"/>
      <c r="J91" s="739">
        <v>0</v>
      </c>
      <c r="K91" s="155"/>
      <c r="L91" s="740">
        <v>0</v>
      </c>
      <c r="M91" s="156"/>
      <c r="N91" s="740">
        <v>0</v>
      </c>
      <c r="O91" s="154"/>
      <c r="P91" s="152"/>
      <c r="Q91" s="725">
        <f t="shared" si="1"/>
        <v>0</v>
      </c>
      <c r="R91" s="157"/>
      <c r="S91" s="53"/>
      <c r="T91" s="53"/>
      <c r="U91" s="53"/>
    </row>
    <row r="92" spans="1:21" ht="15" customHeight="1" x14ac:dyDescent="0.25">
      <c r="A92" s="53"/>
      <c r="B92" s="168"/>
      <c r="C92" s="152"/>
      <c r="D92" s="153">
        <v>83</v>
      </c>
      <c r="E92" s="154"/>
      <c r="F92" s="738"/>
      <c r="G92" s="155"/>
      <c r="H92" s="738"/>
      <c r="I92" s="155"/>
      <c r="J92" s="739">
        <v>0</v>
      </c>
      <c r="K92" s="155"/>
      <c r="L92" s="740">
        <v>0</v>
      </c>
      <c r="M92" s="156"/>
      <c r="N92" s="740">
        <v>0</v>
      </c>
      <c r="O92" s="154"/>
      <c r="P92" s="152"/>
      <c r="Q92" s="725">
        <f t="shared" si="1"/>
        <v>0</v>
      </c>
      <c r="R92" s="157"/>
      <c r="S92" s="53"/>
      <c r="T92" s="53"/>
      <c r="U92" s="53"/>
    </row>
    <row r="93" spans="1:21" ht="15" customHeight="1" x14ac:dyDescent="0.25">
      <c r="A93" s="53"/>
      <c r="B93" s="168"/>
      <c r="C93" s="152"/>
      <c r="D93" s="153">
        <v>84</v>
      </c>
      <c r="E93" s="154"/>
      <c r="F93" s="738"/>
      <c r="G93" s="155"/>
      <c r="H93" s="738"/>
      <c r="I93" s="155"/>
      <c r="J93" s="739">
        <v>0</v>
      </c>
      <c r="K93" s="155"/>
      <c r="L93" s="740">
        <v>0</v>
      </c>
      <c r="M93" s="156"/>
      <c r="N93" s="740">
        <v>0</v>
      </c>
      <c r="O93" s="154"/>
      <c r="P93" s="152"/>
      <c r="Q93" s="725">
        <f t="shared" si="1"/>
        <v>0</v>
      </c>
      <c r="R93" s="157"/>
      <c r="S93" s="53"/>
      <c r="T93" s="53"/>
      <c r="U93" s="53"/>
    </row>
    <row r="94" spans="1:21" ht="15" customHeight="1" x14ac:dyDescent="0.25">
      <c r="A94" s="53"/>
      <c r="B94" s="168"/>
      <c r="C94" s="152"/>
      <c r="D94" s="153">
        <v>85</v>
      </c>
      <c r="E94" s="154"/>
      <c r="F94" s="738"/>
      <c r="G94" s="155"/>
      <c r="H94" s="738"/>
      <c r="I94" s="155"/>
      <c r="J94" s="739">
        <v>0</v>
      </c>
      <c r="K94" s="155"/>
      <c r="L94" s="740">
        <v>0</v>
      </c>
      <c r="M94" s="156"/>
      <c r="N94" s="740">
        <v>0</v>
      </c>
      <c r="O94" s="154"/>
      <c r="P94" s="152"/>
      <c r="Q94" s="725">
        <f t="shared" si="1"/>
        <v>0</v>
      </c>
      <c r="R94" s="157"/>
      <c r="S94" s="53"/>
      <c r="T94" s="53"/>
      <c r="U94" s="53"/>
    </row>
    <row r="95" spans="1:21" ht="15" customHeight="1" x14ac:dyDescent="0.25">
      <c r="A95" s="53"/>
      <c r="B95" s="168"/>
      <c r="C95" s="152"/>
      <c r="D95" s="153">
        <v>86</v>
      </c>
      <c r="E95" s="154"/>
      <c r="F95" s="738"/>
      <c r="G95" s="155"/>
      <c r="H95" s="738"/>
      <c r="I95" s="155"/>
      <c r="J95" s="739">
        <v>0</v>
      </c>
      <c r="K95" s="155"/>
      <c r="L95" s="740">
        <v>0</v>
      </c>
      <c r="M95" s="156"/>
      <c r="N95" s="740">
        <v>0</v>
      </c>
      <c r="O95" s="154"/>
      <c r="P95" s="152"/>
      <c r="Q95" s="725">
        <f t="shared" si="1"/>
        <v>0</v>
      </c>
      <c r="R95" s="157"/>
      <c r="S95" s="53"/>
      <c r="T95" s="53"/>
      <c r="U95" s="53"/>
    </row>
    <row r="96" spans="1:21" ht="15" customHeight="1" x14ac:dyDescent="0.25">
      <c r="A96" s="53"/>
      <c r="B96" s="168"/>
      <c r="C96" s="152"/>
      <c r="D96" s="153">
        <v>87</v>
      </c>
      <c r="E96" s="154"/>
      <c r="F96" s="738"/>
      <c r="G96" s="155"/>
      <c r="H96" s="738"/>
      <c r="I96" s="155"/>
      <c r="J96" s="739">
        <v>0</v>
      </c>
      <c r="K96" s="155"/>
      <c r="L96" s="740">
        <v>0</v>
      </c>
      <c r="M96" s="156"/>
      <c r="N96" s="740">
        <v>0</v>
      </c>
      <c r="O96" s="154"/>
      <c r="P96" s="152"/>
      <c r="Q96" s="725">
        <f t="shared" si="1"/>
        <v>0</v>
      </c>
      <c r="R96" s="157"/>
      <c r="S96" s="53"/>
      <c r="T96" s="53"/>
      <c r="U96" s="53"/>
    </row>
    <row r="97" spans="1:21" ht="15" customHeight="1" x14ac:dyDescent="0.25">
      <c r="A97" s="53"/>
      <c r="B97" s="168"/>
      <c r="C97" s="152"/>
      <c r="D97" s="153">
        <v>88</v>
      </c>
      <c r="E97" s="154"/>
      <c r="F97" s="738"/>
      <c r="G97" s="155"/>
      <c r="H97" s="738"/>
      <c r="I97" s="155"/>
      <c r="J97" s="739">
        <v>0</v>
      </c>
      <c r="K97" s="155"/>
      <c r="L97" s="740">
        <v>0</v>
      </c>
      <c r="M97" s="156"/>
      <c r="N97" s="740">
        <v>0</v>
      </c>
      <c r="O97" s="154"/>
      <c r="P97" s="152"/>
      <c r="Q97" s="725">
        <f t="shared" si="1"/>
        <v>0</v>
      </c>
      <c r="R97" s="157"/>
      <c r="S97" s="53"/>
      <c r="T97" s="53"/>
      <c r="U97" s="53"/>
    </row>
    <row r="98" spans="1:21" ht="15" customHeight="1" x14ac:dyDescent="0.25">
      <c r="A98" s="53"/>
      <c r="B98" s="168"/>
      <c r="C98" s="152"/>
      <c r="D98" s="153">
        <v>89</v>
      </c>
      <c r="E98" s="154"/>
      <c r="F98" s="738"/>
      <c r="G98" s="155"/>
      <c r="H98" s="738"/>
      <c r="I98" s="155"/>
      <c r="J98" s="739">
        <v>0</v>
      </c>
      <c r="K98" s="155"/>
      <c r="L98" s="740">
        <v>0</v>
      </c>
      <c r="M98" s="156"/>
      <c r="N98" s="740">
        <v>0</v>
      </c>
      <c r="O98" s="154"/>
      <c r="P98" s="152"/>
      <c r="Q98" s="725">
        <f t="shared" si="1"/>
        <v>0</v>
      </c>
      <c r="R98" s="157"/>
      <c r="S98" s="53"/>
      <c r="T98" s="53"/>
      <c r="U98" s="53"/>
    </row>
    <row r="99" spans="1:21" ht="15" customHeight="1" x14ac:dyDescent="0.25">
      <c r="A99" s="53"/>
      <c r="B99" s="168"/>
      <c r="C99" s="152"/>
      <c r="D99" s="153">
        <v>90</v>
      </c>
      <c r="E99" s="154"/>
      <c r="F99" s="738"/>
      <c r="G99" s="155"/>
      <c r="H99" s="738"/>
      <c r="I99" s="155"/>
      <c r="J99" s="739">
        <v>0</v>
      </c>
      <c r="K99" s="155"/>
      <c r="L99" s="740">
        <v>0</v>
      </c>
      <c r="M99" s="156"/>
      <c r="N99" s="740">
        <v>0</v>
      </c>
      <c r="O99" s="154"/>
      <c r="P99" s="152"/>
      <c r="Q99" s="725">
        <f t="shared" si="1"/>
        <v>0</v>
      </c>
      <c r="R99" s="157"/>
      <c r="S99" s="53"/>
      <c r="T99" s="53"/>
      <c r="U99" s="53"/>
    </row>
    <row r="100" spans="1:21" ht="6" customHeight="1" x14ac:dyDescent="0.25">
      <c r="A100" s="53"/>
      <c r="B100" s="106"/>
      <c r="C100" s="150"/>
      <c r="D100" s="80"/>
      <c r="E100" s="80"/>
      <c r="F100" s="80"/>
      <c r="G100" s="80"/>
      <c r="H100" s="80"/>
      <c r="I100" s="80"/>
      <c r="J100" s="80"/>
      <c r="K100" s="80"/>
      <c r="L100" s="80"/>
      <c r="M100" s="80"/>
      <c r="N100" s="80"/>
      <c r="O100" s="80"/>
      <c r="P100" s="150"/>
      <c r="Q100" s="741"/>
      <c r="R100" s="81"/>
      <c r="S100" s="53"/>
      <c r="T100" s="53"/>
      <c r="U100" s="53"/>
    </row>
    <row r="101" spans="1:21" ht="15.75" x14ac:dyDescent="0.25">
      <c r="A101" s="53"/>
      <c r="B101" s="219"/>
      <c r="C101" s="150"/>
      <c r="D101" s="274" t="s">
        <v>509</v>
      </c>
      <c r="E101" s="80"/>
      <c r="F101" s="80"/>
      <c r="G101" s="80"/>
      <c r="H101" s="80"/>
      <c r="I101" s="80"/>
      <c r="J101" s="80"/>
      <c r="K101" s="80"/>
      <c r="L101" s="80"/>
      <c r="M101" s="80"/>
      <c r="N101" s="80"/>
      <c r="O101" s="80"/>
      <c r="P101" s="150"/>
      <c r="Q101" s="725">
        <f>SUM(Q10:Q99)</f>
        <v>0</v>
      </c>
      <c r="R101" s="81"/>
      <c r="S101" s="53"/>
      <c r="T101" s="53"/>
      <c r="U101" s="53"/>
    </row>
    <row r="102" spans="1:21" ht="16.5" thickBot="1" x14ac:dyDescent="0.3">
      <c r="A102" s="53"/>
      <c r="B102" s="110"/>
      <c r="C102" s="159"/>
      <c r="D102" s="93"/>
      <c r="E102" s="93"/>
      <c r="F102" s="93"/>
      <c r="G102" s="93"/>
      <c r="H102" s="93"/>
      <c r="I102" s="93"/>
      <c r="J102" s="93"/>
      <c r="K102" s="93"/>
      <c r="L102" s="93"/>
      <c r="M102" s="93"/>
      <c r="N102" s="93"/>
      <c r="O102" s="93"/>
      <c r="P102" s="159"/>
      <c r="Q102" s="93"/>
      <c r="R102" s="94"/>
      <c r="S102" s="53"/>
      <c r="T102" s="53"/>
      <c r="U102" s="53"/>
    </row>
    <row r="103" spans="1:21" ht="15.75" x14ac:dyDescent="0.25">
      <c r="A103" s="53"/>
      <c r="B103" s="53"/>
      <c r="C103" s="53"/>
      <c r="D103" s="53"/>
      <c r="E103" s="53"/>
      <c r="F103" s="53"/>
      <c r="G103" s="53"/>
      <c r="H103" s="53"/>
      <c r="I103" s="53"/>
      <c r="J103" s="53"/>
      <c r="K103" s="53"/>
      <c r="L103" s="53"/>
      <c r="M103" s="53"/>
      <c r="N103" s="53"/>
      <c r="O103" s="53"/>
      <c r="P103" s="53"/>
      <c r="Q103" s="53"/>
      <c r="R103" s="53"/>
      <c r="S103" s="53"/>
      <c r="T103" s="53"/>
      <c r="U103" s="53"/>
    </row>
    <row r="104" spans="1:21" ht="15.75" x14ac:dyDescent="0.25">
      <c r="A104" s="53"/>
      <c r="B104" s="53"/>
      <c r="C104" s="53"/>
      <c r="D104" s="53"/>
      <c r="E104" s="53"/>
      <c r="F104" s="53"/>
      <c r="G104" s="53"/>
      <c r="H104" s="53"/>
      <c r="I104" s="53"/>
      <c r="J104" s="53"/>
      <c r="K104" s="53"/>
      <c r="L104" s="53"/>
      <c r="M104" s="53"/>
      <c r="N104" s="53"/>
      <c r="O104" s="53"/>
      <c r="P104" s="53"/>
      <c r="Q104" s="53"/>
      <c r="R104" s="53"/>
      <c r="S104" s="53"/>
      <c r="T104" s="53"/>
      <c r="U104" s="53"/>
    </row>
    <row r="105" spans="1:21" ht="15.75" x14ac:dyDescent="0.25">
      <c r="A105" s="53"/>
      <c r="B105" s="53"/>
      <c r="C105" s="53"/>
      <c r="D105" s="53"/>
      <c r="E105" s="53"/>
      <c r="F105" s="53"/>
      <c r="G105" s="53"/>
      <c r="H105" s="53"/>
      <c r="I105" s="53"/>
      <c r="J105" s="53"/>
      <c r="K105" s="53"/>
      <c r="L105" s="53"/>
      <c r="M105" s="53"/>
      <c r="N105" s="53"/>
      <c r="O105" s="53"/>
      <c r="P105" s="53"/>
      <c r="Q105" s="53"/>
      <c r="R105" s="53"/>
      <c r="S105" s="53"/>
      <c r="T105" s="53"/>
      <c r="U105" s="53"/>
    </row>
    <row r="106" spans="1:21" ht="15.75" x14ac:dyDescent="0.25">
      <c r="A106" s="53"/>
      <c r="B106" s="53"/>
      <c r="C106" s="53"/>
      <c r="D106" s="53"/>
      <c r="E106" s="53"/>
      <c r="F106" s="53"/>
      <c r="G106" s="53"/>
      <c r="H106" s="53"/>
      <c r="I106" s="53"/>
      <c r="J106" s="53"/>
      <c r="K106" s="53"/>
      <c r="L106" s="53"/>
      <c r="M106" s="53"/>
      <c r="N106" s="53"/>
      <c r="O106" s="53"/>
      <c r="P106" s="53"/>
      <c r="Q106" s="53"/>
      <c r="R106" s="53"/>
      <c r="S106" s="53"/>
      <c r="T106" s="53"/>
      <c r="U106" s="53"/>
    </row>
    <row r="107" spans="1:21" ht="15.75" x14ac:dyDescent="0.25">
      <c r="A107" s="53"/>
      <c r="B107" s="53"/>
      <c r="C107" s="53"/>
      <c r="D107" s="53"/>
      <c r="E107" s="53"/>
      <c r="F107" s="53"/>
      <c r="G107" s="53"/>
      <c r="H107" s="53"/>
      <c r="I107" s="53"/>
      <c r="J107" s="53"/>
      <c r="K107" s="53"/>
      <c r="L107" s="53"/>
      <c r="M107" s="53"/>
      <c r="N107" s="53"/>
      <c r="O107" s="53"/>
      <c r="P107" s="53"/>
      <c r="Q107" s="53"/>
      <c r="R107" s="53"/>
      <c r="S107" s="53"/>
      <c r="T107" s="53"/>
      <c r="U107" s="53"/>
    </row>
    <row r="108" spans="1:21" ht="15.75" x14ac:dyDescent="0.25">
      <c r="A108" s="53"/>
      <c r="B108" s="53"/>
      <c r="C108" s="53"/>
      <c r="D108" s="53"/>
      <c r="E108" s="53"/>
      <c r="F108" s="53"/>
      <c r="G108" s="53"/>
      <c r="H108" s="53"/>
      <c r="I108" s="53"/>
      <c r="J108" s="53"/>
      <c r="K108" s="53"/>
      <c r="L108" s="53"/>
      <c r="M108" s="53"/>
      <c r="N108" s="53"/>
      <c r="O108" s="53"/>
      <c r="P108" s="53"/>
      <c r="Q108" s="53"/>
      <c r="R108" s="53"/>
      <c r="S108" s="53"/>
      <c r="T108" s="53"/>
      <c r="U108" s="53"/>
    </row>
    <row r="109" spans="1:21" ht="15.75" x14ac:dyDescent="0.25">
      <c r="A109" s="53"/>
      <c r="B109" s="53"/>
      <c r="C109" s="53"/>
      <c r="D109" s="53"/>
      <c r="E109" s="53"/>
      <c r="F109" s="53"/>
      <c r="G109" s="53"/>
      <c r="H109" s="53"/>
      <c r="I109" s="53"/>
      <c r="J109" s="53"/>
      <c r="K109" s="53"/>
      <c r="L109" s="53"/>
      <c r="M109" s="53"/>
      <c r="N109" s="53"/>
      <c r="O109" s="53"/>
      <c r="P109" s="53"/>
      <c r="Q109" s="53"/>
      <c r="R109" s="53"/>
      <c r="S109" s="53"/>
      <c r="T109" s="53"/>
      <c r="U109" s="53"/>
    </row>
    <row r="110" spans="1:21" ht="15.75" x14ac:dyDescent="0.25">
      <c r="A110" s="53"/>
      <c r="B110" s="53"/>
      <c r="C110" s="53"/>
      <c r="D110" s="53"/>
      <c r="E110" s="53"/>
      <c r="F110" s="53"/>
      <c r="G110" s="53"/>
      <c r="H110" s="53"/>
      <c r="I110" s="53"/>
      <c r="J110" s="53"/>
      <c r="K110" s="53"/>
      <c r="L110" s="53"/>
      <c r="M110" s="53"/>
      <c r="N110" s="53"/>
      <c r="O110" s="53"/>
      <c r="P110" s="53"/>
      <c r="Q110" s="53"/>
      <c r="R110" s="53"/>
      <c r="S110" s="53"/>
      <c r="T110" s="53"/>
      <c r="U110" s="53"/>
    </row>
  </sheetData>
  <sheetProtection algorithmName="SHA-512" hashValue="4YWMumnXg4EZL6yYw5ThjjA+j08XECdJK9ncGvfXrK4h8cNiG25Rcd3E5psuxuS/VhE7Qo79R3Ilo4Hw0fnBxg==" saltValue="8924aM9maBk+rK4+Fq9dUg==" spinCount="100000" sheet="1" objects="1" scenarios="1"/>
  <customSheetViews>
    <customSheetView guid="{5F9ED89D-ECFA-4459-A055-6360C65F3370}" scale="80" fitToPage="1" hiddenRows="1" hiddenColumns="1">
      <selection activeCell="D11" sqref="D11"/>
      <pageMargins left="0" right="0" top="0" bottom="0" header="0" footer="0"/>
      <pageSetup paperSize="9" scale="81" orientation="landscape" r:id="rId1"/>
      <headerFooter>
        <oddFooter>&amp;CDRAFT - FOR DISCUSSION PURPOSES ONLY</oddFooter>
      </headerFooter>
    </customSheetView>
  </customSheetViews>
  <mergeCells count="1">
    <mergeCell ref="B3:R3"/>
  </mergeCells>
  <conditionalFormatting sqref="H4">
    <cfRule type="cellIs" dxfId="575" priority="1" operator="equal">
      <formula>"May be incomplete"</formula>
    </cfRule>
    <cfRule type="cellIs" dxfId="574" priority="2" operator="equal">
      <formula>"N/A"</formula>
    </cfRule>
    <cfRule type="cellIs" dxfId="573" priority="3" operator="equal">
      <formula>"Complete"</formula>
    </cfRule>
    <cfRule type="cellIs" dxfId="572" priority="4" operator="equal">
      <formula>"Incomplete"</formula>
    </cfRule>
  </conditionalFormatting>
  <conditionalFormatting sqref="T1 T4:T9 T101:T110">
    <cfRule type="cellIs" dxfId="571" priority="24" operator="equal">
      <formula>"ZERO"</formula>
    </cfRule>
  </conditionalFormatting>
  <conditionalFormatting sqref="T1:T2">
    <cfRule type="cellIs" dxfId="570" priority="22" operator="equal">
      <formula>"OK"</formula>
    </cfRule>
    <cfRule type="cellIs" dxfId="569" priority="23" operator="equal">
      <formula>"ERROR"</formula>
    </cfRule>
  </conditionalFormatting>
  <conditionalFormatting sqref="T3">
    <cfRule type="cellIs" dxfId="568" priority="10" operator="equal">
      <formula>"Complete"</formula>
    </cfRule>
    <cfRule type="cellIs" dxfId="567" priority="11" operator="equal">
      <formula>"Incomplete"</formula>
    </cfRule>
  </conditionalFormatting>
  <conditionalFormatting sqref="T4:T9">
    <cfRule type="cellIs" dxfId="566" priority="25" operator="equal">
      <formula>"OK"</formula>
    </cfRule>
    <cfRule type="cellIs" dxfId="565" priority="26" operator="equal">
      <formula>"ERROR"</formula>
    </cfRule>
  </conditionalFormatting>
  <conditionalFormatting sqref="T10 T100">
    <cfRule type="cellIs" dxfId="564" priority="8" operator="equal">
      <formula>"Complete"</formula>
    </cfRule>
    <cfRule type="cellIs" dxfId="563" priority="9" operator="equal">
      <formula>"Incomplete"</formula>
    </cfRule>
  </conditionalFormatting>
  <conditionalFormatting sqref="T11:T99">
    <cfRule type="cellIs" dxfId="562" priority="5" operator="equal">
      <formula>"ZERO"</formula>
    </cfRule>
    <cfRule type="cellIs" dxfId="561" priority="6" operator="equal">
      <formula>"OK"</formula>
    </cfRule>
    <cfRule type="cellIs" dxfId="560" priority="7" operator="equal">
      <formula>"ERROR"</formula>
    </cfRule>
  </conditionalFormatting>
  <conditionalFormatting sqref="T101:T110">
    <cfRule type="cellIs" dxfId="559" priority="16" operator="equal">
      <formula>"OK"</formula>
    </cfRule>
    <cfRule type="cellIs" dxfId="558" priority="17" operator="equal">
      <formula>"ERROR"</formula>
    </cfRule>
  </conditionalFormatting>
  <dataValidations count="8">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103" xr:uid="{00000000-0002-0000-1300-000000000000}"/>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103" xr:uid="{00000000-0002-0000-1300-000001000000}"/>
    <dataValidation allowBlank="1" showInputMessage="1" showErrorMessage="1" prompt="Grouping should be at the most granular level necessary to ensure that profitable contracts are not offset by unprofitable ones." sqref="F5" xr:uid="{00000000-0002-0000-1300-000002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300-000003000000}"/>
    <dataValidation allowBlank="1" showInputMessage="1" showErrorMessage="1" prompt="Input an estimate of the loss ratio for the grouping in question" sqref="L5" xr:uid="{00000000-0002-0000-1300-000004000000}"/>
    <dataValidation allowBlank="1" showInputMessage="1" showErrorMessage="1" prompt="Input any allowance for expenses not already included in Column L" sqref="N5" xr:uid="{00000000-0002-0000-1300-000005000000}"/>
    <dataValidation allowBlank="1" showErrorMessage="1" sqref="A6:U6" xr:uid="{00000000-0002-0000-1300-000006000000}"/>
    <dataValidation type="list" allowBlank="1" showInputMessage="1" showErrorMessage="1" sqref="H4" xr:uid="{00000000-0002-0000-1300-000007000000}">
      <formula1>"Yes, No"</formula1>
    </dataValidation>
  </dataValidations>
  <pageMargins left="0.70866141732283472" right="0.70866141732283472" top="0.74803149606299213" bottom="0.74803149606299213" header="0.31496062992125984" footer="0.31496062992125984"/>
  <pageSetup paperSize="9" scale="81" orientation="landscape" r:id="rId2"/>
  <headerFooter>
    <oddFooter>&amp;CDRAFT - FOR DISCUSSION PURPOSES ONLY</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8000000}">
          <x14:formula1>
            <xm:f>Data!$B$264:$B$275</xm:f>
          </x14:formula1>
          <xm:sqref>H10:H99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00B050"/>
    <pageSetUpPr fitToPage="1"/>
  </sheetPr>
  <dimension ref="A1:AV501"/>
  <sheetViews>
    <sheetView workbookViewId="0">
      <selection activeCell="G15" sqref="G15"/>
    </sheetView>
  </sheetViews>
  <sheetFormatPr defaultColWidth="0" defaultRowHeight="14.25" zeroHeight="1" x14ac:dyDescent="0.2"/>
  <cols>
    <col min="1" max="1" width="1.875" customWidth="1"/>
    <col min="2" max="2" width="5.375" customWidth="1"/>
    <col min="3" max="3" width="31" customWidth="1"/>
    <col min="4" max="6" width="1.875" customWidth="1"/>
    <col min="7" max="7" width="18.875" customWidth="1"/>
    <col min="8" max="8" width="1.875" customWidth="1"/>
    <col min="9" max="9" width="19" customWidth="1"/>
    <col min="10" max="10" width="1.875" customWidth="1"/>
    <col min="11" max="11" width="19.125" customWidth="1"/>
    <col min="12" max="12" width="1.875" customWidth="1"/>
    <col min="13" max="13" width="21.625" customWidth="1"/>
    <col min="14" max="14" width="1.875" customWidth="1"/>
    <col min="15" max="15" width="18.625" customWidth="1"/>
    <col min="16" max="16" width="1.875" customWidth="1"/>
    <col min="17" max="17" width="18.875" customWidth="1"/>
    <col min="18" max="18" width="1.875" customWidth="1"/>
    <col min="19" max="19" width="19" customWidth="1"/>
    <col min="20" max="20" width="1.875" customWidth="1"/>
    <col min="21" max="21" width="19.125" customWidth="1"/>
    <col min="22" max="22" width="1.875" customWidth="1"/>
    <col min="23" max="23" width="19" customWidth="1"/>
    <col min="24" max="25" width="1.875" customWidth="1"/>
    <col min="26" max="26" width="42.375" customWidth="1"/>
    <col min="27" max="28" width="1.875" customWidth="1"/>
    <col min="29" max="29" width="10.125" customWidth="1"/>
    <col min="30" max="30" width="1.875" customWidth="1"/>
    <col min="31" max="31" width="9" customWidth="1"/>
    <col min="32" max="32" width="1.875" customWidth="1"/>
    <col min="33" max="33" width="9" hidden="1"/>
    <col min="34" max="34" width="1.875" hidden="1"/>
    <col min="35" max="35" width="9" hidden="1"/>
    <col min="36" max="36" width="1.875" hidden="1"/>
    <col min="37" max="37" width="9" hidden="1"/>
    <col min="38" max="38" width="1.875" hidden="1"/>
    <col min="39" max="39" width="9" hidden="1"/>
    <col min="40" max="40" width="1.875" hidden="1"/>
    <col min="41" max="41" width="9" hidden="1"/>
    <col min="42" max="42" width="1.875" hidden="1"/>
    <col min="43" max="43" width="9" hidden="1"/>
    <col min="44" max="45" width="1.875" hidden="1"/>
    <col min="46" max="46" width="9" hidden="1"/>
    <col min="47" max="47" width="1.875" hidden="1"/>
    <col min="48" max="48" width="9" hidden="1"/>
  </cols>
  <sheetData>
    <row r="1" spans="1:32" ht="19.5" customHeight="1" x14ac:dyDescent="0.25">
      <c r="A1" s="59">
        <v>1</v>
      </c>
      <c r="B1" s="59"/>
      <c r="C1" s="59"/>
      <c r="D1" s="60"/>
      <c r="E1" s="60"/>
      <c r="F1" s="60"/>
      <c r="G1" s="60"/>
      <c r="H1" s="60"/>
      <c r="I1" s="60"/>
      <c r="J1" s="60"/>
      <c r="K1" s="60"/>
      <c r="L1" s="60"/>
      <c r="M1" s="60"/>
      <c r="N1" s="60"/>
      <c r="O1" s="60"/>
      <c r="P1" s="60"/>
      <c r="Q1" s="60"/>
      <c r="R1" s="60"/>
      <c r="S1" s="60"/>
      <c r="T1" s="60"/>
      <c r="U1" s="60"/>
      <c r="V1" s="60"/>
      <c r="W1" s="60"/>
      <c r="X1" s="59"/>
      <c r="Y1" s="59"/>
      <c r="Z1" s="59"/>
      <c r="AA1" s="59"/>
      <c r="AB1" s="59"/>
      <c r="AC1" s="60"/>
      <c r="AD1" s="60"/>
      <c r="AE1" s="60"/>
      <c r="AF1" s="60"/>
    </row>
    <row r="2" spans="1:32" ht="45" customHeight="1" x14ac:dyDescent="0.25">
      <c r="A2" s="60"/>
      <c r="B2" s="60"/>
      <c r="C2" s="60"/>
      <c r="D2" s="60"/>
      <c r="E2" s="60"/>
      <c r="F2" s="60"/>
      <c r="G2" s="52"/>
      <c r="H2" s="60"/>
      <c r="I2" s="52" t="s">
        <v>510</v>
      </c>
      <c r="J2" s="60"/>
      <c r="K2" s="60"/>
      <c r="L2" s="60"/>
      <c r="M2" s="60"/>
      <c r="N2" s="60"/>
      <c r="O2" s="60"/>
      <c r="P2" s="60"/>
      <c r="Q2" s="60"/>
      <c r="R2" s="60"/>
      <c r="S2" s="60"/>
      <c r="T2" s="60"/>
      <c r="U2" s="60"/>
      <c r="V2" s="60"/>
      <c r="W2" s="60"/>
      <c r="X2" s="60"/>
      <c r="Y2" s="60"/>
      <c r="Z2" s="60"/>
      <c r="AA2" s="60"/>
      <c r="AB2" s="60"/>
      <c r="AC2" s="61"/>
      <c r="AD2" s="60"/>
      <c r="AE2" s="60"/>
      <c r="AF2" s="60"/>
    </row>
    <row r="3" spans="1:32" ht="15.75" x14ac:dyDescent="0.25">
      <c r="A3" s="53"/>
      <c r="B3" s="53"/>
      <c r="C3" s="53" t="s">
        <v>435</v>
      </c>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row>
    <row r="4" spans="1:32" ht="27.75" customHeight="1" thickBot="1" x14ac:dyDescent="0.3">
      <c r="A4" s="53"/>
      <c r="B4" s="53"/>
      <c r="C4" s="864" t="s">
        <v>436</v>
      </c>
      <c r="D4" s="864"/>
      <c r="E4" s="864"/>
      <c r="F4" s="864"/>
      <c r="G4" s="865"/>
      <c r="H4" s="864"/>
      <c r="I4" s="864"/>
      <c r="J4" s="864"/>
      <c r="K4" s="864"/>
      <c r="L4" s="864"/>
      <c r="M4" s="864"/>
      <c r="N4" s="864"/>
      <c r="O4" s="864"/>
      <c r="P4" s="242"/>
      <c r="Q4" s="230"/>
      <c r="R4" s="242"/>
      <c r="S4" s="230"/>
      <c r="T4" s="242"/>
      <c r="U4" s="244"/>
      <c r="V4" s="242"/>
      <c r="W4" s="230"/>
      <c r="X4" s="53"/>
      <c r="Y4" s="53"/>
      <c r="Z4" s="53"/>
      <c r="AA4" s="53"/>
      <c r="AB4" s="53"/>
      <c r="AC4" s="334" t="str">
        <f>IF(COUNTIF(AC8:AC11,"Incomplete")&gt;0,"Incomplete","Complete")</f>
        <v>Complete</v>
      </c>
      <c r="AD4" s="53"/>
      <c r="AE4" s="53"/>
      <c r="AF4" s="53"/>
    </row>
    <row r="5" spans="1:32" ht="133.5" customHeight="1" x14ac:dyDescent="0.25">
      <c r="A5" s="53"/>
      <c r="B5" s="187" t="s">
        <v>511</v>
      </c>
      <c r="C5" s="68"/>
      <c r="D5" s="68"/>
      <c r="E5" s="212"/>
      <c r="F5" s="212"/>
      <c r="G5" s="245" t="s">
        <v>1130</v>
      </c>
      <c r="H5" s="366"/>
      <c r="I5" s="350" t="s">
        <v>438</v>
      </c>
      <c r="J5" s="350"/>
      <c r="K5" s="350" t="s">
        <v>439</v>
      </c>
      <c r="L5" s="350"/>
      <c r="M5" s="350" t="s">
        <v>1131</v>
      </c>
      <c r="N5" s="350"/>
      <c r="O5" s="350" t="s">
        <v>1132</v>
      </c>
      <c r="P5" s="358"/>
      <c r="Q5" s="69" t="s">
        <v>440</v>
      </c>
      <c r="R5" s="358"/>
      <c r="S5" s="69" t="s">
        <v>441</v>
      </c>
      <c r="T5" s="358"/>
      <c r="U5" s="69" t="s">
        <v>443</v>
      </c>
      <c r="V5" s="358"/>
      <c r="W5" s="69" t="s">
        <v>444</v>
      </c>
      <c r="X5" s="212"/>
      <c r="Y5" s="358"/>
      <c r="Z5" s="69" t="s">
        <v>1099</v>
      </c>
      <c r="AA5" s="356"/>
      <c r="AB5" s="53"/>
      <c r="AC5" s="53"/>
      <c r="AD5" s="53"/>
      <c r="AE5" s="53"/>
      <c r="AF5" s="53"/>
    </row>
    <row r="6" spans="1:32" ht="16.5" thickBot="1" x14ac:dyDescent="0.3">
      <c r="A6" s="53"/>
      <c r="B6" s="236"/>
      <c r="C6" s="74"/>
      <c r="D6" s="74"/>
      <c r="E6" s="213"/>
      <c r="F6" s="213"/>
      <c r="G6" s="75" t="s">
        <v>164</v>
      </c>
      <c r="H6" s="199"/>
      <c r="I6" s="75" t="s">
        <v>164</v>
      </c>
      <c r="J6" s="364"/>
      <c r="K6" s="75" t="s">
        <v>164</v>
      </c>
      <c r="L6" s="199"/>
      <c r="M6" s="75" t="s">
        <v>164</v>
      </c>
      <c r="N6" s="364"/>
      <c r="O6" s="75" t="s">
        <v>164</v>
      </c>
      <c r="P6" s="364"/>
      <c r="Q6" s="199"/>
      <c r="R6" s="364"/>
      <c r="S6" s="199"/>
      <c r="T6" s="364"/>
      <c r="U6" s="199"/>
      <c r="V6" s="364"/>
      <c r="W6" s="199"/>
      <c r="X6" s="213"/>
      <c r="Y6" s="364"/>
      <c r="Z6" s="247"/>
      <c r="AA6" s="365"/>
      <c r="AB6" s="53"/>
      <c r="AC6" s="53"/>
      <c r="AD6" s="53"/>
      <c r="AE6" s="53"/>
      <c r="AF6" s="53"/>
    </row>
    <row r="7" spans="1:32" ht="6" customHeight="1" x14ac:dyDescent="0.25">
      <c r="A7" s="53"/>
      <c r="B7" s="106"/>
      <c r="C7" s="80"/>
      <c r="D7" s="80"/>
      <c r="E7" s="80"/>
      <c r="F7" s="80"/>
      <c r="G7" s="80"/>
      <c r="H7" s="80"/>
      <c r="I7" s="80"/>
      <c r="J7" s="80"/>
      <c r="K7" s="80"/>
      <c r="L7" s="80"/>
      <c r="M7" s="80"/>
      <c r="N7" s="80"/>
      <c r="O7" s="80"/>
      <c r="P7" s="80"/>
      <c r="Q7" s="80"/>
      <c r="R7" s="80"/>
      <c r="S7" s="80"/>
      <c r="T7" s="80"/>
      <c r="U7" s="80"/>
      <c r="V7" s="80"/>
      <c r="W7" s="80"/>
      <c r="X7" s="81"/>
      <c r="Y7" s="106"/>
      <c r="Z7" s="80"/>
      <c r="AA7" s="81"/>
      <c r="AB7" s="53"/>
      <c r="AC7" s="53"/>
      <c r="AD7" s="53"/>
      <c r="AE7" s="53"/>
      <c r="AF7" s="53"/>
    </row>
    <row r="8" spans="1:32" ht="12.75" customHeight="1" x14ac:dyDescent="0.25">
      <c r="A8" s="53"/>
      <c r="B8" s="106" t="s">
        <v>512</v>
      </c>
      <c r="C8" s="80"/>
      <c r="D8" s="80"/>
      <c r="E8" s="80"/>
      <c r="F8" s="80"/>
      <c r="G8" s="624">
        <v>0</v>
      </c>
      <c r="H8" s="85"/>
      <c r="I8" s="624">
        <v>0</v>
      </c>
      <c r="J8" s="85"/>
      <c r="K8" s="624">
        <v>0</v>
      </c>
      <c r="L8" s="85"/>
      <c r="M8" s="624">
        <v>0</v>
      </c>
      <c r="N8" s="85"/>
      <c r="O8" s="624">
        <v>0</v>
      </c>
      <c r="P8" s="85"/>
      <c r="Q8" s="626">
        <f>MAX(G8,I8)+K8+M8+0.3*O8</f>
        <v>0</v>
      </c>
      <c r="R8" s="85"/>
      <c r="S8" s="626">
        <f>SUM('RBS - Direct TPs'!F93,'RBS - Reins TPs'!F93,-'RBS - Direct TPs'!J93,-'RBS - Reins TPs'!J93)</f>
        <v>0</v>
      </c>
      <c r="T8" s="80"/>
      <c r="U8" s="643">
        <f>'Health Geo Diversification'!D23</f>
        <v>1</v>
      </c>
      <c r="V8" s="80"/>
      <c r="W8" s="626">
        <f>(Q8+S8)*(0.75+0.25*U8)</f>
        <v>0</v>
      </c>
      <c r="X8" s="81"/>
      <c r="Y8" s="106"/>
      <c r="Z8" s="762" t="s">
        <v>512</v>
      </c>
      <c r="AA8" s="81"/>
      <c r="AB8" s="53"/>
      <c r="AC8" s="334" t="str">
        <f>IF(OR(G8="",I8="",K8="",M8="",O8=""),"Incomplete","Complete")</f>
        <v>Complete</v>
      </c>
      <c r="AD8" s="53"/>
      <c r="AE8" s="53"/>
      <c r="AF8" s="53"/>
    </row>
    <row r="9" spans="1:32" ht="12.75" customHeight="1" x14ac:dyDescent="0.25">
      <c r="A9" s="53"/>
      <c r="B9" s="106" t="s">
        <v>513</v>
      </c>
      <c r="C9" s="80"/>
      <c r="D9" s="80"/>
      <c r="E9" s="80"/>
      <c r="F9" s="80"/>
      <c r="G9" s="624">
        <v>0</v>
      </c>
      <c r="H9" s="85"/>
      <c r="I9" s="624">
        <v>0</v>
      </c>
      <c r="J9" s="85"/>
      <c r="K9" s="624">
        <v>0</v>
      </c>
      <c r="L9" s="85"/>
      <c r="M9" s="624">
        <v>0</v>
      </c>
      <c r="N9" s="85"/>
      <c r="O9" s="624">
        <v>0</v>
      </c>
      <c r="P9" s="85"/>
      <c r="Q9" s="626">
        <f>MAX(G9,I9)+K9+M9+0.3*O9</f>
        <v>0</v>
      </c>
      <c r="R9" s="85"/>
      <c r="S9" s="626">
        <f>SUM('RBS - Direct TPs'!F102,'RBS - Reins TPs'!F102,-'RBS - Direct TPs'!J102,-'RBS - Reins TPs'!J102)</f>
        <v>0</v>
      </c>
      <c r="T9" s="80"/>
      <c r="U9" s="643">
        <f>'Health Geo Diversification'!D24</f>
        <v>1</v>
      </c>
      <c r="V9" s="80"/>
      <c r="W9" s="626">
        <f>(Q9+S9)*(0.75+0.25*U9)</f>
        <v>0</v>
      </c>
      <c r="X9" s="81"/>
      <c r="Y9" s="106"/>
      <c r="Z9" s="762" t="s">
        <v>513</v>
      </c>
      <c r="AA9" s="81"/>
      <c r="AB9" s="53"/>
      <c r="AC9" s="334" t="str">
        <f t="shared" ref="AC9:AC11" si="0">IF(OR(G9="",I9="",K9="",M9="",O9=""),"Incomplete","Complete")</f>
        <v>Complete</v>
      </c>
      <c r="AD9" s="53"/>
      <c r="AE9" s="53"/>
      <c r="AF9" s="53"/>
    </row>
    <row r="10" spans="1:32" ht="12.75" customHeight="1" x14ac:dyDescent="0.25">
      <c r="A10" s="53"/>
      <c r="B10" s="106" t="s">
        <v>514</v>
      </c>
      <c r="C10" s="80"/>
      <c r="D10" s="80"/>
      <c r="E10" s="80"/>
      <c r="F10" s="80"/>
      <c r="G10" s="624">
        <v>0</v>
      </c>
      <c r="H10" s="85"/>
      <c r="I10" s="624">
        <v>0</v>
      </c>
      <c r="J10" s="85"/>
      <c r="K10" s="624">
        <v>0</v>
      </c>
      <c r="L10" s="85"/>
      <c r="M10" s="624">
        <v>0</v>
      </c>
      <c r="N10" s="85"/>
      <c r="O10" s="624">
        <v>0</v>
      </c>
      <c r="P10" s="85"/>
      <c r="Q10" s="626">
        <f>MAX(G10,I10)+K10+M10+0.3*O10</f>
        <v>0</v>
      </c>
      <c r="R10" s="85"/>
      <c r="S10" s="626">
        <f>SUM('RBS - Direct TPs'!F111,'RBS - Reins TPs'!F111,-'RBS - Direct TPs'!J111,-'RBS - Reins TPs'!J111)</f>
        <v>0</v>
      </c>
      <c r="T10" s="80"/>
      <c r="U10" s="643">
        <f>'Health Geo Diversification'!D25</f>
        <v>1</v>
      </c>
      <c r="V10" s="80"/>
      <c r="W10" s="626">
        <f>(Q10+S10)*(0.75+0.25*U10)</f>
        <v>0</v>
      </c>
      <c r="X10" s="81"/>
      <c r="Y10" s="106"/>
      <c r="Z10" s="762" t="s">
        <v>514</v>
      </c>
      <c r="AA10" s="81"/>
      <c r="AB10" s="53"/>
      <c r="AC10" s="334" t="str">
        <f t="shared" si="0"/>
        <v>Complete</v>
      </c>
      <c r="AD10" s="53"/>
      <c r="AE10" s="53"/>
      <c r="AF10" s="53"/>
    </row>
    <row r="11" spans="1:32" ht="12.75" customHeight="1" x14ac:dyDescent="0.25">
      <c r="A11" s="53"/>
      <c r="B11" s="106" t="s">
        <v>515</v>
      </c>
      <c r="C11" s="80"/>
      <c r="D11" s="80"/>
      <c r="E11" s="80"/>
      <c r="F11" s="80"/>
      <c r="G11" s="624">
        <v>0</v>
      </c>
      <c r="H11" s="85"/>
      <c r="I11" s="624">
        <v>0</v>
      </c>
      <c r="J11" s="85"/>
      <c r="K11" s="624">
        <v>0</v>
      </c>
      <c r="L11" s="85"/>
      <c r="M11" s="624">
        <v>0</v>
      </c>
      <c r="N11" s="85"/>
      <c r="O11" s="624">
        <v>0</v>
      </c>
      <c r="P11" s="85"/>
      <c r="Q11" s="626">
        <f>MAX(G11,I11)+K11+M11+0.3*O11</f>
        <v>0</v>
      </c>
      <c r="R11" s="85"/>
      <c r="S11" s="626">
        <f>'RBS - Reins TPs'!F147-'RBS - Reins TPs'!J147</f>
        <v>0</v>
      </c>
      <c r="T11" s="80"/>
      <c r="U11" s="653">
        <f>'Health Geo Diversification'!D26</f>
        <v>1</v>
      </c>
      <c r="V11" s="80"/>
      <c r="W11" s="626">
        <f>(Q11+S11)*(0.75+0.25*U11)</f>
        <v>0</v>
      </c>
      <c r="X11" s="81"/>
      <c r="Y11" s="106"/>
      <c r="Z11" s="762" t="s">
        <v>515</v>
      </c>
      <c r="AA11" s="81"/>
      <c r="AB11" s="53"/>
      <c r="AC11" s="334" t="str">
        <f t="shared" si="0"/>
        <v>Complete</v>
      </c>
      <c r="AD11" s="53"/>
      <c r="AE11" s="53"/>
      <c r="AF11" s="53"/>
    </row>
    <row r="12" spans="1:32" ht="6" customHeight="1" thickBot="1" x14ac:dyDescent="0.3">
      <c r="A12" s="53"/>
      <c r="B12" s="110"/>
      <c r="C12" s="93"/>
      <c r="D12" s="93"/>
      <c r="E12" s="93"/>
      <c r="F12" s="93"/>
      <c r="G12" s="93"/>
      <c r="H12" s="93"/>
      <c r="I12" s="93"/>
      <c r="J12" s="93"/>
      <c r="K12" s="93"/>
      <c r="L12" s="93"/>
      <c r="M12" s="93"/>
      <c r="N12" s="93"/>
      <c r="O12" s="93"/>
      <c r="P12" s="93"/>
      <c r="Q12" s="93"/>
      <c r="R12" s="93"/>
      <c r="S12" s="93"/>
      <c r="T12" s="93"/>
      <c r="U12" s="93"/>
      <c r="V12" s="93"/>
      <c r="W12" s="93"/>
      <c r="X12" s="94"/>
      <c r="Y12" s="110"/>
      <c r="Z12" s="93"/>
      <c r="AA12" s="94"/>
      <c r="AB12" s="53"/>
      <c r="AC12" s="53"/>
      <c r="AD12" s="53"/>
      <c r="AE12" s="53"/>
      <c r="AF12" s="53"/>
    </row>
    <row r="13" spans="1:32" ht="15.75" x14ac:dyDescent="0.25">
      <c r="A13" s="53"/>
      <c r="B13" s="53"/>
      <c r="C13" s="53"/>
      <c r="D13" s="53"/>
      <c r="E13" s="53"/>
      <c r="F13" s="53"/>
      <c r="G13" s="230"/>
      <c r="H13" s="230"/>
      <c r="I13" s="230"/>
      <c r="J13" s="230"/>
      <c r="K13" s="230"/>
      <c r="L13" s="230"/>
      <c r="M13" s="230"/>
      <c r="N13" s="242"/>
      <c r="O13" s="230"/>
      <c r="P13" s="242"/>
      <c r="Q13" s="243" t="str">
        <f>IF(SUM(Q20:Q441)=0,"",IF(SUM(Q20:Q441)=SUM(Q8:Q11),"","CHECK: IF ALL CONTRACTS HAVE AGG CAPS THEN SUM OF PREMIUM VOLUME MEASURE IN ROWS 20-274 SHOULD EQUAL SUM OF PREMIUM RESERVE MEASURE IN ROWS 8-11"))</f>
        <v/>
      </c>
      <c r="R13" s="53"/>
      <c r="S13" s="53"/>
      <c r="T13" s="53"/>
      <c r="U13" s="53"/>
      <c r="V13" s="53"/>
      <c r="W13" s="53"/>
      <c r="X13" s="53"/>
      <c r="Y13" s="53"/>
      <c r="Z13" s="53"/>
      <c r="AA13" s="53"/>
      <c r="AB13" s="53"/>
      <c r="AC13" s="53"/>
      <c r="AD13" s="53"/>
      <c r="AE13" s="53"/>
      <c r="AF13" s="53"/>
    </row>
    <row r="14" spans="1:32" ht="6"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row>
    <row r="15" spans="1:32" ht="15.75" x14ac:dyDescent="0.25">
      <c r="A15" s="53"/>
      <c r="B15" s="53"/>
      <c r="C15" s="96" t="s">
        <v>516</v>
      </c>
      <c r="D15" s="53"/>
      <c r="E15" s="53"/>
      <c r="F15" s="53"/>
      <c r="G15" s="53"/>
      <c r="H15" s="53"/>
      <c r="I15" s="53"/>
      <c r="J15" s="53"/>
      <c r="K15" s="53"/>
      <c r="L15" s="53"/>
      <c r="M15" s="53"/>
      <c r="N15" s="53"/>
      <c r="O15" s="53"/>
      <c r="P15" s="53"/>
      <c r="Q15" s="53"/>
      <c r="R15" s="53"/>
      <c r="S15" s="249" t="str">
        <f>IF(SUM(U20:U441)=0,"",IF(SUM(U20:U441)=SUM(S8:S11),"","CHECK: IF ALL CONTRACTS HAVE AGG CAPS THEN SUM OF CLAIMS RESERVES IN ROWS 20-274 SHOULD EQUAL SUM OF PREMIUM RESERVE MEASURE IN ROWS 8-11"))</f>
        <v/>
      </c>
      <c r="T15" s="53"/>
      <c r="U15" s="53"/>
      <c r="V15" s="53"/>
      <c r="W15" s="53"/>
      <c r="X15" s="53"/>
      <c r="Y15" s="53"/>
      <c r="Z15" s="53"/>
      <c r="AA15" s="53"/>
      <c r="AB15" s="53"/>
      <c r="AC15" s="53"/>
      <c r="AD15" s="53"/>
      <c r="AE15" s="53"/>
      <c r="AF15" s="53"/>
    </row>
    <row r="16" spans="1:32" ht="16.5" thickBot="1" x14ac:dyDescent="0.3">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row>
    <row r="17" spans="1:32" ht="48" thickBot="1" x14ac:dyDescent="0.3">
      <c r="A17" s="53"/>
      <c r="B17" s="126">
        <v>10</v>
      </c>
      <c r="C17" s="126" t="str">
        <f ca="1">RIGHT(OFFSET($B$8,B17-10,0),LEN(OFFSET($B$8,B17-10,0))-5)</f>
        <v>- Medical expense &amp; 22 Prop. Reins.</v>
      </c>
      <c r="D17" s="127"/>
      <c r="E17" s="127"/>
      <c r="F17" s="127"/>
      <c r="G17" s="127"/>
      <c r="H17" s="127"/>
      <c r="I17" s="127"/>
      <c r="J17" s="127"/>
      <c r="K17" s="127"/>
      <c r="L17" s="127"/>
      <c r="M17" s="127"/>
      <c r="N17" s="127"/>
      <c r="O17" s="127"/>
      <c r="P17" s="127"/>
      <c r="Q17" s="127"/>
      <c r="R17" s="127"/>
      <c r="S17" s="127"/>
      <c r="T17" s="127"/>
      <c r="U17" s="127"/>
      <c r="V17" s="127"/>
      <c r="W17" s="127"/>
      <c r="X17" s="128"/>
      <c r="Y17" s="127"/>
      <c r="Z17" s="742" t="s">
        <v>458</v>
      </c>
      <c r="AA17" s="742"/>
      <c r="AB17" s="742"/>
      <c r="AC17" s="742" t="s">
        <v>459</v>
      </c>
      <c r="AD17" s="743"/>
      <c r="AE17" s="53"/>
      <c r="AF17" s="53"/>
    </row>
    <row r="18" spans="1:32" ht="129.75" thickBot="1" x14ac:dyDescent="0.3">
      <c r="A18" s="53"/>
      <c r="B18" s="147"/>
      <c r="C18" s="253" t="s">
        <v>517</v>
      </c>
      <c r="D18" s="237"/>
      <c r="E18" s="237"/>
      <c r="F18" s="254">
        <f ca="1">IF(OFFSET($Z$8,B17-10,0)=0,1,0)</f>
        <v>0</v>
      </c>
      <c r="G18" s="794" t="s">
        <v>1130</v>
      </c>
      <c r="H18" s="270"/>
      <c r="I18" s="271" t="s">
        <v>438</v>
      </c>
      <c r="J18" s="271"/>
      <c r="K18" s="271" t="s">
        <v>439</v>
      </c>
      <c r="L18" s="271"/>
      <c r="M18" s="271" t="s">
        <v>1131</v>
      </c>
      <c r="N18" s="271"/>
      <c r="O18" s="271" t="s">
        <v>1132</v>
      </c>
      <c r="P18" s="237"/>
      <c r="Q18" s="237" t="s">
        <v>440</v>
      </c>
      <c r="R18" s="237"/>
      <c r="S18" s="237" t="s">
        <v>461</v>
      </c>
      <c r="T18" s="237"/>
      <c r="U18" s="237" t="s">
        <v>463</v>
      </c>
      <c r="V18" s="237"/>
      <c r="W18" s="237" t="s">
        <v>464</v>
      </c>
      <c r="X18" s="238"/>
      <c r="Y18" s="237"/>
      <c r="Z18" s="255">
        <f ca="1">OFFSET('NSLT Health Risk'!J54,'Health Prem &amp; Reserve Risk'!B17-10,0)</f>
        <v>0.05</v>
      </c>
      <c r="AA18" s="237"/>
      <c r="AB18" s="237"/>
      <c r="AC18" s="255">
        <f ca="1">OFFSET('NSLT Health Risk'!L54,'Health Prem &amp; Reserve Risk'!B17-10,0)</f>
        <v>5.7000000000000002E-2</v>
      </c>
      <c r="AD18" s="744"/>
      <c r="AE18" s="53"/>
      <c r="AF18" s="53"/>
    </row>
    <row r="19" spans="1:32" ht="6" customHeight="1" x14ac:dyDescent="0.25">
      <c r="A19" s="53"/>
      <c r="B19" s="106"/>
      <c r="C19" s="80"/>
      <c r="D19" s="80"/>
      <c r="E19" s="80"/>
      <c r="F19" s="256">
        <f ca="1">IF(OFFSET($Z$8,$B$17-10,0)=0,1,0)</f>
        <v>0</v>
      </c>
      <c r="G19" s="80"/>
      <c r="H19" s="80"/>
      <c r="I19" s="80"/>
      <c r="J19" s="80"/>
      <c r="K19" s="80"/>
      <c r="L19" s="80"/>
      <c r="M19" s="80"/>
      <c r="N19" s="80"/>
      <c r="O19" s="80"/>
      <c r="P19" s="80"/>
      <c r="Q19" s="80"/>
      <c r="R19" s="80"/>
      <c r="S19" s="80"/>
      <c r="T19" s="80"/>
      <c r="U19" s="80"/>
      <c r="V19" s="80"/>
      <c r="W19" s="80"/>
      <c r="X19" s="81"/>
      <c r="Y19" s="80"/>
      <c r="Z19" s="80"/>
      <c r="AA19" s="80"/>
      <c r="AB19" s="80"/>
      <c r="AC19" s="80"/>
      <c r="AD19" s="81"/>
      <c r="AE19" s="53"/>
      <c r="AF19" s="53"/>
    </row>
    <row r="20" spans="1:32" ht="12.75" customHeight="1" x14ac:dyDescent="0.25">
      <c r="A20" s="53"/>
      <c r="B20" s="257">
        <v>1</v>
      </c>
      <c r="C20" s="652"/>
      <c r="D20" s="80"/>
      <c r="E20" s="80"/>
      <c r="F20" s="256">
        <f ca="1">IF(B20&lt;=OFFSET($Z$8,B$17-10,0),0,1)</f>
        <v>0</v>
      </c>
      <c r="G20" s="624"/>
      <c r="H20" s="85"/>
      <c r="I20" s="624"/>
      <c r="J20" s="85"/>
      <c r="K20" s="624"/>
      <c r="L20" s="85"/>
      <c r="M20" s="624"/>
      <c r="N20" s="85"/>
      <c r="O20" s="624"/>
      <c r="P20" s="85"/>
      <c r="Q20" s="626">
        <f t="shared" ref="Q20:Q119" si="1">MAX(G20,I20)+K20+M20+0.3*O20</f>
        <v>0</v>
      </c>
      <c r="R20" s="85"/>
      <c r="S20" s="624"/>
      <c r="T20" s="260"/>
      <c r="U20" s="624"/>
      <c r="V20" s="85"/>
      <c r="W20" s="624"/>
      <c r="X20" s="81"/>
      <c r="Y20" s="80"/>
      <c r="Z20" s="737">
        <f ca="1">MAX(0%,IF(Q20&lt;&gt;0,MIN((S20-Q20)/Q20/'NSLT Health Risk'!$E$27,'Health Prem &amp; Reserve Risk'!$Z$18),'Health Prem &amp; Reserve Risk'!$Z$18))</f>
        <v>0.05</v>
      </c>
      <c r="AA20" s="80"/>
      <c r="AB20" s="80"/>
      <c r="AC20" s="737">
        <f ca="1">MAX(0%,IF(U20&lt;&gt;0,MIN((W20-U20)/U20/'NSLT Health Risk'!$E$27,'Health Prem &amp; Reserve Risk'!$AC$18),'Health Prem &amp; Reserve Risk'!$AC$18))</f>
        <v>5.7000000000000002E-2</v>
      </c>
      <c r="AD20" s="81"/>
      <c r="AE20" s="53"/>
      <c r="AF20" s="53"/>
    </row>
    <row r="21" spans="1:32" ht="12.75" customHeight="1" x14ac:dyDescent="0.25">
      <c r="A21" s="53"/>
      <c r="B21" s="257">
        <v>2</v>
      </c>
      <c r="C21" s="652"/>
      <c r="D21" s="80"/>
      <c r="E21" s="80"/>
      <c r="F21" s="256">
        <f t="shared" ref="F21:F84" ca="1" si="2">IF(B21&lt;=OFFSET($Z$8,B$17-10,0),0,1)</f>
        <v>0</v>
      </c>
      <c r="G21" s="624"/>
      <c r="H21" s="85"/>
      <c r="I21" s="624"/>
      <c r="J21" s="85"/>
      <c r="K21" s="624"/>
      <c r="L21" s="85"/>
      <c r="M21" s="624"/>
      <c r="N21" s="85"/>
      <c r="O21" s="624"/>
      <c r="P21" s="85"/>
      <c r="Q21" s="626">
        <f t="shared" si="1"/>
        <v>0</v>
      </c>
      <c r="R21" s="85"/>
      <c r="S21" s="624"/>
      <c r="T21" s="260" t="str">
        <f t="shared" ref="T21:T119" si="3">IF(Q21&gt;0,IF(S21&lt;&gt;0,"","CAP MUST NOT BE 0"),"")</f>
        <v/>
      </c>
      <c r="U21" s="624"/>
      <c r="V21" s="85"/>
      <c r="W21" s="624"/>
      <c r="X21" s="81"/>
      <c r="Y21" s="80"/>
      <c r="Z21" s="737">
        <f ca="1">MAX(0%,IF(Q21&lt;&gt;0,MIN((S21-Q21)/Q21/'NSLT Health Risk'!$E$27,'Health Prem &amp; Reserve Risk'!$Z$18),'Health Prem &amp; Reserve Risk'!$Z$18))</f>
        <v>0.05</v>
      </c>
      <c r="AA21" s="80"/>
      <c r="AB21" s="80"/>
      <c r="AC21" s="737">
        <f ca="1">MAX(0%,IF(U21&lt;&gt;0,MIN((W21-U21)/U21/'NSLT Health Risk'!$E$27,'Health Prem &amp; Reserve Risk'!$AC$18),'Health Prem &amp; Reserve Risk'!$AC$18))</f>
        <v>5.7000000000000002E-2</v>
      </c>
      <c r="AD21" s="81"/>
      <c r="AE21" s="53"/>
      <c r="AF21" s="53"/>
    </row>
    <row r="22" spans="1:32" ht="12.75" customHeight="1" x14ac:dyDescent="0.25">
      <c r="A22" s="53"/>
      <c r="B22" s="257">
        <v>3</v>
      </c>
      <c r="C22" s="652"/>
      <c r="D22" s="80"/>
      <c r="E22" s="80"/>
      <c r="F22" s="256">
        <f t="shared" ca="1" si="2"/>
        <v>0</v>
      </c>
      <c r="G22" s="624"/>
      <c r="H22" s="85"/>
      <c r="I22" s="624"/>
      <c r="J22" s="85"/>
      <c r="K22" s="624"/>
      <c r="L22" s="85"/>
      <c r="M22" s="624"/>
      <c r="N22" s="85"/>
      <c r="O22" s="624"/>
      <c r="P22" s="85"/>
      <c r="Q22" s="626">
        <f t="shared" si="1"/>
        <v>0</v>
      </c>
      <c r="R22" s="85"/>
      <c r="S22" s="624"/>
      <c r="T22" s="260" t="str">
        <f t="shared" si="3"/>
        <v/>
      </c>
      <c r="U22" s="624"/>
      <c r="V22" s="85"/>
      <c r="W22" s="624"/>
      <c r="X22" s="81"/>
      <c r="Y22" s="80"/>
      <c r="Z22" s="737">
        <f ca="1">MAX(0%,IF(Q22&lt;&gt;0,MIN((S22-Q22)/Q22/'NSLT Health Risk'!$E$27,'Health Prem &amp; Reserve Risk'!$Z$18),'Health Prem &amp; Reserve Risk'!$Z$18))</f>
        <v>0.05</v>
      </c>
      <c r="AA22" s="80"/>
      <c r="AB22" s="80"/>
      <c r="AC22" s="737">
        <f ca="1">MAX(0%,IF(U22&lt;&gt;0,MIN((W22-U22)/U22/'NSLT Health Risk'!$E$27,'Health Prem &amp; Reserve Risk'!$AC$18),'Health Prem &amp; Reserve Risk'!$AC$18))</f>
        <v>5.7000000000000002E-2</v>
      </c>
      <c r="AD22" s="81"/>
      <c r="AE22" s="53"/>
      <c r="AF22" s="53"/>
    </row>
    <row r="23" spans="1:32" ht="12.75" customHeight="1" x14ac:dyDescent="0.25">
      <c r="A23" s="53"/>
      <c r="B23" s="257">
        <v>4</v>
      </c>
      <c r="C23" s="652"/>
      <c r="D23" s="80"/>
      <c r="E23" s="80"/>
      <c r="F23" s="256">
        <f t="shared" ca="1" si="2"/>
        <v>0</v>
      </c>
      <c r="G23" s="624"/>
      <c r="H23" s="85"/>
      <c r="I23" s="624"/>
      <c r="J23" s="85"/>
      <c r="K23" s="624"/>
      <c r="L23" s="85"/>
      <c r="M23" s="624"/>
      <c r="N23" s="85"/>
      <c r="O23" s="624"/>
      <c r="P23" s="85"/>
      <c r="Q23" s="626">
        <f t="shared" si="1"/>
        <v>0</v>
      </c>
      <c r="R23" s="85"/>
      <c r="S23" s="624"/>
      <c r="T23" s="260" t="str">
        <f t="shared" si="3"/>
        <v/>
      </c>
      <c r="U23" s="624"/>
      <c r="V23" s="85"/>
      <c r="W23" s="624"/>
      <c r="X23" s="81"/>
      <c r="Y23" s="80"/>
      <c r="Z23" s="737">
        <f ca="1">MAX(0%,IF(Q23&lt;&gt;0,MIN((S23-Q23)/Q23/'NSLT Health Risk'!$E$27,'Health Prem &amp; Reserve Risk'!$Z$18),'Health Prem &amp; Reserve Risk'!$Z$18))</f>
        <v>0.05</v>
      </c>
      <c r="AA23" s="80"/>
      <c r="AB23" s="80"/>
      <c r="AC23" s="737">
        <f ca="1">MAX(0%,IF(U23&lt;&gt;0,MIN((W23-U23)/U23/'NSLT Health Risk'!$E$27,'Health Prem &amp; Reserve Risk'!$AC$18),'Health Prem &amp; Reserve Risk'!$AC$18))</f>
        <v>5.7000000000000002E-2</v>
      </c>
      <c r="AD23" s="81"/>
      <c r="AE23" s="53"/>
      <c r="AF23" s="53"/>
    </row>
    <row r="24" spans="1:32" ht="12.75" customHeight="1" x14ac:dyDescent="0.25">
      <c r="A24" s="53"/>
      <c r="B24" s="257">
        <v>5</v>
      </c>
      <c r="C24" s="652"/>
      <c r="D24" s="80"/>
      <c r="E24" s="80"/>
      <c r="F24" s="256">
        <f t="shared" ca="1" si="2"/>
        <v>0</v>
      </c>
      <c r="G24" s="624"/>
      <c r="H24" s="85"/>
      <c r="I24" s="624"/>
      <c r="J24" s="85"/>
      <c r="K24" s="624"/>
      <c r="L24" s="85"/>
      <c r="M24" s="624"/>
      <c r="N24" s="85"/>
      <c r="O24" s="624"/>
      <c r="P24" s="85"/>
      <c r="Q24" s="626">
        <f t="shared" si="1"/>
        <v>0</v>
      </c>
      <c r="R24" s="85"/>
      <c r="S24" s="624"/>
      <c r="T24" s="260" t="str">
        <f t="shared" si="3"/>
        <v/>
      </c>
      <c r="U24" s="624"/>
      <c r="V24" s="85"/>
      <c r="W24" s="624"/>
      <c r="X24" s="81"/>
      <c r="Y24" s="80"/>
      <c r="Z24" s="737">
        <f ca="1">MAX(0%,IF(Q24&lt;&gt;0,MIN((S24-Q24)/Q24/'NSLT Health Risk'!$E$27,'Health Prem &amp; Reserve Risk'!$Z$18),'Health Prem &amp; Reserve Risk'!$Z$18))</f>
        <v>0.05</v>
      </c>
      <c r="AA24" s="80"/>
      <c r="AB24" s="80"/>
      <c r="AC24" s="737">
        <f ca="1">MAX(0%,IF(U24&lt;&gt;0,MIN((W24-U24)/U24/'NSLT Health Risk'!$E$27,'Health Prem &amp; Reserve Risk'!$AC$18),'Health Prem &amp; Reserve Risk'!$AC$18))</f>
        <v>5.7000000000000002E-2</v>
      </c>
      <c r="AD24" s="81"/>
      <c r="AE24" s="53"/>
      <c r="AF24" s="53"/>
    </row>
    <row r="25" spans="1:32" ht="12.75" customHeight="1" x14ac:dyDescent="0.25">
      <c r="A25" s="53"/>
      <c r="B25" s="257">
        <v>6</v>
      </c>
      <c r="C25" s="652"/>
      <c r="D25" s="80"/>
      <c r="E25" s="80"/>
      <c r="F25" s="256">
        <f t="shared" ca="1" si="2"/>
        <v>0</v>
      </c>
      <c r="G25" s="624"/>
      <c r="H25" s="85"/>
      <c r="I25" s="624"/>
      <c r="J25" s="85"/>
      <c r="K25" s="624"/>
      <c r="L25" s="85"/>
      <c r="M25" s="624"/>
      <c r="N25" s="85"/>
      <c r="O25" s="624"/>
      <c r="P25" s="85"/>
      <c r="Q25" s="626">
        <f t="shared" si="1"/>
        <v>0</v>
      </c>
      <c r="R25" s="85"/>
      <c r="S25" s="624"/>
      <c r="T25" s="260" t="str">
        <f t="shared" si="3"/>
        <v/>
      </c>
      <c r="U25" s="624"/>
      <c r="V25" s="85"/>
      <c r="W25" s="624"/>
      <c r="X25" s="81"/>
      <c r="Y25" s="80"/>
      <c r="Z25" s="737">
        <f ca="1">MAX(0%,IF(Q25&lt;&gt;0,MIN((S25-Q25)/Q25/'NSLT Health Risk'!$E$27,'Health Prem &amp; Reserve Risk'!$Z$18),'Health Prem &amp; Reserve Risk'!$Z$18))</f>
        <v>0.05</v>
      </c>
      <c r="AA25" s="80"/>
      <c r="AB25" s="80"/>
      <c r="AC25" s="737">
        <f ca="1">MAX(0%,IF(U25&lt;&gt;0,MIN((W25-U25)/U25/'NSLT Health Risk'!$E$27,'Health Prem &amp; Reserve Risk'!$AC$18),'Health Prem &amp; Reserve Risk'!$AC$18))</f>
        <v>5.7000000000000002E-2</v>
      </c>
      <c r="AD25" s="81"/>
      <c r="AE25" s="53"/>
      <c r="AF25" s="53"/>
    </row>
    <row r="26" spans="1:32" ht="12.75" customHeight="1" x14ac:dyDescent="0.25">
      <c r="A26" s="53"/>
      <c r="B26" s="257">
        <v>7</v>
      </c>
      <c r="C26" s="652"/>
      <c r="D26" s="80"/>
      <c r="E26" s="80"/>
      <c r="F26" s="256">
        <f t="shared" ca="1" si="2"/>
        <v>0</v>
      </c>
      <c r="G26" s="624"/>
      <c r="H26" s="85"/>
      <c r="I26" s="624"/>
      <c r="J26" s="85"/>
      <c r="K26" s="624"/>
      <c r="L26" s="85"/>
      <c r="M26" s="624"/>
      <c r="N26" s="85"/>
      <c r="O26" s="624"/>
      <c r="P26" s="85"/>
      <c r="Q26" s="626">
        <f t="shared" si="1"/>
        <v>0</v>
      </c>
      <c r="R26" s="85"/>
      <c r="S26" s="624"/>
      <c r="T26" s="260" t="str">
        <f t="shared" si="3"/>
        <v/>
      </c>
      <c r="U26" s="624"/>
      <c r="V26" s="85"/>
      <c r="W26" s="624"/>
      <c r="X26" s="81"/>
      <c r="Y26" s="80"/>
      <c r="Z26" s="737">
        <f ca="1">MAX(0%,IF(Q26&lt;&gt;0,MIN((S26-Q26)/Q26/'NSLT Health Risk'!$E$27,'Health Prem &amp; Reserve Risk'!$Z$18),'Health Prem &amp; Reserve Risk'!$Z$18))</f>
        <v>0.05</v>
      </c>
      <c r="AA26" s="80"/>
      <c r="AB26" s="80"/>
      <c r="AC26" s="737">
        <f ca="1">MAX(0%,IF(U26&lt;&gt;0,MIN((W26-U26)/U26/'NSLT Health Risk'!$E$27,'Health Prem &amp; Reserve Risk'!$AC$18),'Health Prem &amp; Reserve Risk'!$AC$18))</f>
        <v>5.7000000000000002E-2</v>
      </c>
      <c r="AD26" s="81"/>
      <c r="AE26" s="53"/>
      <c r="AF26" s="53"/>
    </row>
    <row r="27" spans="1:32" ht="12.75" customHeight="1" x14ac:dyDescent="0.25">
      <c r="A27" s="53"/>
      <c r="B27" s="257">
        <v>8</v>
      </c>
      <c r="C27" s="652"/>
      <c r="D27" s="80"/>
      <c r="E27" s="80"/>
      <c r="F27" s="256">
        <f t="shared" ca="1" si="2"/>
        <v>0</v>
      </c>
      <c r="G27" s="624"/>
      <c r="H27" s="85"/>
      <c r="I27" s="624"/>
      <c r="J27" s="85"/>
      <c r="K27" s="624"/>
      <c r="L27" s="85"/>
      <c r="M27" s="624"/>
      <c r="N27" s="85"/>
      <c r="O27" s="624"/>
      <c r="P27" s="85"/>
      <c r="Q27" s="626">
        <f t="shared" si="1"/>
        <v>0</v>
      </c>
      <c r="R27" s="85"/>
      <c r="S27" s="624"/>
      <c r="T27" s="260" t="str">
        <f t="shared" si="3"/>
        <v/>
      </c>
      <c r="U27" s="624"/>
      <c r="V27" s="85"/>
      <c r="W27" s="624"/>
      <c r="X27" s="81"/>
      <c r="Y27" s="80"/>
      <c r="Z27" s="737">
        <f ca="1">MAX(0%,IF(Q27&lt;&gt;0,MIN((S27-Q27)/Q27/'NSLT Health Risk'!$E$27,'Health Prem &amp; Reserve Risk'!$Z$18),'Health Prem &amp; Reserve Risk'!$Z$18))</f>
        <v>0.05</v>
      </c>
      <c r="AA27" s="80"/>
      <c r="AB27" s="80"/>
      <c r="AC27" s="737">
        <f ca="1">MAX(0%,IF(U27&lt;&gt;0,MIN((W27-U27)/U27/'NSLT Health Risk'!$E$27,'Health Prem &amp; Reserve Risk'!$AC$18),'Health Prem &amp; Reserve Risk'!$AC$18))</f>
        <v>5.7000000000000002E-2</v>
      </c>
      <c r="AD27" s="81"/>
      <c r="AE27" s="53"/>
      <c r="AF27" s="53"/>
    </row>
    <row r="28" spans="1:32" ht="12.75" customHeight="1" x14ac:dyDescent="0.25">
      <c r="A28" s="53"/>
      <c r="B28" s="257">
        <v>9</v>
      </c>
      <c r="C28" s="652"/>
      <c r="D28" s="80"/>
      <c r="E28" s="80"/>
      <c r="F28" s="256">
        <f t="shared" ca="1" si="2"/>
        <v>0</v>
      </c>
      <c r="G28" s="624"/>
      <c r="H28" s="85"/>
      <c r="I28" s="624"/>
      <c r="J28" s="85"/>
      <c r="K28" s="624"/>
      <c r="L28" s="85"/>
      <c r="M28" s="624"/>
      <c r="N28" s="85"/>
      <c r="O28" s="624"/>
      <c r="P28" s="85"/>
      <c r="Q28" s="626">
        <f t="shared" si="1"/>
        <v>0</v>
      </c>
      <c r="R28" s="85"/>
      <c r="S28" s="624"/>
      <c r="T28" s="260" t="str">
        <f t="shared" si="3"/>
        <v/>
      </c>
      <c r="U28" s="624"/>
      <c r="V28" s="85"/>
      <c r="W28" s="624"/>
      <c r="X28" s="81"/>
      <c r="Y28" s="80"/>
      <c r="Z28" s="737">
        <f ca="1">MAX(0%,IF(Q28&lt;&gt;0,MIN((S28-Q28)/Q28/'NSLT Health Risk'!$E$27,'Health Prem &amp; Reserve Risk'!$Z$18),'Health Prem &amp; Reserve Risk'!$Z$18))</f>
        <v>0.05</v>
      </c>
      <c r="AA28" s="80"/>
      <c r="AB28" s="80"/>
      <c r="AC28" s="737">
        <f ca="1">MAX(0%,IF(U28&lt;&gt;0,MIN((W28-U28)/U28/'NSLT Health Risk'!$E$27,'Health Prem &amp; Reserve Risk'!$AC$18),'Health Prem &amp; Reserve Risk'!$AC$18))</f>
        <v>5.7000000000000002E-2</v>
      </c>
      <c r="AD28" s="81"/>
      <c r="AE28" s="53"/>
      <c r="AF28" s="53"/>
    </row>
    <row r="29" spans="1:32" ht="12.75" customHeight="1" x14ac:dyDescent="0.25">
      <c r="A29" s="53"/>
      <c r="B29" s="257">
        <v>10</v>
      </c>
      <c r="C29" s="652"/>
      <c r="D29" s="80"/>
      <c r="E29" s="80"/>
      <c r="F29" s="256">
        <f t="shared" ca="1" si="2"/>
        <v>0</v>
      </c>
      <c r="G29" s="624"/>
      <c r="H29" s="85"/>
      <c r="I29" s="624"/>
      <c r="J29" s="85"/>
      <c r="K29" s="624"/>
      <c r="L29" s="85"/>
      <c r="M29" s="624"/>
      <c r="N29" s="85"/>
      <c r="O29" s="624"/>
      <c r="P29" s="85"/>
      <c r="Q29" s="626">
        <f t="shared" si="1"/>
        <v>0</v>
      </c>
      <c r="R29" s="85"/>
      <c r="S29" s="624"/>
      <c r="T29" s="260" t="str">
        <f t="shared" si="3"/>
        <v/>
      </c>
      <c r="U29" s="624"/>
      <c r="V29" s="85"/>
      <c r="W29" s="624"/>
      <c r="X29" s="81"/>
      <c r="Y29" s="80"/>
      <c r="Z29" s="737">
        <f ca="1">MAX(0%,IF(Q29&lt;&gt;0,MIN((S29-Q29)/Q29/'NSLT Health Risk'!$E$27,'Health Prem &amp; Reserve Risk'!$Z$18),'Health Prem &amp; Reserve Risk'!$Z$18))</f>
        <v>0.05</v>
      </c>
      <c r="AA29" s="80"/>
      <c r="AB29" s="80"/>
      <c r="AC29" s="737">
        <f ca="1">MAX(0%,IF(U29&lt;&gt;0,MIN((W29-U29)/U29/'NSLT Health Risk'!$E$27,'Health Prem &amp; Reserve Risk'!$AC$18),'Health Prem &amp; Reserve Risk'!$AC$18))</f>
        <v>5.7000000000000002E-2</v>
      </c>
      <c r="AD29" s="81"/>
      <c r="AE29" s="53"/>
      <c r="AF29" s="53"/>
    </row>
    <row r="30" spans="1:32" ht="12.75" customHeight="1" x14ac:dyDescent="0.25">
      <c r="A30" s="53"/>
      <c r="B30" s="257">
        <v>11</v>
      </c>
      <c r="C30" s="652"/>
      <c r="D30" s="80"/>
      <c r="E30" s="80"/>
      <c r="F30" s="256">
        <f t="shared" ca="1" si="2"/>
        <v>0</v>
      </c>
      <c r="G30" s="624"/>
      <c r="H30" s="85"/>
      <c r="I30" s="624"/>
      <c r="J30" s="85"/>
      <c r="K30" s="624"/>
      <c r="L30" s="85"/>
      <c r="M30" s="624"/>
      <c r="N30" s="85"/>
      <c r="O30" s="624"/>
      <c r="P30" s="85"/>
      <c r="Q30" s="626">
        <f t="shared" si="1"/>
        <v>0</v>
      </c>
      <c r="R30" s="85"/>
      <c r="S30" s="624"/>
      <c r="T30" s="260" t="str">
        <f t="shared" si="3"/>
        <v/>
      </c>
      <c r="U30" s="624"/>
      <c r="V30" s="85"/>
      <c r="W30" s="624"/>
      <c r="X30" s="81"/>
      <c r="Y30" s="80"/>
      <c r="Z30" s="737">
        <f ca="1">MAX(0%,IF(Q30&lt;&gt;0,MIN((S30-Q30)/Q30/'NSLT Health Risk'!$E$27,'Health Prem &amp; Reserve Risk'!$Z$18),'Health Prem &amp; Reserve Risk'!$Z$18))</f>
        <v>0.05</v>
      </c>
      <c r="AA30" s="80"/>
      <c r="AB30" s="80"/>
      <c r="AC30" s="737">
        <f ca="1">MAX(0%,IF(U30&lt;&gt;0,MIN((W30-U30)/U30/'NSLT Health Risk'!$E$27,'Health Prem &amp; Reserve Risk'!$AC$18),'Health Prem &amp; Reserve Risk'!$AC$18))</f>
        <v>5.7000000000000002E-2</v>
      </c>
      <c r="AD30" s="81"/>
      <c r="AE30" s="53"/>
      <c r="AF30" s="53"/>
    </row>
    <row r="31" spans="1:32" ht="12.75" customHeight="1" x14ac:dyDescent="0.25">
      <c r="A31" s="53"/>
      <c r="B31" s="257">
        <v>12</v>
      </c>
      <c r="C31" s="652"/>
      <c r="D31" s="80"/>
      <c r="E31" s="80"/>
      <c r="F31" s="256">
        <f t="shared" ca="1" si="2"/>
        <v>0</v>
      </c>
      <c r="G31" s="624"/>
      <c r="H31" s="85"/>
      <c r="I31" s="624"/>
      <c r="J31" s="85"/>
      <c r="K31" s="624"/>
      <c r="L31" s="85"/>
      <c r="M31" s="624"/>
      <c r="N31" s="85"/>
      <c r="O31" s="624"/>
      <c r="P31" s="85"/>
      <c r="Q31" s="626">
        <f t="shared" si="1"/>
        <v>0</v>
      </c>
      <c r="R31" s="85"/>
      <c r="S31" s="624"/>
      <c r="T31" s="260" t="str">
        <f t="shared" si="3"/>
        <v/>
      </c>
      <c r="U31" s="624"/>
      <c r="V31" s="85"/>
      <c r="W31" s="624"/>
      <c r="X31" s="81"/>
      <c r="Y31" s="80"/>
      <c r="Z31" s="737">
        <f ca="1">MAX(0%,IF(Q31&lt;&gt;0,MIN((S31-Q31)/Q31/'NSLT Health Risk'!$E$27,'Health Prem &amp; Reserve Risk'!$Z$18),'Health Prem &amp; Reserve Risk'!$Z$18))</f>
        <v>0.05</v>
      </c>
      <c r="AA31" s="80"/>
      <c r="AB31" s="80"/>
      <c r="AC31" s="737">
        <f ca="1">MAX(0%,IF(U31&lt;&gt;0,MIN((W31-U31)/U31/'NSLT Health Risk'!$E$27,'Health Prem &amp; Reserve Risk'!$AC$18),'Health Prem &amp; Reserve Risk'!$AC$18))</f>
        <v>5.7000000000000002E-2</v>
      </c>
      <c r="AD31" s="81"/>
      <c r="AE31" s="53"/>
      <c r="AF31" s="53"/>
    </row>
    <row r="32" spans="1:32" ht="12.75" customHeight="1" x14ac:dyDescent="0.25">
      <c r="A32" s="53"/>
      <c r="B32" s="257">
        <v>13</v>
      </c>
      <c r="C32" s="652"/>
      <c r="D32" s="80"/>
      <c r="E32" s="80"/>
      <c r="F32" s="256">
        <f t="shared" ca="1" si="2"/>
        <v>0</v>
      </c>
      <c r="G32" s="624"/>
      <c r="H32" s="85"/>
      <c r="I32" s="624"/>
      <c r="J32" s="85"/>
      <c r="K32" s="624"/>
      <c r="L32" s="85"/>
      <c r="M32" s="624"/>
      <c r="N32" s="85"/>
      <c r="O32" s="624"/>
      <c r="P32" s="85"/>
      <c r="Q32" s="626">
        <f t="shared" si="1"/>
        <v>0</v>
      </c>
      <c r="R32" s="85"/>
      <c r="S32" s="624"/>
      <c r="T32" s="260" t="str">
        <f t="shared" si="3"/>
        <v/>
      </c>
      <c r="U32" s="624"/>
      <c r="V32" s="85"/>
      <c r="W32" s="624"/>
      <c r="X32" s="81"/>
      <c r="Y32" s="80"/>
      <c r="Z32" s="737">
        <f ca="1">MAX(0%,IF(Q32&lt;&gt;0,MIN((S32-Q32)/Q32/'NSLT Health Risk'!$E$27,'Health Prem &amp; Reserve Risk'!$Z$18),'Health Prem &amp; Reserve Risk'!$Z$18))</f>
        <v>0.05</v>
      </c>
      <c r="AA32" s="80"/>
      <c r="AB32" s="80"/>
      <c r="AC32" s="737">
        <f ca="1">MAX(0%,IF(U32&lt;&gt;0,MIN((W32-U32)/U32/'NSLT Health Risk'!$E$27,'Health Prem &amp; Reserve Risk'!$AC$18),'Health Prem &amp; Reserve Risk'!$AC$18))</f>
        <v>5.7000000000000002E-2</v>
      </c>
      <c r="AD32" s="81"/>
      <c r="AE32" s="53"/>
      <c r="AF32" s="53"/>
    </row>
    <row r="33" spans="1:32" ht="12.75" customHeight="1" x14ac:dyDescent="0.25">
      <c r="A33" s="53"/>
      <c r="B33" s="257">
        <v>14</v>
      </c>
      <c r="C33" s="652"/>
      <c r="D33" s="80"/>
      <c r="E33" s="80"/>
      <c r="F33" s="256">
        <f t="shared" ca="1" si="2"/>
        <v>0</v>
      </c>
      <c r="G33" s="624"/>
      <c r="H33" s="85"/>
      <c r="I33" s="624"/>
      <c r="J33" s="85"/>
      <c r="K33" s="624"/>
      <c r="L33" s="85"/>
      <c r="M33" s="624"/>
      <c r="N33" s="85"/>
      <c r="O33" s="624"/>
      <c r="P33" s="85"/>
      <c r="Q33" s="626">
        <f t="shared" si="1"/>
        <v>0</v>
      </c>
      <c r="R33" s="85"/>
      <c r="S33" s="624"/>
      <c r="T33" s="260" t="str">
        <f t="shared" si="3"/>
        <v/>
      </c>
      <c r="U33" s="624"/>
      <c r="V33" s="85"/>
      <c r="W33" s="624"/>
      <c r="X33" s="81"/>
      <c r="Y33" s="80"/>
      <c r="Z33" s="737">
        <f ca="1">MAX(0%,IF(Q33&lt;&gt;0,MIN((S33-Q33)/Q33/'NSLT Health Risk'!$E$27,'Health Prem &amp; Reserve Risk'!$Z$18),'Health Prem &amp; Reserve Risk'!$Z$18))</f>
        <v>0.05</v>
      </c>
      <c r="AA33" s="80"/>
      <c r="AB33" s="80"/>
      <c r="AC33" s="737">
        <f ca="1">MAX(0%,IF(U33&lt;&gt;0,MIN((W33-U33)/U33/'NSLT Health Risk'!$E$27,'Health Prem &amp; Reserve Risk'!$AC$18),'Health Prem &amp; Reserve Risk'!$AC$18))</f>
        <v>5.7000000000000002E-2</v>
      </c>
      <c r="AD33" s="81"/>
      <c r="AE33" s="53"/>
      <c r="AF33" s="53"/>
    </row>
    <row r="34" spans="1:32" ht="12.75" customHeight="1" x14ac:dyDescent="0.25">
      <c r="A34" s="53"/>
      <c r="B34" s="257">
        <v>15</v>
      </c>
      <c r="C34" s="652"/>
      <c r="D34" s="80"/>
      <c r="E34" s="80"/>
      <c r="F34" s="256">
        <f t="shared" ca="1" si="2"/>
        <v>0</v>
      </c>
      <c r="G34" s="624"/>
      <c r="H34" s="85"/>
      <c r="I34" s="624"/>
      <c r="J34" s="85"/>
      <c r="K34" s="624"/>
      <c r="L34" s="85"/>
      <c r="M34" s="624"/>
      <c r="N34" s="85"/>
      <c r="O34" s="624"/>
      <c r="P34" s="85"/>
      <c r="Q34" s="626">
        <f t="shared" si="1"/>
        <v>0</v>
      </c>
      <c r="R34" s="85"/>
      <c r="S34" s="624"/>
      <c r="T34" s="260" t="str">
        <f t="shared" si="3"/>
        <v/>
      </c>
      <c r="U34" s="624"/>
      <c r="V34" s="85"/>
      <c r="W34" s="624"/>
      <c r="X34" s="81"/>
      <c r="Y34" s="80"/>
      <c r="Z34" s="737">
        <f ca="1">MAX(0%,IF(Q34&lt;&gt;0,MIN((S34-Q34)/Q34/'NSLT Health Risk'!$E$27,'Health Prem &amp; Reserve Risk'!$Z$18),'Health Prem &amp; Reserve Risk'!$Z$18))</f>
        <v>0.05</v>
      </c>
      <c r="AA34" s="80"/>
      <c r="AB34" s="80"/>
      <c r="AC34" s="737">
        <f ca="1">MAX(0%,IF(U34&lt;&gt;0,MIN((W34-U34)/U34/'NSLT Health Risk'!$E$27,'Health Prem &amp; Reserve Risk'!$AC$18),'Health Prem &amp; Reserve Risk'!$AC$18))</f>
        <v>5.7000000000000002E-2</v>
      </c>
      <c r="AD34" s="81"/>
      <c r="AE34" s="53"/>
      <c r="AF34" s="53"/>
    </row>
    <row r="35" spans="1:32" ht="12.75" customHeight="1" x14ac:dyDescent="0.25">
      <c r="A35" s="53"/>
      <c r="B35" s="257">
        <v>16</v>
      </c>
      <c r="C35" s="652"/>
      <c r="D35" s="80"/>
      <c r="E35" s="80"/>
      <c r="F35" s="256">
        <f t="shared" ca="1" si="2"/>
        <v>0</v>
      </c>
      <c r="G35" s="624"/>
      <c r="H35" s="85"/>
      <c r="I35" s="624"/>
      <c r="J35" s="85"/>
      <c r="K35" s="624"/>
      <c r="L35" s="85"/>
      <c r="M35" s="624"/>
      <c r="N35" s="85"/>
      <c r="O35" s="624"/>
      <c r="P35" s="85"/>
      <c r="Q35" s="626">
        <f t="shared" si="1"/>
        <v>0</v>
      </c>
      <c r="R35" s="85"/>
      <c r="S35" s="624"/>
      <c r="T35" s="260" t="str">
        <f t="shared" si="3"/>
        <v/>
      </c>
      <c r="U35" s="624"/>
      <c r="V35" s="85"/>
      <c r="W35" s="624"/>
      <c r="X35" s="81"/>
      <c r="Y35" s="80"/>
      <c r="Z35" s="737">
        <f ca="1">MAX(0%,IF(Q35&lt;&gt;0,MIN((S35-Q35)/Q35/'NSLT Health Risk'!$E$27,'Health Prem &amp; Reserve Risk'!$Z$18),'Health Prem &amp; Reserve Risk'!$Z$18))</f>
        <v>0.05</v>
      </c>
      <c r="AA35" s="80"/>
      <c r="AB35" s="80"/>
      <c r="AC35" s="737">
        <f ca="1">MAX(0%,IF(U35&lt;&gt;0,MIN((W35-U35)/U35/'NSLT Health Risk'!$E$27,'Health Prem &amp; Reserve Risk'!$AC$18),'Health Prem &amp; Reserve Risk'!$AC$18))</f>
        <v>5.7000000000000002E-2</v>
      </c>
      <c r="AD35" s="81"/>
      <c r="AE35" s="53"/>
      <c r="AF35" s="53"/>
    </row>
    <row r="36" spans="1:32" ht="12.75" customHeight="1" x14ac:dyDescent="0.25">
      <c r="A36" s="53"/>
      <c r="B36" s="257">
        <v>17</v>
      </c>
      <c r="C36" s="652"/>
      <c r="D36" s="80"/>
      <c r="E36" s="80"/>
      <c r="F36" s="256">
        <f t="shared" ca="1" si="2"/>
        <v>0</v>
      </c>
      <c r="G36" s="624"/>
      <c r="H36" s="85"/>
      <c r="I36" s="624"/>
      <c r="J36" s="85"/>
      <c r="K36" s="624"/>
      <c r="L36" s="85"/>
      <c r="M36" s="624"/>
      <c r="N36" s="85"/>
      <c r="O36" s="624"/>
      <c r="P36" s="85"/>
      <c r="Q36" s="626">
        <f t="shared" si="1"/>
        <v>0</v>
      </c>
      <c r="R36" s="85"/>
      <c r="S36" s="624"/>
      <c r="T36" s="260" t="str">
        <f t="shared" si="3"/>
        <v/>
      </c>
      <c r="U36" s="624"/>
      <c r="V36" s="85"/>
      <c r="W36" s="624"/>
      <c r="X36" s="81"/>
      <c r="Y36" s="80"/>
      <c r="Z36" s="737">
        <f ca="1">MAX(0%,IF(Q36&lt;&gt;0,MIN((S36-Q36)/Q36/'NSLT Health Risk'!$E$27,'Health Prem &amp; Reserve Risk'!$Z$18),'Health Prem &amp; Reserve Risk'!$Z$18))</f>
        <v>0.05</v>
      </c>
      <c r="AA36" s="80"/>
      <c r="AB36" s="80"/>
      <c r="AC36" s="737">
        <f ca="1">MAX(0%,IF(U36&lt;&gt;0,MIN((W36-U36)/U36/'NSLT Health Risk'!$E$27,'Health Prem &amp; Reserve Risk'!$AC$18),'Health Prem &amp; Reserve Risk'!$AC$18))</f>
        <v>5.7000000000000002E-2</v>
      </c>
      <c r="AD36" s="81"/>
      <c r="AE36" s="53"/>
      <c r="AF36" s="53"/>
    </row>
    <row r="37" spans="1:32" ht="12.75" customHeight="1" x14ac:dyDescent="0.25">
      <c r="A37" s="53"/>
      <c r="B37" s="257">
        <v>18</v>
      </c>
      <c r="C37" s="652"/>
      <c r="D37" s="80"/>
      <c r="E37" s="80"/>
      <c r="F37" s="256">
        <f t="shared" ca="1" si="2"/>
        <v>0</v>
      </c>
      <c r="G37" s="624"/>
      <c r="H37" s="85"/>
      <c r="I37" s="624"/>
      <c r="J37" s="85"/>
      <c r="K37" s="624"/>
      <c r="L37" s="85"/>
      <c r="M37" s="624"/>
      <c r="N37" s="85"/>
      <c r="O37" s="624"/>
      <c r="P37" s="85"/>
      <c r="Q37" s="626">
        <f t="shared" si="1"/>
        <v>0</v>
      </c>
      <c r="R37" s="85"/>
      <c r="S37" s="624"/>
      <c r="T37" s="260" t="str">
        <f t="shared" si="3"/>
        <v/>
      </c>
      <c r="U37" s="624"/>
      <c r="V37" s="85"/>
      <c r="W37" s="624"/>
      <c r="X37" s="81"/>
      <c r="Y37" s="80"/>
      <c r="Z37" s="737">
        <f ca="1">MAX(0%,IF(Q37&lt;&gt;0,MIN((S37-Q37)/Q37/'NSLT Health Risk'!$E$27,'Health Prem &amp; Reserve Risk'!$Z$18),'Health Prem &amp; Reserve Risk'!$Z$18))</f>
        <v>0.05</v>
      </c>
      <c r="AA37" s="80"/>
      <c r="AB37" s="80"/>
      <c r="AC37" s="737">
        <f ca="1">MAX(0%,IF(U37&lt;&gt;0,MIN((W37-U37)/U37/'NSLT Health Risk'!$E$27,'Health Prem &amp; Reserve Risk'!$AC$18),'Health Prem &amp; Reserve Risk'!$AC$18))</f>
        <v>5.7000000000000002E-2</v>
      </c>
      <c r="AD37" s="81"/>
      <c r="AE37" s="53"/>
      <c r="AF37" s="53"/>
    </row>
    <row r="38" spans="1:32" ht="12.75" customHeight="1" x14ac:dyDescent="0.25">
      <c r="A38" s="53"/>
      <c r="B38" s="257">
        <v>19</v>
      </c>
      <c r="C38" s="652"/>
      <c r="D38" s="80"/>
      <c r="E38" s="80"/>
      <c r="F38" s="256">
        <f t="shared" ca="1" si="2"/>
        <v>0</v>
      </c>
      <c r="G38" s="624"/>
      <c r="H38" s="85"/>
      <c r="I38" s="624"/>
      <c r="J38" s="85"/>
      <c r="K38" s="624"/>
      <c r="L38" s="85"/>
      <c r="M38" s="624"/>
      <c r="N38" s="85"/>
      <c r="O38" s="624"/>
      <c r="P38" s="85"/>
      <c r="Q38" s="626">
        <f t="shared" si="1"/>
        <v>0</v>
      </c>
      <c r="R38" s="85"/>
      <c r="S38" s="624"/>
      <c r="T38" s="260" t="str">
        <f t="shared" si="3"/>
        <v/>
      </c>
      <c r="U38" s="624"/>
      <c r="V38" s="85"/>
      <c r="W38" s="624"/>
      <c r="X38" s="81"/>
      <c r="Y38" s="80"/>
      <c r="Z38" s="737">
        <f ca="1">MAX(0%,IF(Q38&lt;&gt;0,MIN((S38-Q38)/Q38/'NSLT Health Risk'!$E$27,'Health Prem &amp; Reserve Risk'!$Z$18),'Health Prem &amp; Reserve Risk'!$Z$18))</f>
        <v>0.05</v>
      </c>
      <c r="AA38" s="80"/>
      <c r="AB38" s="80"/>
      <c r="AC38" s="737">
        <f ca="1">MAX(0%,IF(U38&lt;&gt;0,MIN((W38-U38)/U38/'NSLT Health Risk'!$E$27,'Health Prem &amp; Reserve Risk'!$AC$18),'Health Prem &amp; Reserve Risk'!$AC$18))</f>
        <v>5.7000000000000002E-2</v>
      </c>
      <c r="AD38" s="81"/>
      <c r="AE38" s="53"/>
      <c r="AF38" s="53"/>
    </row>
    <row r="39" spans="1:32" ht="12.75" customHeight="1" x14ac:dyDescent="0.25">
      <c r="A39" s="53"/>
      <c r="B39" s="257">
        <v>20</v>
      </c>
      <c r="C39" s="652"/>
      <c r="D39" s="80"/>
      <c r="E39" s="80"/>
      <c r="F39" s="256">
        <f t="shared" ca="1" si="2"/>
        <v>0</v>
      </c>
      <c r="G39" s="624"/>
      <c r="H39" s="85"/>
      <c r="I39" s="624"/>
      <c r="J39" s="85"/>
      <c r="K39" s="624"/>
      <c r="L39" s="85"/>
      <c r="M39" s="624"/>
      <c r="N39" s="85"/>
      <c r="O39" s="624"/>
      <c r="P39" s="85"/>
      <c r="Q39" s="626">
        <f t="shared" si="1"/>
        <v>0</v>
      </c>
      <c r="R39" s="85"/>
      <c r="S39" s="624"/>
      <c r="T39" s="260" t="str">
        <f t="shared" si="3"/>
        <v/>
      </c>
      <c r="U39" s="624"/>
      <c r="V39" s="85"/>
      <c r="W39" s="624"/>
      <c r="X39" s="81"/>
      <c r="Y39" s="80"/>
      <c r="Z39" s="737">
        <f ca="1">MAX(0%,IF(Q39&lt;&gt;0,MIN((S39-Q39)/Q39/'NSLT Health Risk'!$E$27,'Health Prem &amp; Reserve Risk'!$Z$18),'Health Prem &amp; Reserve Risk'!$Z$18))</f>
        <v>0.05</v>
      </c>
      <c r="AA39" s="80"/>
      <c r="AB39" s="80"/>
      <c r="AC39" s="737">
        <f ca="1">MAX(0%,IF(U39&lt;&gt;0,MIN((W39-U39)/U39/'NSLT Health Risk'!$E$27,'Health Prem &amp; Reserve Risk'!$AC$18),'Health Prem &amp; Reserve Risk'!$AC$18))</f>
        <v>5.7000000000000002E-2</v>
      </c>
      <c r="AD39" s="81"/>
      <c r="AE39" s="53"/>
      <c r="AF39" s="53"/>
    </row>
    <row r="40" spans="1:32" ht="12.75" customHeight="1" x14ac:dyDescent="0.25">
      <c r="A40" s="53"/>
      <c r="B40" s="257">
        <v>21</v>
      </c>
      <c r="C40" s="652"/>
      <c r="D40" s="80"/>
      <c r="E40" s="80"/>
      <c r="F40" s="256">
        <f t="shared" ca="1" si="2"/>
        <v>0</v>
      </c>
      <c r="G40" s="624"/>
      <c r="H40" s="85"/>
      <c r="I40" s="624"/>
      <c r="J40" s="85"/>
      <c r="K40" s="624"/>
      <c r="L40" s="85"/>
      <c r="M40" s="624"/>
      <c r="N40" s="85"/>
      <c r="O40" s="624"/>
      <c r="P40" s="85"/>
      <c r="Q40" s="626">
        <f t="shared" si="1"/>
        <v>0</v>
      </c>
      <c r="R40" s="85"/>
      <c r="S40" s="624"/>
      <c r="T40" s="260" t="str">
        <f t="shared" si="3"/>
        <v/>
      </c>
      <c r="U40" s="624"/>
      <c r="V40" s="85"/>
      <c r="W40" s="624"/>
      <c r="X40" s="81"/>
      <c r="Y40" s="80"/>
      <c r="Z40" s="737">
        <f ca="1">MAX(0%,IF(Q40&lt;&gt;0,MIN((S40-Q40)/Q40/'NSLT Health Risk'!$E$27,'Health Prem &amp; Reserve Risk'!$Z$18),'Health Prem &amp; Reserve Risk'!$Z$18))</f>
        <v>0.05</v>
      </c>
      <c r="AA40" s="80"/>
      <c r="AB40" s="80"/>
      <c r="AC40" s="737">
        <f ca="1">MAX(0%,IF(U40&lt;&gt;0,MIN((W40-U40)/U40/'NSLT Health Risk'!$E$27,'Health Prem &amp; Reserve Risk'!$AC$18),'Health Prem &amp; Reserve Risk'!$AC$18))</f>
        <v>5.7000000000000002E-2</v>
      </c>
      <c r="AD40" s="81"/>
      <c r="AE40" s="53"/>
      <c r="AF40" s="53"/>
    </row>
    <row r="41" spans="1:32" ht="12.75" customHeight="1" x14ac:dyDescent="0.25">
      <c r="A41" s="53"/>
      <c r="B41" s="257">
        <v>22</v>
      </c>
      <c r="C41" s="652"/>
      <c r="D41" s="80"/>
      <c r="E41" s="80"/>
      <c r="F41" s="256">
        <f t="shared" ca="1" si="2"/>
        <v>0</v>
      </c>
      <c r="G41" s="624"/>
      <c r="H41" s="85"/>
      <c r="I41" s="624"/>
      <c r="J41" s="85"/>
      <c r="K41" s="624"/>
      <c r="L41" s="85"/>
      <c r="M41" s="624"/>
      <c r="N41" s="85"/>
      <c r="O41" s="624"/>
      <c r="P41" s="85"/>
      <c r="Q41" s="626">
        <f t="shared" si="1"/>
        <v>0</v>
      </c>
      <c r="R41" s="85"/>
      <c r="S41" s="624"/>
      <c r="T41" s="260" t="str">
        <f t="shared" si="3"/>
        <v/>
      </c>
      <c r="U41" s="624"/>
      <c r="V41" s="85"/>
      <c r="W41" s="624"/>
      <c r="X41" s="81"/>
      <c r="Y41" s="80"/>
      <c r="Z41" s="737">
        <f ca="1">MAX(0%,IF(Q41&lt;&gt;0,MIN((S41-Q41)/Q41/'NSLT Health Risk'!$E$27,'Health Prem &amp; Reserve Risk'!$Z$18),'Health Prem &amp; Reserve Risk'!$Z$18))</f>
        <v>0.05</v>
      </c>
      <c r="AA41" s="80"/>
      <c r="AB41" s="80"/>
      <c r="AC41" s="737">
        <f ca="1">MAX(0%,IF(U41&lt;&gt;0,MIN((W41-U41)/U41/'NSLT Health Risk'!$E$27,'Health Prem &amp; Reserve Risk'!$AC$18),'Health Prem &amp; Reserve Risk'!$AC$18))</f>
        <v>5.7000000000000002E-2</v>
      </c>
      <c r="AD41" s="81"/>
      <c r="AE41" s="53"/>
      <c r="AF41" s="53"/>
    </row>
    <row r="42" spans="1:32" ht="12.75" customHeight="1" x14ac:dyDescent="0.25">
      <c r="A42" s="53"/>
      <c r="B42" s="257">
        <v>23</v>
      </c>
      <c r="C42" s="652"/>
      <c r="D42" s="80"/>
      <c r="E42" s="80"/>
      <c r="F42" s="256">
        <f t="shared" ca="1" si="2"/>
        <v>0</v>
      </c>
      <c r="G42" s="624"/>
      <c r="H42" s="85"/>
      <c r="I42" s="624"/>
      <c r="J42" s="85"/>
      <c r="K42" s="624"/>
      <c r="L42" s="85"/>
      <c r="M42" s="624"/>
      <c r="N42" s="85"/>
      <c r="O42" s="624"/>
      <c r="P42" s="85"/>
      <c r="Q42" s="626">
        <f t="shared" si="1"/>
        <v>0</v>
      </c>
      <c r="R42" s="85"/>
      <c r="S42" s="624"/>
      <c r="T42" s="260" t="str">
        <f t="shared" si="3"/>
        <v/>
      </c>
      <c r="U42" s="624"/>
      <c r="V42" s="85"/>
      <c r="W42" s="624"/>
      <c r="X42" s="81"/>
      <c r="Y42" s="80"/>
      <c r="Z42" s="737">
        <f ca="1">MAX(0%,IF(Q42&lt;&gt;0,MIN((S42-Q42)/Q42/'NSLT Health Risk'!$E$27,'Health Prem &amp; Reserve Risk'!$Z$18),'Health Prem &amp; Reserve Risk'!$Z$18))</f>
        <v>0.05</v>
      </c>
      <c r="AA42" s="80"/>
      <c r="AB42" s="80"/>
      <c r="AC42" s="737">
        <f ca="1">MAX(0%,IF(U42&lt;&gt;0,MIN((W42-U42)/U42/'NSLT Health Risk'!$E$27,'Health Prem &amp; Reserve Risk'!$AC$18),'Health Prem &amp; Reserve Risk'!$AC$18))</f>
        <v>5.7000000000000002E-2</v>
      </c>
      <c r="AD42" s="81"/>
      <c r="AE42" s="53"/>
      <c r="AF42" s="53"/>
    </row>
    <row r="43" spans="1:32" ht="12.75" customHeight="1" x14ac:dyDescent="0.25">
      <c r="A43" s="53"/>
      <c r="B43" s="257">
        <v>24</v>
      </c>
      <c r="C43" s="652"/>
      <c r="D43" s="80"/>
      <c r="E43" s="80"/>
      <c r="F43" s="256">
        <f t="shared" ca="1" si="2"/>
        <v>0</v>
      </c>
      <c r="G43" s="624"/>
      <c r="H43" s="85"/>
      <c r="I43" s="624"/>
      <c r="J43" s="85"/>
      <c r="K43" s="624"/>
      <c r="L43" s="85"/>
      <c r="M43" s="624"/>
      <c r="N43" s="85"/>
      <c r="O43" s="624"/>
      <c r="P43" s="85"/>
      <c r="Q43" s="626">
        <f t="shared" si="1"/>
        <v>0</v>
      </c>
      <c r="R43" s="85"/>
      <c r="S43" s="624"/>
      <c r="T43" s="260" t="str">
        <f t="shared" si="3"/>
        <v/>
      </c>
      <c r="U43" s="624"/>
      <c r="V43" s="85"/>
      <c r="W43" s="624"/>
      <c r="X43" s="81"/>
      <c r="Y43" s="80"/>
      <c r="Z43" s="737">
        <f ca="1">MAX(0%,IF(Q43&lt;&gt;0,MIN((S43-Q43)/Q43/'NSLT Health Risk'!$E$27,'Health Prem &amp; Reserve Risk'!$Z$18),'Health Prem &amp; Reserve Risk'!$Z$18))</f>
        <v>0.05</v>
      </c>
      <c r="AA43" s="80"/>
      <c r="AB43" s="80"/>
      <c r="AC43" s="737">
        <f ca="1">MAX(0%,IF(U43&lt;&gt;0,MIN((W43-U43)/U43/'NSLT Health Risk'!$E$27,'Health Prem &amp; Reserve Risk'!$AC$18),'Health Prem &amp; Reserve Risk'!$AC$18))</f>
        <v>5.7000000000000002E-2</v>
      </c>
      <c r="AD43" s="81"/>
      <c r="AE43" s="53"/>
      <c r="AF43" s="53"/>
    </row>
    <row r="44" spans="1:32" ht="12.75" customHeight="1" x14ac:dyDescent="0.25">
      <c r="A44" s="53"/>
      <c r="B44" s="257">
        <v>25</v>
      </c>
      <c r="C44" s="652"/>
      <c r="D44" s="80"/>
      <c r="E44" s="80"/>
      <c r="F44" s="256">
        <f t="shared" ca="1" si="2"/>
        <v>0</v>
      </c>
      <c r="G44" s="624"/>
      <c r="H44" s="85"/>
      <c r="I44" s="624"/>
      <c r="J44" s="85"/>
      <c r="K44" s="624"/>
      <c r="L44" s="85"/>
      <c r="M44" s="624"/>
      <c r="N44" s="85"/>
      <c r="O44" s="624"/>
      <c r="P44" s="85"/>
      <c r="Q44" s="626">
        <f t="shared" si="1"/>
        <v>0</v>
      </c>
      <c r="R44" s="85"/>
      <c r="S44" s="624"/>
      <c r="T44" s="260" t="str">
        <f t="shared" si="3"/>
        <v/>
      </c>
      <c r="U44" s="624"/>
      <c r="V44" s="85"/>
      <c r="W44" s="624"/>
      <c r="X44" s="81"/>
      <c r="Y44" s="80"/>
      <c r="Z44" s="737">
        <f ca="1">MAX(0%,IF(Q44&lt;&gt;0,MIN((S44-Q44)/Q44/'NSLT Health Risk'!$E$27,'Health Prem &amp; Reserve Risk'!$Z$18),'Health Prem &amp; Reserve Risk'!$Z$18))</f>
        <v>0.05</v>
      </c>
      <c r="AA44" s="80"/>
      <c r="AB44" s="80"/>
      <c r="AC44" s="737">
        <f ca="1">MAX(0%,IF(U44&lt;&gt;0,MIN((W44-U44)/U44/'NSLT Health Risk'!$E$27,'Health Prem &amp; Reserve Risk'!$AC$18),'Health Prem &amp; Reserve Risk'!$AC$18))</f>
        <v>5.7000000000000002E-2</v>
      </c>
      <c r="AD44" s="81"/>
      <c r="AE44" s="53"/>
      <c r="AF44" s="53"/>
    </row>
    <row r="45" spans="1:32" ht="12.75" customHeight="1" x14ac:dyDescent="0.25">
      <c r="A45" s="53"/>
      <c r="B45" s="257">
        <v>26</v>
      </c>
      <c r="C45" s="652"/>
      <c r="D45" s="80"/>
      <c r="E45" s="80"/>
      <c r="F45" s="256">
        <f t="shared" ca="1" si="2"/>
        <v>0</v>
      </c>
      <c r="G45" s="624"/>
      <c r="H45" s="85"/>
      <c r="I45" s="624"/>
      <c r="J45" s="85"/>
      <c r="K45" s="624"/>
      <c r="L45" s="85"/>
      <c r="M45" s="624"/>
      <c r="N45" s="85"/>
      <c r="O45" s="624"/>
      <c r="P45" s="85"/>
      <c r="Q45" s="626">
        <f t="shared" si="1"/>
        <v>0</v>
      </c>
      <c r="R45" s="85"/>
      <c r="S45" s="624"/>
      <c r="T45" s="260" t="str">
        <f t="shared" si="3"/>
        <v/>
      </c>
      <c r="U45" s="624"/>
      <c r="V45" s="85"/>
      <c r="W45" s="624"/>
      <c r="X45" s="81"/>
      <c r="Y45" s="80"/>
      <c r="Z45" s="737">
        <f ca="1">MAX(0%,IF(Q45&lt;&gt;0,MIN((S45-Q45)/Q45/'NSLT Health Risk'!$E$27,'Health Prem &amp; Reserve Risk'!$Z$18),'Health Prem &amp; Reserve Risk'!$Z$18))</f>
        <v>0.05</v>
      </c>
      <c r="AA45" s="80"/>
      <c r="AB45" s="80"/>
      <c r="AC45" s="737">
        <f ca="1">MAX(0%,IF(U45&lt;&gt;0,MIN((W45-U45)/U45/'NSLT Health Risk'!$E$27,'Health Prem &amp; Reserve Risk'!$AC$18),'Health Prem &amp; Reserve Risk'!$AC$18))</f>
        <v>5.7000000000000002E-2</v>
      </c>
      <c r="AD45" s="81"/>
      <c r="AE45" s="53"/>
      <c r="AF45" s="53"/>
    </row>
    <row r="46" spans="1:32" ht="12.75" customHeight="1" x14ac:dyDescent="0.25">
      <c r="A46" s="53"/>
      <c r="B46" s="257">
        <v>27</v>
      </c>
      <c r="C46" s="652"/>
      <c r="D46" s="80"/>
      <c r="E46" s="80"/>
      <c r="F46" s="256">
        <f t="shared" ca="1" si="2"/>
        <v>0</v>
      </c>
      <c r="G46" s="624"/>
      <c r="H46" s="85"/>
      <c r="I46" s="624"/>
      <c r="J46" s="85"/>
      <c r="K46" s="624"/>
      <c r="L46" s="85"/>
      <c r="M46" s="624"/>
      <c r="N46" s="85"/>
      <c r="O46" s="624"/>
      <c r="P46" s="85"/>
      <c r="Q46" s="626">
        <f t="shared" si="1"/>
        <v>0</v>
      </c>
      <c r="R46" s="85"/>
      <c r="S46" s="624"/>
      <c r="T46" s="260" t="str">
        <f t="shared" si="3"/>
        <v/>
      </c>
      <c r="U46" s="624"/>
      <c r="V46" s="85"/>
      <c r="W46" s="624"/>
      <c r="X46" s="81"/>
      <c r="Y46" s="80"/>
      <c r="Z46" s="737">
        <f ca="1">MAX(0%,IF(Q46&lt;&gt;0,MIN((S46-Q46)/Q46/'NSLT Health Risk'!$E$27,'Health Prem &amp; Reserve Risk'!$Z$18),'Health Prem &amp; Reserve Risk'!$Z$18))</f>
        <v>0.05</v>
      </c>
      <c r="AA46" s="80"/>
      <c r="AB46" s="80"/>
      <c r="AC46" s="737">
        <f ca="1">MAX(0%,IF(U46&lt;&gt;0,MIN((W46-U46)/U46/'NSLT Health Risk'!$E$27,'Health Prem &amp; Reserve Risk'!$AC$18),'Health Prem &amp; Reserve Risk'!$AC$18))</f>
        <v>5.7000000000000002E-2</v>
      </c>
      <c r="AD46" s="81"/>
      <c r="AE46" s="53"/>
      <c r="AF46" s="53"/>
    </row>
    <row r="47" spans="1:32" ht="12.75" customHeight="1" x14ac:dyDescent="0.25">
      <c r="A47" s="53"/>
      <c r="B47" s="257">
        <v>28</v>
      </c>
      <c r="C47" s="652"/>
      <c r="D47" s="80"/>
      <c r="E47" s="80"/>
      <c r="F47" s="256">
        <f t="shared" ca="1" si="2"/>
        <v>0</v>
      </c>
      <c r="G47" s="624"/>
      <c r="H47" s="85"/>
      <c r="I47" s="624"/>
      <c r="J47" s="85"/>
      <c r="K47" s="624"/>
      <c r="L47" s="85"/>
      <c r="M47" s="624"/>
      <c r="N47" s="85"/>
      <c r="O47" s="624"/>
      <c r="P47" s="85"/>
      <c r="Q47" s="626">
        <f t="shared" si="1"/>
        <v>0</v>
      </c>
      <c r="R47" s="85"/>
      <c r="S47" s="624"/>
      <c r="T47" s="260" t="str">
        <f t="shared" si="3"/>
        <v/>
      </c>
      <c r="U47" s="624"/>
      <c r="V47" s="85"/>
      <c r="W47" s="624"/>
      <c r="X47" s="81"/>
      <c r="Y47" s="80"/>
      <c r="Z47" s="737">
        <f ca="1">MAX(0%,IF(Q47&lt;&gt;0,MIN((S47-Q47)/Q47/'NSLT Health Risk'!$E$27,'Health Prem &amp; Reserve Risk'!$Z$18),'Health Prem &amp; Reserve Risk'!$Z$18))</f>
        <v>0.05</v>
      </c>
      <c r="AA47" s="80"/>
      <c r="AB47" s="80"/>
      <c r="AC47" s="737">
        <f ca="1">MAX(0%,IF(U47&lt;&gt;0,MIN((W47-U47)/U47/'NSLT Health Risk'!$E$27,'Health Prem &amp; Reserve Risk'!$AC$18),'Health Prem &amp; Reserve Risk'!$AC$18))</f>
        <v>5.7000000000000002E-2</v>
      </c>
      <c r="AD47" s="81"/>
      <c r="AE47" s="53"/>
      <c r="AF47" s="53"/>
    </row>
    <row r="48" spans="1:32" ht="12.75" customHeight="1" x14ac:dyDescent="0.25">
      <c r="A48" s="53"/>
      <c r="B48" s="257">
        <v>29</v>
      </c>
      <c r="C48" s="652"/>
      <c r="D48" s="80"/>
      <c r="E48" s="80"/>
      <c r="F48" s="256">
        <f t="shared" ca="1" si="2"/>
        <v>0</v>
      </c>
      <c r="G48" s="624"/>
      <c r="H48" s="85"/>
      <c r="I48" s="624"/>
      <c r="J48" s="85"/>
      <c r="K48" s="624"/>
      <c r="L48" s="85"/>
      <c r="M48" s="624"/>
      <c r="N48" s="85"/>
      <c r="O48" s="624"/>
      <c r="P48" s="85"/>
      <c r="Q48" s="626">
        <f t="shared" si="1"/>
        <v>0</v>
      </c>
      <c r="R48" s="85"/>
      <c r="S48" s="624"/>
      <c r="T48" s="260" t="str">
        <f t="shared" si="3"/>
        <v/>
      </c>
      <c r="U48" s="624"/>
      <c r="V48" s="85"/>
      <c r="W48" s="624"/>
      <c r="X48" s="81"/>
      <c r="Y48" s="80"/>
      <c r="Z48" s="737">
        <f ca="1">MAX(0%,IF(Q48&lt;&gt;0,MIN((S48-Q48)/Q48/'NSLT Health Risk'!$E$27,'Health Prem &amp; Reserve Risk'!$Z$18),'Health Prem &amp; Reserve Risk'!$Z$18))</f>
        <v>0.05</v>
      </c>
      <c r="AA48" s="80"/>
      <c r="AB48" s="80"/>
      <c r="AC48" s="737">
        <f ca="1">MAX(0%,IF(U48&lt;&gt;0,MIN((W48-U48)/U48/'NSLT Health Risk'!$E$27,'Health Prem &amp; Reserve Risk'!$AC$18),'Health Prem &amp; Reserve Risk'!$AC$18))</f>
        <v>5.7000000000000002E-2</v>
      </c>
      <c r="AD48" s="81"/>
      <c r="AE48" s="53"/>
      <c r="AF48" s="53"/>
    </row>
    <row r="49" spans="1:32" ht="12.75" customHeight="1" x14ac:dyDescent="0.25">
      <c r="A49" s="53"/>
      <c r="B49" s="257">
        <v>30</v>
      </c>
      <c r="C49" s="652"/>
      <c r="D49" s="80"/>
      <c r="E49" s="80"/>
      <c r="F49" s="256">
        <f t="shared" ca="1" si="2"/>
        <v>0</v>
      </c>
      <c r="G49" s="624"/>
      <c r="H49" s="85"/>
      <c r="I49" s="624"/>
      <c r="J49" s="85"/>
      <c r="K49" s="624"/>
      <c r="L49" s="85"/>
      <c r="M49" s="624"/>
      <c r="N49" s="85"/>
      <c r="O49" s="624"/>
      <c r="P49" s="85"/>
      <c r="Q49" s="626">
        <f t="shared" si="1"/>
        <v>0</v>
      </c>
      <c r="R49" s="85"/>
      <c r="S49" s="624"/>
      <c r="T49" s="260" t="str">
        <f t="shared" si="3"/>
        <v/>
      </c>
      <c r="U49" s="624"/>
      <c r="V49" s="85"/>
      <c r="W49" s="624"/>
      <c r="X49" s="81"/>
      <c r="Y49" s="80"/>
      <c r="Z49" s="737">
        <f ca="1">MAX(0%,IF(Q49&lt;&gt;0,MIN((S49-Q49)/Q49/'NSLT Health Risk'!$E$27,'Health Prem &amp; Reserve Risk'!$Z$18),'Health Prem &amp; Reserve Risk'!$Z$18))</f>
        <v>0.05</v>
      </c>
      <c r="AA49" s="80"/>
      <c r="AB49" s="80"/>
      <c r="AC49" s="737">
        <f ca="1">MAX(0%,IF(U49&lt;&gt;0,MIN((W49-U49)/U49/'NSLT Health Risk'!$E$27,'Health Prem &amp; Reserve Risk'!$AC$18),'Health Prem &amp; Reserve Risk'!$AC$18))</f>
        <v>5.7000000000000002E-2</v>
      </c>
      <c r="AD49" s="81"/>
      <c r="AE49" s="53"/>
      <c r="AF49" s="53"/>
    </row>
    <row r="50" spans="1:32" ht="12.75" customHeight="1" x14ac:dyDescent="0.25">
      <c r="A50" s="53"/>
      <c r="B50" s="257">
        <v>31</v>
      </c>
      <c r="C50" s="652"/>
      <c r="D50" s="80"/>
      <c r="E50" s="80"/>
      <c r="F50" s="256">
        <f t="shared" ca="1" si="2"/>
        <v>0</v>
      </c>
      <c r="G50" s="624"/>
      <c r="H50" s="85"/>
      <c r="I50" s="624"/>
      <c r="J50" s="85"/>
      <c r="K50" s="624"/>
      <c r="L50" s="85"/>
      <c r="M50" s="624"/>
      <c r="N50" s="85"/>
      <c r="O50" s="624"/>
      <c r="P50" s="85"/>
      <c r="Q50" s="626">
        <f t="shared" si="1"/>
        <v>0</v>
      </c>
      <c r="R50" s="85"/>
      <c r="S50" s="624"/>
      <c r="T50" s="260" t="str">
        <f t="shared" si="3"/>
        <v/>
      </c>
      <c r="U50" s="624"/>
      <c r="V50" s="85"/>
      <c r="W50" s="624"/>
      <c r="X50" s="81"/>
      <c r="Y50" s="80"/>
      <c r="Z50" s="737">
        <f ca="1">MAX(0%,IF(Q50&lt;&gt;0,MIN((S50-Q50)/Q50/'NSLT Health Risk'!$E$27,'Health Prem &amp; Reserve Risk'!$Z$18),'Health Prem &amp; Reserve Risk'!$Z$18))</f>
        <v>0.05</v>
      </c>
      <c r="AA50" s="80"/>
      <c r="AB50" s="80"/>
      <c r="AC50" s="737">
        <f ca="1">MAX(0%,IF(U50&lt;&gt;0,MIN((W50-U50)/U50/'NSLT Health Risk'!$E$27,'Health Prem &amp; Reserve Risk'!$AC$18),'Health Prem &amp; Reserve Risk'!$AC$18))</f>
        <v>5.7000000000000002E-2</v>
      </c>
      <c r="AD50" s="81"/>
      <c r="AE50" s="53"/>
      <c r="AF50" s="53"/>
    </row>
    <row r="51" spans="1:32" ht="12.75" customHeight="1" x14ac:dyDescent="0.25">
      <c r="A51" s="53"/>
      <c r="B51" s="257">
        <v>32</v>
      </c>
      <c r="C51" s="652"/>
      <c r="D51" s="80"/>
      <c r="E51" s="80"/>
      <c r="F51" s="256">
        <f t="shared" ca="1" si="2"/>
        <v>0</v>
      </c>
      <c r="G51" s="624"/>
      <c r="H51" s="85"/>
      <c r="I51" s="624"/>
      <c r="J51" s="85"/>
      <c r="K51" s="624"/>
      <c r="L51" s="85"/>
      <c r="M51" s="624"/>
      <c r="N51" s="85"/>
      <c r="O51" s="624"/>
      <c r="P51" s="85"/>
      <c r="Q51" s="626">
        <f t="shared" si="1"/>
        <v>0</v>
      </c>
      <c r="R51" s="85"/>
      <c r="S51" s="624"/>
      <c r="T51" s="260" t="str">
        <f t="shared" si="3"/>
        <v/>
      </c>
      <c r="U51" s="624"/>
      <c r="V51" s="85"/>
      <c r="W51" s="624"/>
      <c r="X51" s="81"/>
      <c r="Y51" s="80"/>
      <c r="Z51" s="737">
        <f ca="1">MAX(0%,IF(Q51&lt;&gt;0,MIN((S51-Q51)/Q51/'NSLT Health Risk'!$E$27,'Health Prem &amp; Reserve Risk'!$Z$18),'Health Prem &amp; Reserve Risk'!$Z$18))</f>
        <v>0.05</v>
      </c>
      <c r="AA51" s="80"/>
      <c r="AB51" s="80"/>
      <c r="AC51" s="737">
        <f ca="1">MAX(0%,IF(U51&lt;&gt;0,MIN((W51-U51)/U51/'NSLT Health Risk'!$E$27,'Health Prem &amp; Reserve Risk'!$AC$18),'Health Prem &amp; Reserve Risk'!$AC$18))</f>
        <v>5.7000000000000002E-2</v>
      </c>
      <c r="AD51" s="81"/>
      <c r="AE51" s="53"/>
      <c r="AF51" s="53"/>
    </row>
    <row r="52" spans="1:32" ht="12.75" customHeight="1" x14ac:dyDescent="0.25">
      <c r="A52" s="53"/>
      <c r="B52" s="257">
        <v>33</v>
      </c>
      <c r="C52" s="652"/>
      <c r="D52" s="80"/>
      <c r="E52" s="80"/>
      <c r="F52" s="256">
        <f t="shared" ca="1" si="2"/>
        <v>0</v>
      </c>
      <c r="G52" s="624"/>
      <c r="H52" s="85"/>
      <c r="I52" s="624"/>
      <c r="J52" s="85"/>
      <c r="K52" s="624"/>
      <c r="L52" s="85"/>
      <c r="M52" s="624"/>
      <c r="N52" s="85"/>
      <c r="O52" s="624"/>
      <c r="P52" s="85"/>
      <c r="Q52" s="626">
        <f t="shared" si="1"/>
        <v>0</v>
      </c>
      <c r="R52" s="85"/>
      <c r="S52" s="624"/>
      <c r="T52" s="260" t="str">
        <f t="shared" si="3"/>
        <v/>
      </c>
      <c r="U52" s="624"/>
      <c r="V52" s="85"/>
      <c r="W52" s="624"/>
      <c r="X52" s="81"/>
      <c r="Y52" s="80"/>
      <c r="Z52" s="737">
        <f ca="1">MAX(0%,IF(Q52&lt;&gt;0,MIN((S52-Q52)/Q52/'NSLT Health Risk'!$E$27,'Health Prem &amp; Reserve Risk'!$Z$18),'Health Prem &amp; Reserve Risk'!$Z$18))</f>
        <v>0.05</v>
      </c>
      <c r="AA52" s="80"/>
      <c r="AB52" s="80"/>
      <c r="AC52" s="737">
        <f ca="1">MAX(0%,IF(U52&lt;&gt;0,MIN((W52-U52)/U52/'NSLT Health Risk'!$E$27,'Health Prem &amp; Reserve Risk'!$AC$18),'Health Prem &amp; Reserve Risk'!$AC$18))</f>
        <v>5.7000000000000002E-2</v>
      </c>
      <c r="AD52" s="81"/>
      <c r="AE52" s="53"/>
      <c r="AF52" s="53"/>
    </row>
    <row r="53" spans="1:32" ht="12.75" customHeight="1" x14ac:dyDescent="0.25">
      <c r="A53" s="53"/>
      <c r="B53" s="257">
        <v>34</v>
      </c>
      <c r="C53" s="652"/>
      <c r="D53" s="80"/>
      <c r="E53" s="80"/>
      <c r="F53" s="256">
        <f t="shared" ca="1" si="2"/>
        <v>0</v>
      </c>
      <c r="G53" s="624"/>
      <c r="H53" s="85"/>
      <c r="I53" s="624"/>
      <c r="J53" s="85"/>
      <c r="K53" s="624"/>
      <c r="L53" s="85"/>
      <c r="M53" s="624"/>
      <c r="N53" s="85"/>
      <c r="O53" s="624"/>
      <c r="P53" s="85"/>
      <c r="Q53" s="626">
        <f t="shared" si="1"/>
        <v>0</v>
      </c>
      <c r="R53" s="85"/>
      <c r="S53" s="624"/>
      <c r="T53" s="260" t="str">
        <f t="shared" si="3"/>
        <v/>
      </c>
      <c r="U53" s="624"/>
      <c r="V53" s="85"/>
      <c r="W53" s="624"/>
      <c r="X53" s="81"/>
      <c r="Y53" s="80"/>
      <c r="Z53" s="737">
        <f ca="1">MAX(0%,IF(Q53&lt;&gt;0,MIN((S53-Q53)/Q53/'NSLT Health Risk'!$E$27,'Health Prem &amp; Reserve Risk'!$Z$18),'Health Prem &amp; Reserve Risk'!$Z$18))</f>
        <v>0.05</v>
      </c>
      <c r="AA53" s="80"/>
      <c r="AB53" s="80"/>
      <c r="AC53" s="737">
        <f ca="1">MAX(0%,IF(U53&lt;&gt;0,MIN((W53-U53)/U53/'NSLT Health Risk'!$E$27,'Health Prem &amp; Reserve Risk'!$AC$18),'Health Prem &amp; Reserve Risk'!$AC$18))</f>
        <v>5.7000000000000002E-2</v>
      </c>
      <c r="AD53" s="81"/>
      <c r="AE53" s="53"/>
      <c r="AF53" s="53"/>
    </row>
    <row r="54" spans="1:32" ht="12.75" customHeight="1" x14ac:dyDescent="0.25">
      <c r="A54" s="53"/>
      <c r="B54" s="257">
        <v>35</v>
      </c>
      <c r="C54" s="652"/>
      <c r="D54" s="80"/>
      <c r="E54" s="80"/>
      <c r="F54" s="256">
        <f t="shared" ca="1" si="2"/>
        <v>0</v>
      </c>
      <c r="G54" s="624"/>
      <c r="H54" s="85"/>
      <c r="I54" s="624"/>
      <c r="J54" s="85"/>
      <c r="K54" s="624"/>
      <c r="L54" s="85"/>
      <c r="M54" s="624"/>
      <c r="N54" s="85"/>
      <c r="O54" s="624"/>
      <c r="P54" s="85"/>
      <c r="Q54" s="626">
        <f t="shared" si="1"/>
        <v>0</v>
      </c>
      <c r="R54" s="85"/>
      <c r="S54" s="624"/>
      <c r="T54" s="260" t="str">
        <f t="shared" si="3"/>
        <v/>
      </c>
      <c r="U54" s="624"/>
      <c r="V54" s="85"/>
      <c r="W54" s="624"/>
      <c r="X54" s="81"/>
      <c r="Y54" s="80"/>
      <c r="Z54" s="737">
        <f ca="1">MAX(0%,IF(Q54&lt;&gt;0,MIN((S54-Q54)/Q54/'NSLT Health Risk'!$E$27,'Health Prem &amp; Reserve Risk'!$Z$18),'Health Prem &amp; Reserve Risk'!$Z$18))</f>
        <v>0.05</v>
      </c>
      <c r="AA54" s="80"/>
      <c r="AB54" s="80"/>
      <c r="AC54" s="737">
        <f ca="1">MAX(0%,IF(U54&lt;&gt;0,MIN((W54-U54)/U54/'NSLT Health Risk'!$E$27,'Health Prem &amp; Reserve Risk'!$AC$18),'Health Prem &amp; Reserve Risk'!$AC$18))</f>
        <v>5.7000000000000002E-2</v>
      </c>
      <c r="AD54" s="81"/>
      <c r="AE54" s="53"/>
      <c r="AF54" s="53"/>
    </row>
    <row r="55" spans="1:32" ht="12.75" customHeight="1" x14ac:dyDescent="0.25">
      <c r="A55" s="53"/>
      <c r="B55" s="257">
        <v>36</v>
      </c>
      <c r="C55" s="652"/>
      <c r="D55" s="80"/>
      <c r="E55" s="80"/>
      <c r="F55" s="256">
        <f t="shared" ca="1" si="2"/>
        <v>0</v>
      </c>
      <c r="G55" s="624"/>
      <c r="H55" s="85"/>
      <c r="I55" s="624"/>
      <c r="J55" s="85"/>
      <c r="K55" s="624"/>
      <c r="L55" s="85"/>
      <c r="M55" s="624"/>
      <c r="N55" s="85"/>
      <c r="O55" s="624"/>
      <c r="P55" s="85"/>
      <c r="Q55" s="626">
        <f t="shared" si="1"/>
        <v>0</v>
      </c>
      <c r="R55" s="85"/>
      <c r="S55" s="624"/>
      <c r="T55" s="260" t="str">
        <f t="shared" si="3"/>
        <v/>
      </c>
      <c r="U55" s="624"/>
      <c r="V55" s="85"/>
      <c r="W55" s="624"/>
      <c r="X55" s="81"/>
      <c r="Y55" s="80"/>
      <c r="Z55" s="737">
        <f ca="1">MAX(0%,IF(Q55&lt;&gt;0,MIN((S55-Q55)/Q55/'NSLT Health Risk'!$E$27,'Health Prem &amp; Reserve Risk'!$Z$18),'Health Prem &amp; Reserve Risk'!$Z$18))</f>
        <v>0.05</v>
      </c>
      <c r="AA55" s="80"/>
      <c r="AB55" s="80"/>
      <c r="AC55" s="737">
        <f ca="1">MAX(0%,IF(U55&lt;&gt;0,MIN((W55-U55)/U55/'NSLT Health Risk'!$E$27,'Health Prem &amp; Reserve Risk'!$AC$18),'Health Prem &amp; Reserve Risk'!$AC$18))</f>
        <v>5.7000000000000002E-2</v>
      </c>
      <c r="AD55" s="81"/>
      <c r="AE55" s="53"/>
      <c r="AF55" s="53"/>
    </row>
    <row r="56" spans="1:32" ht="12.75" customHeight="1" x14ac:dyDescent="0.25">
      <c r="A56" s="53"/>
      <c r="B56" s="257">
        <v>37</v>
      </c>
      <c r="C56" s="652"/>
      <c r="D56" s="80"/>
      <c r="E56" s="80"/>
      <c r="F56" s="256">
        <f t="shared" ca="1" si="2"/>
        <v>0</v>
      </c>
      <c r="G56" s="624"/>
      <c r="H56" s="85"/>
      <c r="I56" s="624"/>
      <c r="J56" s="85"/>
      <c r="K56" s="624"/>
      <c r="L56" s="85"/>
      <c r="M56" s="624"/>
      <c r="N56" s="85"/>
      <c r="O56" s="624"/>
      <c r="P56" s="85"/>
      <c r="Q56" s="626">
        <f t="shared" si="1"/>
        <v>0</v>
      </c>
      <c r="R56" s="85"/>
      <c r="S56" s="624"/>
      <c r="T56" s="260" t="str">
        <f t="shared" si="3"/>
        <v/>
      </c>
      <c r="U56" s="624"/>
      <c r="V56" s="85"/>
      <c r="W56" s="624"/>
      <c r="X56" s="81"/>
      <c r="Y56" s="80"/>
      <c r="Z56" s="737">
        <f ca="1">MAX(0%,IF(Q56&lt;&gt;0,MIN((S56-Q56)/Q56/'NSLT Health Risk'!$E$27,'Health Prem &amp; Reserve Risk'!$Z$18),'Health Prem &amp; Reserve Risk'!$Z$18))</f>
        <v>0.05</v>
      </c>
      <c r="AA56" s="80"/>
      <c r="AB56" s="80"/>
      <c r="AC56" s="737">
        <f ca="1">MAX(0%,IF(U56&lt;&gt;0,MIN((W56-U56)/U56/'NSLT Health Risk'!$E$27,'Health Prem &amp; Reserve Risk'!$AC$18),'Health Prem &amp; Reserve Risk'!$AC$18))</f>
        <v>5.7000000000000002E-2</v>
      </c>
      <c r="AD56" s="81"/>
      <c r="AE56" s="53"/>
      <c r="AF56" s="53"/>
    </row>
    <row r="57" spans="1:32" ht="12.75" customHeight="1" x14ac:dyDescent="0.25">
      <c r="A57" s="53"/>
      <c r="B57" s="257">
        <v>38</v>
      </c>
      <c r="C57" s="652"/>
      <c r="D57" s="80"/>
      <c r="E57" s="80"/>
      <c r="F57" s="256">
        <f t="shared" ca="1" si="2"/>
        <v>0</v>
      </c>
      <c r="G57" s="624"/>
      <c r="H57" s="85"/>
      <c r="I57" s="624"/>
      <c r="J57" s="85"/>
      <c r="K57" s="624"/>
      <c r="L57" s="85"/>
      <c r="M57" s="624"/>
      <c r="N57" s="85"/>
      <c r="O57" s="624"/>
      <c r="P57" s="85"/>
      <c r="Q57" s="626">
        <f t="shared" si="1"/>
        <v>0</v>
      </c>
      <c r="R57" s="85"/>
      <c r="S57" s="624"/>
      <c r="T57" s="260" t="str">
        <f t="shared" si="3"/>
        <v/>
      </c>
      <c r="U57" s="624"/>
      <c r="V57" s="85"/>
      <c r="W57" s="624"/>
      <c r="X57" s="81"/>
      <c r="Y57" s="80"/>
      <c r="Z57" s="737">
        <f ca="1">MAX(0%,IF(Q57&lt;&gt;0,MIN((S57-Q57)/Q57/'NSLT Health Risk'!$E$27,'Health Prem &amp; Reserve Risk'!$Z$18),'Health Prem &amp; Reserve Risk'!$Z$18))</f>
        <v>0.05</v>
      </c>
      <c r="AA57" s="80"/>
      <c r="AB57" s="80"/>
      <c r="AC57" s="737">
        <f ca="1">MAX(0%,IF(U57&lt;&gt;0,MIN((W57-U57)/U57/'NSLT Health Risk'!$E$27,'Health Prem &amp; Reserve Risk'!$AC$18),'Health Prem &amp; Reserve Risk'!$AC$18))</f>
        <v>5.7000000000000002E-2</v>
      </c>
      <c r="AD57" s="81"/>
      <c r="AE57" s="53"/>
      <c r="AF57" s="53"/>
    </row>
    <row r="58" spans="1:32" ht="12.75" customHeight="1" x14ac:dyDescent="0.25">
      <c r="A58" s="53"/>
      <c r="B58" s="257">
        <v>39</v>
      </c>
      <c r="C58" s="652"/>
      <c r="D58" s="80"/>
      <c r="E58" s="80"/>
      <c r="F58" s="256">
        <f t="shared" ca="1" si="2"/>
        <v>0</v>
      </c>
      <c r="G58" s="624"/>
      <c r="H58" s="85"/>
      <c r="I58" s="624"/>
      <c r="J58" s="85"/>
      <c r="K58" s="624"/>
      <c r="L58" s="85"/>
      <c r="M58" s="624"/>
      <c r="N58" s="85"/>
      <c r="O58" s="624"/>
      <c r="P58" s="85"/>
      <c r="Q58" s="626">
        <f t="shared" si="1"/>
        <v>0</v>
      </c>
      <c r="R58" s="85"/>
      <c r="S58" s="624"/>
      <c r="T58" s="260" t="str">
        <f t="shared" si="3"/>
        <v/>
      </c>
      <c r="U58" s="624"/>
      <c r="V58" s="85"/>
      <c r="W58" s="624"/>
      <c r="X58" s="81"/>
      <c r="Y58" s="80"/>
      <c r="Z58" s="737">
        <f ca="1">MAX(0%,IF(Q58&lt;&gt;0,MIN((S58-Q58)/Q58/'NSLT Health Risk'!$E$27,'Health Prem &amp; Reserve Risk'!$Z$18),'Health Prem &amp; Reserve Risk'!$Z$18))</f>
        <v>0.05</v>
      </c>
      <c r="AA58" s="80"/>
      <c r="AB58" s="80"/>
      <c r="AC58" s="737">
        <f ca="1">MAX(0%,IF(U58&lt;&gt;0,MIN((W58-U58)/U58/'NSLT Health Risk'!$E$27,'Health Prem &amp; Reserve Risk'!$AC$18),'Health Prem &amp; Reserve Risk'!$AC$18))</f>
        <v>5.7000000000000002E-2</v>
      </c>
      <c r="AD58" s="81"/>
      <c r="AE58" s="53"/>
      <c r="AF58" s="53"/>
    </row>
    <row r="59" spans="1:32" ht="12.75" customHeight="1" x14ac:dyDescent="0.25">
      <c r="A59" s="53"/>
      <c r="B59" s="257">
        <v>40</v>
      </c>
      <c r="C59" s="652"/>
      <c r="D59" s="80"/>
      <c r="E59" s="80"/>
      <c r="F59" s="256">
        <f t="shared" ca="1" si="2"/>
        <v>0</v>
      </c>
      <c r="G59" s="624"/>
      <c r="H59" s="85"/>
      <c r="I59" s="624"/>
      <c r="J59" s="85"/>
      <c r="K59" s="624"/>
      <c r="L59" s="85"/>
      <c r="M59" s="624"/>
      <c r="N59" s="85"/>
      <c r="O59" s="624"/>
      <c r="P59" s="85"/>
      <c r="Q59" s="626">
        <f t="shared" si="1"/>
        <v>0</v>
      </c>
      <c r="R59" s="85"/>
      <c r="S59" s="624"/>
      <c r="T59" s="260" t="str">
        <f t="shared" si="3"/>
        <v/>
      </c>
      <c r="U59" s="624"/>
      <c r="V59" s="85"/>
      <c r="W59" s="624"/>
      <c r="X59" s="81"/>
      <c r="Y59" s="80"/>
      <c r="Z59" s="737">
        <f ca="1">MAX(0%,IF(Q59&lt;&gt;0,MIN((S59-Q59)/Q59/'NSLT Health Risk'!$E$27,'Health Prem &amp; Reserve Risk'!$Z$18),'Health Prem &amp; Reserve Risk'!$Z$18))</f>
        <v>0.05</v>
      </c>
      <c r="AA59" s="80"/>
      <c r="AB59" s="80"/>
      <c r="AC59" s="737">
        <f ca="1">MAX(0%,IF(U59&lt;&gt;0,MIN((W59-U59)/U59/'NSLT Health Risk'!$E$27,'Health Prem &amp; Reserve Risk'!$AC$18),'Health Prem &amp; Reserve Risk'!$AC$18))</f>
        <v>5.7000000000000002E-2</v>
      </c>
      <c r="AD59" s="81"/>
      <c r="AE59" s="53"/>
      <c r="AF59" s="53"/>
    </row>
    <row r="60" spans="1:32" ht="12.75" customHeight="1" x14ac:dyDescent="0.25">
      <c r="A60" s="53"/>
      <c r="B60" s="257">
        <v>41</v>
      </c>
      <c r="C60" s="652"/>
      <c r="D60" s="80"/>
      <c r="E60" s="80"/>
      <c r="F60" s="256">
        <f t="shared" ca="1" si="2"/>
        <v>0</v>
      </c>
      <c r="G60" s="624"/>
      <c r="H60" s="85"/>
      <c r="I60" s="624"/>
      <c r="J60" s="85"/>
      <c r="K60" s="624"/>
      <c r="L60" s="85"/>
      <c r="M60" s="624"/>
      <c r="N60" s="85"/>
      <c r="O60" s="624"/>
      <c r="P60" s="85"/>
      <c r="Q60" s="626">
        <f t="shared" si="1"/>
        <v>0</v>
      </c>
      <c r="R60" s="85"/>
      <c r="S60" s="624"/>
      <c r="T60" s="260" t="str">
        <f t="shared" si="3"/>
        <v/>
      </c>
      <c r="U60" s="624"/>
      <c r="V60" s="85"/>
      <c r="W60" s="624"/>
      <c r="X60" s="81"/>
      <c r="Y60" s="80"/>
      <c r="Z60" s="737">
        <f ca="1">MAX(0%,IF(Q60&lt;&gt;0,MIN((S60-Q60)/Q60/'NSLT Health Risk'!$E$27,'Health Prem &amp; Reserve Risk'!$Z$18),'Health Prem &amp; Reserve Risk'!$Z$18))</f>
        <v>0.05</v>
      </c>
      <c r="AA60" s="80"/>
      <c r="AB60" s="80"/>
      <c r="AC60" s="737">
        <f ca="1">MAX(0%,IF(U60&lt;&gt;0,MIN((W60-U60)/U60/'NSLT Health Risk'!$E$27,'Health Prem &amp; Reserve Risk'!$AC$18),'Health Prem &amp; Reserve Risk'!$AC$18))</f>
        <v>5.7000000000000002E-2</v>
      </c>
      <c r="AD60" s="81"/>
      <c r="AE60" s="53"/>
      <c r="AF60" s="53"/>
    </row>
    <row r="61" spans="1:32" ht="12.75" customHeight="1" x14ac:dyDescent="0.25">
      <c r="A61" s="53"/>
      <c r="B61" s="257">
        <v>42</v>
      </c>
      <c r="C61" s="652"/>
      <c r="D61" s="80"/>
      <c r="E61" s="80"/>
      <c r="F61" s="256">
        <f t="shared" ca="1" si="2"/>
        <v>0</v>
      </c>
      <c r="G61" s="624"/>
      <c r="H61" s="85"/>
      <c r="I61" s="624"/>
      <c r="J61" s="85"/>
      <c r="K61" s="624"/>
      <c r="L61" s="85"/>
      <c r="M61" s="624"/>
      <c r="N61" s="85"/>
      <c r="O61" s="624"/>
      <c r="P61" s="85"/>
      <c r="Q61" s="626">
        <f t="shared" si="1"/>
        <v>0</v>
      </c>
      <c r="R61" s="85"/>
      <c r="S61" s="624"/>
      <c r="T61" s="260" t="str">
        <f t="shared" si="3"/>
        <v/>
      </c>
      <c r="U61" s="624"/>
      <c r="V61" s="85"/>
      <c r="W61" s="624"/>
      <c r="X61" s="81"/>
      <c r="Y61" s="80"/>
      <c r="Z61" s="737">
        <f ca="1">MAX(0%,IF(Q61&lt;&gt;0,MIN((S61-Q61)/Q61/'NSLT Health Risk'!$E$27,'Health Prem &amp; Reserve Risk'!$Z$18),'Health Prem &amp; Reserve Risk'!$Z$18))</f>
        <v>0.05</v>
      </c>
      <c r="AA61" s="80"/>
      <c r="AB61" s="80"/>
      <c r="AC61" s="737">
        <f ca="1">MAX(0%,IF(U61&lt;&gt;0,MIN((W61-U61)/U61/'NSLT Health Risk'!$E$27,'Health Prem &amp; Reserve Risk'!$AC$18),'Health Prem &amp; Reserve Risk'!$AC$18))</f>
        <v>5.7000000000000002E-2</v>
      </c>
      <c r="AD61" s="81"/>
      <c r="AE61" s="53"/>
      <c r="AF61" s="53"/>
    </row>
    <row r="62" spans="1:32" ht="12.75" customHeight="1" x14ac:dyDescent="0.25">
      <c r="A62" s="53"/>
      <c r="B62" s="257">
        <v>43</v>
      </c>
      <c r="C62" s="652"/>
      <c r="D62" s="80"/>
      <c r="E62" s="80"/>
      <c r="F62" s="256">
        <f t="shared" ca="1" si="2"/>
        <v>0</v>
      </c>
      <c r="G62" s="624"/>
      <c r="H62" s="85"/>
      <c r="I62" s="624"/>
      <c r="J62" s="85"/>
      <c r="K62" s="624"/>
      <c r="L62" s="85"/>
      <c r="M62" s="624"/>
      <c r="N62" s="85"/>
      <c r="O62" s="624"/>
      <c r="P62" s="85"/>
      <c r="Q62" s="626">
        <f t="shared" si="1"/>
        <v>0</v>
      </c>
      <c r="R62" s="85"/>
      <c r="S62" s="624"/>
      <c r="T62" s="260" t="str">
        <f t="shared" si="3"/>
        <v/>
      </c>
      <c r="U62" s="624"/>
      <c r="V62" s="85"/>
      <c r="W62" s="624"/>
      <c r="X62" s="81"/>
      <c r="Y62" s="80"/>
      <c r="Z62" s="737">
        <f ca="1">MAX(0%,IF(Q62&lt;&gt;0,MIN((S62-Q62)/Q62/'NSLT Health Risk'!$E$27,'Health Prem &amp; Reserve Risk'!$Z$18),'Health Prem &amp; Reserve Risk'!$Z$18))</f>
        <v>0.05</v>
      </c>
      <c r="AA62" s="80"/>
      <c r="AB62" s="80"/>
      <c r="AC62" s="737">
        <f ca="1">MAX(0%,IF(U62&lt;&gt;0,MIN((W62-U62)/U62/'NSLT Health Risk'!$E$27,'Health Prem &amp; Reserve Risk'!$AC$18),'Health Prem &amp; Reserve Risk'!$AC$18))</f>
        <v>5.7000000000000002E-2</v>
      </c>
      <c r="AD62" s="81"/>
      <c r="AE62" s="53"/>
      <c r="AF62" s="53"/>
    </row>
    <row r="63" spans="1:32" ht="12.75" customHeight="1" x14ac:dyDescent="0.25">
      <c r="A63" s="53"/>
      <c r="B63" s="257">
        <v>44</v>
      </c>
      <c r="C63" s="652"/>
      <c r="D63" s="80"/>
      <c r="E63" s="80"/>
      <c r="F63" s="256">
        <f t="shared" ca="1" si="2"/>
        <v>0</v>
      </c>
      <c r="G63" s="624"/>
      <c r="H63" s="85"/>
      <c r="I63" s="624"/>
      <c r="J63" s="85"/>
      <c r="K63" s="624"/>
      <c r="L63" s="85"/>
      <c r="M63" s="624"/>
      <c r="N63" s="85"/>
      <c r="O63" s="624"/>
      <c r="P63" s="85"/>
      <c r="Q63" s="626">
        <f t="shared" si="1"/>
        <v>0</v>
      </c>
      <c r="R63" s="85"/>
      <c r="S63" s="624"/>
      <c r="T63" s="260" t="str">
        <f t="shared" si="3"/>
        <v/>
      </c>
      <c r="U63" s="624"/>
      <c r="V63" s="85"/>
      <c r="W63" s="624"/>
      <c r="X63" s="81"/>
      <c r="Y63" s="80"/>
      <c r="Z63" s="737">
        <f ca="1">MAX(0%,IF(Q63&lt;&gt;0,MIN((S63-Q63)/Q63/'NSLT Health Risk'!$E$27,'Health Prem &amp; Reserve Risk'!$Z$18),'Health Prem &amp; Reserve Risk'!$Z$18))</f>
        <v>0.05</v>
      </c>
      <c r="AA63" s="80"/>
      <c r="AB63" s="80"/>
      <c r="AC63" s="737">
        <f ca="1">MAX(0%,IF(U63&lt;&gt;0,MIN((W63-U63)/U63/'NSLT Health Risk'!$E$27,'Health Prem &amp; Reserve Risk'!$AC$18),'Health Prem &amp; Reserve Risk'!$AC$18))</f>
        <v>5.7000000000000002E-2</v>
      </c>
      <c r="AD63" s="81"/>
      <c r="AE63" s="53"/>
      <c r="AF63" s="53"/>
    </row>
    <row r="64" spans="1:32" ht="12.75" customHeight="1" x14ac:dyDescent="0.25">
      <c r="A64" s="53"/>
      <c r="B64" s="257">
        <v>45</v>
      </c>
      <c r="C64" s="652"/>
      <c r="D64" s="80"/>
      <c r="E64" s="80"/>
      <c r="F64" s="256">
        <f t="shared" ca="1" si="2"/>
        <v>0</v>
      </c>
      <c r="G64" s="624"/>
      <c r="H64" s="85"/>
      <c r="I64" s="624"/>
      <c r="J64" s="85"/>
      <c r="K64" s="624"/>
      <c r="L64" s="85"/>
      <c r="M64" s="624"/>
      <c r="N64" s="85"/>
      <c r="O64" s="624"/>
      <c r="P64" s="85"/>
      <c r="Q64" s="626">
        <f t="shared" si="1"/>
        <v>0</v>
      </c>
      <c r="R64" s="85"/>
      <c r="S64" s="624"/>
      <c r="T64" s="260" t="str">
        <f t="shared" si="3"/>
        <v/>
      </c>
      <c r="U64" s="624"/>
      <c r="V64" s="85"/>
      <c r="W64" s="624"/>
      <c r="X64" s="81"/>
      <c r="Y64" s="80"/>
      <c r="Z64" s="737">
        <f ca="1">MAX(0%,IF(Q64&lt;&gt;0,MIN((S64-Q64)/Q64/'NSLT Health Risk'!$E$27,'Health Prem &amp; Reserve Risk'!$Z$18),'Health Prem &amp; Reserve Risk'!$Z$18))</f>
        <v>0.05</v>
      </c>
      <c r="AA64" s="80"/>
      <c r="AB64" s="80"/>
      <c r="AC64" s="737">
        <f ca="1">MAX(0%,IF(U64&lt;&gt;0,MIN((W64-U64)/U64/'NSLT Health Risk'!$E$27,'Health Prem &amp; Reserve Risk'!$AC$18),'Health Prem &amp; Reserve Risk'!$AC$18))</f>
        <v>5.7000000000000002E-2</v>
      </c>
      <c r="AD64" s="81"/>
      <c r="AE64" s="53"/>
      <c r="AF64" s="53"/>
    </row>
    <row r="65" spans="1:32" ht="12.75" customHeight="1" x14ac:dyDescent="0.25">
      <c r="A65" s="53"/>
      <c r="B65" s="257">
        <v>46</v>
      </c>
      <c r="C65" s="652"/>
      <c r="D65" s="80"/>
      <c r="E65" s="80"/>
      <c r="F65" s="256">
        <f t="shared" ca="1" si="2"/>
        <v>0</v>
      </c>
      <c r="G65" s="624"/>
      <c r="H65" s="85"/>
      <c r="I65" s="624"/>
      <c r="J65" s="85"/>
      <c r="K65" s="624"/>
      <c r="L65" s="85"/>
      <c r="M65" s="624"/>
      <c r="N65" s="85"/>
      <c r="O65" s="624"/>
      <c r="P65" s="85"/>
      <c r="Q65" s="626">
        <f t="shared" si="1"/>
        <v>0</v>
      </c>
      <c r="R65" s="85"/>
      <c r="S65" s="624"/>
      <c r="T65" s="260" t="str">
        <f t="shared" si="3"/>
        <v/>
      </c>
      <c r="U65" s="624"/>
      <c r="V65" s="85"/>
      <c r="W65" s="624"/>
      <c r="X65" s="81"/>
      <c r="Y65" s="80"/>
      <c r="Z65" s="737">
        <f ca="1">MAX(0%,IF(Q65&lt;&gt;0,MIN((S65-Q65)/Q65/'NSLT Health Risk'!$E$27,'Health Prem &amp; Reserve Risk'!$Z$18),'Health Prem &amp; Reserve Risk'!$Z$18))</f>
        <v>0.05</v>
      </c>
      <c r="AA65" s="80"/>
      <c r="AB65" s="80"/>
      <c r="AC65" s="737">
        <f ca="1">MAX(0%,IF(U65&lt;&gt;0,MIN((W65-U65)/U65/'NSLT Health Risk'!$E$27,'Health Prem &amp; Reserve Risk'!$AC$18),'Health Prem &amp; Reserve Risk'!$AC$18))</f>
        <v>5.7000000000000002E-2</v>
      </c>
      <c r="AD65" s="81"/>
      <c r="AE65" s="53"/>
      <c r="AF65" s="53"/>
    </row>
    <row r="66" spans="1:32" ht="12.75" customHeight="1" x14ac:dyDescent="0.25">
      <c r="A66" s="53"/>
      <c r="B66" s="257">
        <v>47</v>
      </c>
      <c r="C66" s="652"/>
      <c r="D66" s="80"/>
      <c r="E66" s="80"/>
      <c r="F66" s="256">
        <f t="shared" ca="1" si="2"/>
        <v>0</v>
      </c>
      <c r="G66" s="624"/>
      <c r="H66" s="85"/>
      <c r="I66" s="624"/>
      <c r="J66" s="85"/>
      <c r="K66" s="624"/>
      <c r="L66" s="85"/>
      <c r="M66" s="624"/>
      <c r="N66" s="85"/>
      <c r="O66" s="624"/>
      <c r="P66" s="85"/>
      <c r="Q66" s="626">
        <f t="shared" si="1"/>
        <v>0</v>
      </c>
      <c r="R66" s="85"/>
      <c r="S66" s="624"/>
      <c r="T66" s="260" t="str">
        <f t="shared" si="3"/>
        <v/>
      </c>
      <c r="U66" s="624"/>
      <c r="V66" s="85"/>
      <c r="W66" s="624"/>
      <c r="X66" s="81"/>
      <c r="Y66" s="80"/>
      <c r="Z66" s="737">
        <f ca="1">MAX(0%,IF(Q66&lt;&gt;0,MIN((S66-Q66)/Q66/'NSLT Health Risk'!$E$27,'Health Prem &amp; Reserve Risk'!$Z$18),'Health Prem &amp; Reserve Risk'!$Z$18))</f>
        <v>0.05</v>
      </c>
      <c r="AA66" s="80"/>
      <c r="AB66" s="80"/>
      <c r="AC66" s="737">
        <f ca="1">MAX(0%,IF(U66&lt;&gt;0,MIN((W66-U66)/U66/'NSLT Health Risk'!$E$27,'Health Prem &amp; Reserve Risk'!$AC$18),'Health Prem &amp; Reserve Risk'!$AC$18))</f>
        <v>5.7000000000000002E-2</v>
      </c>
      <c r="AD66" s="81"/>
      <c r="AE66" s="53"/>
      <c r="AF66" s="53"/>
    </row>
    <row r="67" spans="1:32" ht="12.75" customHeight="1" x14ac:dyDescent="0.25">
      <c r="A67" s="53"/>
      <c r="B67" s="257">
        <v>48</v>
      </c>
      <c r="C67" s="652"/>
      <c r="D67" s="80"/>
      <c r="E67" s="80"/>
      <c r="F67" s="256">
        <f t="shared" ca="1" si="2"/>
        <v>0</v>
      </c>
      <c r="G67" s="624"/>
      <c r="H67" s="85"/>
      <c r="I67" s="624"/>
      <c r="J67" s="85"/>
      <c r="K67" s="624"/>
      <c r="L67" s="85"/>
      <c r="M67" s="624"/>
      <c r="N67" s="85"/>
      <c r="O67" s="624"/>
      <c r="P67" s="85"/>
      <c r="Q67" s="626">
        <f t="shared" si="1"/>
        <v>0</v>
      </c>
      <c r="R67" s="85"/>
      <c r="S67" s="624"/>
      <c r="T67" s="260" t="str">
        <f t="shared" si="3"/>
        <v/>
      </c>
      <c r="U67" s="624"/>
      <c r="V67" s="85"/>
      <c r="W67" s="624"/>
      <c r="X67" s="81"/>
      <c r="Y67" s="80"/>
      <c r="Z67" s="737">
        <f ca="1">MAX(0%,IF(Q67&lt;&gt;0,MIN((S67-Q67)/Q67/'NSLT Health Risk'!$E$27,'Health Prem &amp; Reserve Risk'!$Z$18),'Health Prem &amp; Reserve Risk'!$Z$18))</f>
        <v>0.05</v>
      </c>
      <c r="AA67" s="80"/>
      <c r="AB67" s="80"/>
      <c r="AC67" s="737">
        <f ca="1">MAX(0%,IF(U67&lt;&gt;0,MIN((W67-U67)/U67/'NSLT Health Risk'!$E$27,'Health Prem &amp; Reserve Risk'!$AC$18),'Health Prem &amp; Reserve Risk'!$AC$18))</f>
        <v>5.7000000000000002E-2</v>
      </c>
      <c r="AD67" s="81"/>
      <c r="AE67" s="53"/>
      <c r="AF67" s="53"/>
    </row>
    <row r="68" spans="1:32" ht="12.75" customHeight="1" x14ac:dyDescent="0.25">
      <c r="A68" s="53"/>
      <c r="B68" s="257">
        <v>49</v>
      </c>
      <c r="C68" s="652"/>
      <c r="D68" s="80"/>
      <c r="E68" s="80"/>
      <c r="F68" s="256">
        <f t="shared" ca="1" si="2"/>
        <v>0</v>
      </c>
      <c r="G68" s="624"/>
      <c r="H68" s="85"/>
      <c r="I68" s="624"/>
      <c r="J68" s="85"/>
      <c r="K68" s="624"/>
      <c r="L68" s="85"/>
      <c r="M68" s="624"/>
      <c r="N68" s="85"/>
      <c r="O68" s="624"/>
      <c r="P68" s="85"/>
      <c r="Q68" s="626">
        <f t="shared" si="1"/>
        <v>0</v>
      </c>
      <c r="R68" s="85"/>
      <c r="S68" s="624"/>
      <c r="T68" s="260" t="str">
        <f t="shared" si="3"/>
        <v/>
      </c>
      <c r="U68" s="624"/>
      <c r="V68" s="85"/>
      <c r="W68" s="624"/>
      <c r="X68" s="81"/>
      <c r="Y68" s="80"/>
      <c r="Z68" s="737">
        <f ca="1">MAX(0%,IF(Q68&lt;&gt;0,MIN((S68-Q68)/Q68/'NSLT Health Risk'!$E$27,'Health Prem &amp; Reserve Risk'!$Z$18),'Health Prem &amp; Reserve Risk'!$Z$18))</f>
        <v>0.05</v>
      </c>
      <c r="AA68" s="80"/>
      <c r="AB68" s="80"/>
      <c r="AC68" s="737">
        <f ca="1">MAX(0%,IF(U68&lt;&gt;0,MIN((W68-U68)/U68/'NSLT Health Risk'!$E$27,'Health Prem &amp; Reserve Risk'!$AC$18),'Health Prem &amp; Reserve Risk'!$AC$18))</f>
        <v>5.7000000000000002E-2</v>
      </c>
      <c r="AD68" s="81"/>
      <c r="AE68" s="53"/>
      <c r="AF68" s="53"/>
    </row>
    <row r="69" spans="1:32" ht="12.75" customHeight="1" x14ac:dyDescent="0.25">
      <c r="A69" s="53"/>
      <c r="B69" s="257">
        <v>50</v>
      </c>
      <c r="C69" s="652"/>
      <c r="D69" s="80"/>
      <c r="E69" s="80"/>
      <c r="F69" s="256">
        <f t="shared" ca="1" si="2"/>
        <v>0</v>
      </c>
      <c r="G69" s="624"/>
      <c r="H69" s="85"/>
      <c r="I69" s="624"/>
      <c r="J69" s="85"/>
      <c r="K69" s="624"/>
      <c r="L69" s="85"/>
      <c r="M69" s="624"/>
      <c r="N69" s="85"/>
      <c r="O69" s="624"/>
      <c r="P69" s="85"/>
      <c r="Q69" s="626">
        <f t="shared" si="1"/>
        <v>0</v>
      </c>
      <c r="R69" s="85"/>
      <c r="S69" s="624"/>
      <c r="T69" s="260" t="str">
        <f t="shared" si="3"/>
        <v/>
      </c>
      <c r="U69" s="624"/>
      <c r="V69" s="85"/>
      <c r="W69" s="624"/>
      <c r="X69" s="81"/>
      <c r="Y69" s="80"/>
      <c r="Z69" s="737">
        <f ca="1">MAX(0%,IF(Q69&lt;&gt;0,MIN((S69-Q69)/Q69/'NSLT Health Risk'!$E$27,'Health Prem &amp; Reserve Risk'!$Z$18),'Health Prem &amp; Reserve Risk'!$Z$18))</f>
        <v>0.05</v>
      </c>
      <c r="AA69" s="80"/>
      <c r="AB69" s="80"/>
      <c r="AC69" s="737">
        <f ca="1">MAX(0%,IF(U69&lt;&gt;0,MIN((W69-U69)/U69/'NSLT Health Risk'!$E$27,'Health Prem &amp; Reserve Risk'!$AC$18),'Health Prem &amp; Reserve Risk'!$AC$18))</f>
        <v>5.7000000000000002E-2</v>
      </c>
      <c r="AD69" s="81"/>
      <c r="AE69" s="53"/>
      <c r="AF69" s="53"/>
    </row>
    <row r="70" spans="1:32" ht="12.75" customHeight="1" x14ac:dyDescent="0.25">
      <c r="A70" s="53"/>
      <c r="B70" s="257">
        <v>51</v>
      </c>
      <c r="C70" s="652"/>
      <c r="D70" s="80"/>
      <c r="E70" s="80"/>
      <c r="F70" s="256">
        <f t="shared" ca="1" si="2"/>
        <v>0</v>
      </c>
      <c r="G70" s="624"/>
      <c r="H70" s="85"/>
      <c r="I70" s="624"/>
      <c r="J70" s="85"/>
      <c r="K70" s="624"/>
      <c r="L70" s="85"/>
      <c r="M70" s="624"/>
      <c r="N70" s="85"/>
      <c r="O70" s="624"/>
      <c r="P70" s="85"/>
      <c r="Q70" s="626">
        <f t="shared" si="1"/>
        <v>0</v>
      </c>
      <c r="R70" s="85"/>
      <c r="S70" s="624"/>
      <c r="T70" s="260" t="str">
        <f t="shared" si="3"/>
        <v/>
      </c>
      <c r="U70" s="624"/>
      <c r="V70" s="85"/>
      <c r="W70" s="624"/>
      <c r="X70" s="81"/>
      <c r="Y70" s="80"/>
      <c r="Z70" s="737">
        <f ca="1">MAX(0%,IF(Q70&lt;&gt;0,MIN((S70-Q70)/Q70/'NSLT Health Risk'!$E$27,'Health Prem &amp; Reserve Risk'!$Z$18),'Health Prem &amp; Reserve Risk'!$Z$18))</f>
        <v>0.05</v>
      </c>
      <c r="AA70" s="80"/>
      <c r="AB70" s="80"/>
      <c r="AC70" s="737">
        <f ca="1">MAX(0%,IF(U70&lt;&gt;0,MIN((W70-U70)/U70/'NSLT Health Risk'!$E$27,'Health Prem &amp; Reserve Risk'!$AC$18),'Health Prem &amp; Reserve Risk'!$AC$18))</f>
        <v>5.7000000000000002E-2</v>
      </c>
      <c r="AD70" s="81"/>
      <c r="AE70" s="53"/>
      <c r="AF70" s="53"/>
    </row>
    <row r="71" spans="1:32" ht="12.75" customHeight="1" x14ac:dyDescent="0.25">
      <c r="A71" s="53"/>
      <c r="B71" s="257">
        <v>52</v>
      </c>
      <c r="C71" s="652"/>
      <c r="D71" s="80"/>
      <c r="E71" s="80"/>
      <c r="F71" s="256">
        <f t="shared" ca="1" si="2"/>
        <v>0</v>
      </c>
      <c r="G71" s="624"/>
      <c r="H71" s="85"/>
      <c r="I71" s="624"/>
      <c r="J71" s="85"/>
      <c r="K71" s="624"/>
      <c r="L71" s="85"/>
      <c r="M71" s="624"/>
      <c r="N71" s="85"/>
      <c r="O71" s="624"/>
      <c r="P71" s="85"/>
      <c r="Q71" s="626">
        <f t="shared" si="1"/>
        <v>0</v>
      </c>
      <c r="R71" s="85"/>
      <c r="S71" s="624"/>
      <c r="T71" s="260" t="str">
        <f t="shared" si="3"/>
        <v/>
      </c>
      <c r="U71" s="624"/>
      <c r="V71" s="85"/>
      <c r="W71" s="624"/>
      <c r="X71" s="81"/>
      <c r="Y71" s="80"/>
      <c r="Z71" s="737">
        <f ca="1">MAX(0%,IF(Q71&lt;&gt;0,MIN((S71-Q71)/Q71/'NSLT Health Risk'!$E$27,'Health Prem &amp; Reserve Risk'!$Z$18),'Health Prem &amp; Reserve Risk'!$Z$18))</f>
        <v>0.05</v>
      </c>
      <c r="AA71" s="80"/>
      <c r="AB71" s="80"/>
      <c r="AC71" s="737">
        <f ca="1">MAX(0%,IF(U71&lt;&gt;0,MIN((W71-U71)/U71/'NSLT Health Risk'!$E$27,'Health Prem &amp; Reserve Risk'!$AC$18),'Health Prem &amp; Reserve Risk'!$AC$18))</f>
        <v>5.7000000000000002E-2</v>
      </c>
      <c r="AD71" s="81"/>
      <c r="AE71" s="53"/>
      <c r="AF71" s="53"/>
    </row>
    <row r="72" spans="1:32" ht="12.75" customHeight="1" x14ac:dyDescent="0.25">
      <c r="A72" s="53"/>
      <c r="B72" s="257">
        <v>53</v>
      </c>
      <c r="C72" s="652"/>
      <c r="D72" s="80"/>
      <c r="E72" s="80"/>
      <c r="F72" s="256">
        <f t="shared" ca="1" si="2"/>
        <v>0</v>
      </c>
      <c r="G72" s="624"/>
      <c r="H72" s="85"/>
      <c r="I72" s="624"/>
      <c r="J72" s="85"/>
      <c r="K72" s="624"/>
      <c r="L72" s="85"/>
      <c r="M72" s="624"/>
      <c r="N72" s="85"/>
      <c r="O72" s="624"/>
      <c r="P72" s="85"/>
      <c r="Q72" s="626">
        <f t="shared" si="1"/>
        <v>0</v>
      </c>
      <c r="R72" s="85"/>
      <c r="S72" s="624"/>
      <c r="T72" s="260" t="str">
        <f t="shared" si="3"/>
        <v/>
      </c>
      <c r="U72" s="624"/>
      <c r="V72" s="85"/>
      <c r="W72" s="624"/>
      <c r="X72" s="81"/>
      <c r="Y72" s="80"/>
      <c r="Z72" s="737">
        <f ca="1">MAX(0%,IF(Q72&lt;&gt;0,MIN((S72-Q72)/Q72/'NSLT Health Risk'!$E$27,'Health Prem &amp; Reserve Risk'!$Z$18),'Health Prem &amp; Reserve Risk'!$Z$18))</f>
        <v>0.05</v>
      </c>
      <c r="AA72" s="80"/>
      <c r="AB72" s="80"/>
      <c r="AC72" s="737">
        <f ca="1">MAX(0%,IF(U72&lt;&gt;0,MIN((W72-U72)/U72/'NSLT Health Risk'!$E$27,'Health Prem &amp; Reserve Risk'!$AC$18),'Health Prem &amp; Reserve Risk'!$AC$18))</f>
        <v>5.7000000000000002E-2</v>
      </c>
      <c r="AD72" s="81"/>
      <c r="AE72" s="53"/>
      <c r="AF72" s="53"/>
    </row>
    <row r="73" spans="1:32" ht="12.75" customHeight="1" x14ac:dyDescent="0.25">
      <c r="A73" s="53"/>
      <c r="B73" s="257">
        <v>54</v>
      </c>
      <c r="C73" s="652"/>
      <c r="D73" s="80"/>
      <c r="E73" s="80"/>
      <c r="F73" s="256">
        <f t="shared" ca="1" si="2"/>
        <v>0</v>
      </c>
      <c r="G73" s="624"/>
      <c r="H73" s="85"/>
      <c r="I73" s="624"/>
      <c r="J73" s="85"/>
      <c r="K73" s="624"/>
      <c r="L73" s="85"/>
      <c r="M73" s="624"/>
      <c r="N73" s="85"/>
      <c r="O73" s="624"/>
      <c r="P73" s="85"/>
      <c r="Q73" s="626">
        <f t="shared" si="1"/>
        <v>0</v>
      </c>
      <c r="R73" s="85"/>
      <c r="S73" s="624"/>
      <c r="T73" s="260" t="str">
        <f t="shared" si="3"/>
        <v/>
      </c>
      <c r="U73" s="624"/>
      <c r="V73" s="85"/>
      <c r="W73" s="624"/>
      <c r="X73" s="81"/>
      <c r="Y73" s="80"/>
      <c r="Z73" s="737">
        <f ca="1">MAX(0%,IF(Q73&lt;&gt;0,MIN((S73-Q73)/Q73/'NSLT Health Risk'!$E$27,'Health Prem &amp; Reserve Risk'!$Z$18),'Health Prem &amp; Reserve Risk'!$Z$18))</f>
        <v>0.05</v>
      </c>
      <c r="AA73" s="80"/>
      <c r="AB73" s="80"/>
      <c r="AC73" s="737">
        <f ca="1">MAX(0%,IF(U73&lt;&gt;0,MIN((W73-U73)/U73/'NSLT Health Risk'!$E$27,'Health Prem &amp; Reserve Risk'!$AC$18),'Health Prem &amp; Reserve Risk'!$AC$18))</f>
        <v>5.7000000000000002E-2</v>
      </c>
      <c r="AD73" s="81"/>
      <c r="AE73" s="53"/>
      <c r="AF73" s="53"/>
    </row>
    <row r="74" spans="1:32" ht="12.75" customHeight="1" x14ac:dyDescent="0.25">
      <c r="A74" s="53"/>
      <c r="B74" s="257">
        <v>55</v>
      </c>
      <c r="C74" s="652"/>
      <c r="D74" s="80"/>
      <c r="E74" s="80"/>
      <c r="F74" s="256">
        <f t="shared" ca="1" si="2"/>
        <v>0</v>
      </c>
      <c r="G74" s="624"/>
      <c r="H74" s="85"/>
      <c r="I74" s="624"/>
      <c r="J74" s="85"/>
      <c r="K74" s="624"/>
      <c r="L74" s="85"/>
      <c r="M74" s="624"/>
      <c r="N74" s="85"/>
      <c r="O74" s="624"/>
      <c r="P74" s="85"/>
      <c r="Q74" s="626">
        <f t="shared" si="1"/>
        <v>0</v>
      </c>
      <c r="R74" s="85"/>
      <c r="S74" s="624"/>
      <c r="T74" s="260" t="str">
        <f t="shared" si="3"/>
        <v/>
      </c>
      <c r="U74" s="624"/>
      <c r="V74" s="85"/>
      <c r="W74" s="624"/>
      <c r="X74" s="81"/>
      <c r="Y74" s="80"/>
      <c r="Z74" s="737">
        <f ca="1">MAX(0%,IF(Q74&lt;&gt;0,MIN((S74-Q74)/Q74/'NSLT Health Risk'!$E$27,'Health Prem &amp; Reserve Risk'!$Z$18),'Health Prem &amp; Reserve Risk'!$Z$18))</f>
        <v>0.05</v>
      </c>
      <c r="AA74" s="80"/>
      <c r="AB74" s="80"/>
      <c r="AC74" s="737">
        <f ca="1">MAX(0%,IF(U74&lt;&gt;0,MIN((W74-U74)/U74/'NSLT Health Risk'!$E$27,'Health Prem &amp; Reserve Risk'!$AC$18),'Health Prem &amp; Reserve Risk'!$AC$18))</f>
        <v>5.7000000000000002E-2</v>
      </c>
      <c r="AD74" s="81"/>
      <c r="AE74" s="53"/>
      <c r="AF74" s="53"/>
    </row>
    <row r="75" spans="1:32" ht="12.75" customHeight="1" x14ac:dyDescent="0.25">
      <c r="A75" s="53"/>
      <c r="B75" s="257">
        <v>56</v>
      </c>
      <c r="C75" s="652"/>
      <c r="D75" s="80"/>
      <c r="E75" s="80"/>
      <c r="F75" s="256">
        <f t="shared" ca="1" si="2"/>
        <v>0</v>
      </c>
      <c r="G75" s="624"/>
      <c r="H75" s="85"/>
      <c r="I75" s="624"/>
      <c r="J75" s="85"/>
      <c r="K75" s="624"/>
      <c r="L75" s="85"/>
      <c r="M75" s="624"/>
      <c r="N75" s="85"/>
      <c r="O75" s="624"/>
      <c r="P75" s="85"/>
      <c r="Q75" s="626">
        <f t="shared" si="1"/>
        <v>0</v>
      </c>
      <c r="R75" s="85"/>
      <c r="S75" s="624"/>
      <c r="T75" s="260" t="str">
        <f t="shared" si="3"/>
        <v/>
      </c>
      <c r="U75" s="624"/>
      <c r="V75" s="85"/>
      <c r="W75" s="624"/>
      <c r="X75" s="81"/>
      <c r="Y75" s="80"/>
      <c r="Z75" s="737">
        <f ca="1">MAX(0%,IF(Q75&lt;&gt;0,MIN((S75-Q75)/Q75/'NSLT Health Risk'!$E$27,'Health Prem &amp; Reserve Risk'!$Z$18),'Health Prem &amp; Reserve Risk'!$Z$18))</f>
        <v>0.05</v>
      </c>
      <c r="AA75" s="80"/>
      <c r="AB75" s="80"/>
      <c r="AC75" s="737">
        <f ca="1">MAX(0%,IF(U75&lt;&gt;0,MIN((W75-U75)/U75/'NSLT Health Risk'!$E$27,'Health Prem &amp; Reserve Risk'!$AC$18),'Health Prem &amp; Reserve Risk'!$AC$18))</f>
        <v>5.7000000000000002E-2</v>
      </c>
      <c r="AD75" s="81"/>
      <c r="AE75" s="53"/>
      <c r="AF75" s="53"/>
    </row>
    <row r="76" spans="1:32" ht="12.75" customHeight="1" x14ac:dyDescent="0.25">
      <c r="A76" s="53"/>
      <c r="B76" s="257">
        <v>57</v>
      </c>
      <c r="C76" s="652"/>
      <c r="D76" s="80"/>
      <c r="E76" s="80"/>
      <c r="F76" s="256">
        <f t="shared" ca="1" si="2"/>
        <v>0</v>
      </c>
      <c r="G76" s="624"/>
      <c r="H76" s="85"/>
      <c r="I76" s="624"/>
      <c r="J76" s="85"/>
      <c r="K76" s="624"/>
      <c r="L76" s="85"/>
      <c r="M76" s="624"/>
      <c r="N76" s="85"/>
      <c r="O76" s="624"/>
      <c r="P76" s="85"/>
      <c r="Q76" s="626">
        <f t="shared" si="1"/>
        <v>0</v>
      </c>
      <c r="R76" s="85"/>
      <c r="S76" s="624"/>
      <c r="T76" s="260" t="str">
        <f t="shared" si="3"/>
        <v/>
      </c>
      <c r="U76" s="624"/>
      <c r="V76" s="85"/>
      <c r="W76" s="624"/>
      <c r="X76" s="81"/>
      <c r="Y76" s="80"/>
      <c r="Z76" s="737">
        <f ca="1">MAX(0%,IF(Q76&lt;&gt;0,MIN((S76-Q76)/Q76/'NSLT Health Risk'!$E$27,'Health Prem &amp; Reserve Risk'!$Z$18),'Health Prem &amp; Reserve Risk'!$Z$18))</f>
        <v>0.05</v>
      </c>
      <c r="AA76" s="80"/>
      <c r="AB76" s="80"/>
      <c r="AC76" s="737">
        <f ca="1">MAX(0%,IF(U76&lt;&gt;0,MIN((W76-U76)/U76/'NSLT Health Risk'!$E$27,'Health Prem &amp; Reserve Risk'!$AC$18),'Health Prem &amp; Reserve Risk'!$AC$18))</f>
        <v>5.7000000000000002E-2</v>
      </c>
      <c r="AD76" s="81"/>
      <c r="AE76" s="53"/>
      <c r="AF76" s="53"/>
    </row>
    <row r="77" spans="1:32" ht="12.75" customHeight="1" x14ac:dyDescent="0.25">
      <c r="A77" s="53"/>
      <c r="B77" s="257">
        <v>58</v>
      </c>
      <c r="C77" s="652"/>
      <c r="D77" s="80"/>
      <c r="E77" s="80"/>
      <c r="F77" s="256">
        <f t="shared" ca="1" si="2"/>
        <v>0</v>
      </c>
      <c r="G77" s="624"/>
      <c r="H77" s="85"/>
      <c r="I77" s="624"/>
      <c r="J77" s="85"/>
      <c r="K77" s="624"/>
      <c r="L77" s="85"/>
      <c r="M77" s="624"/>
      <c r="N77" s="85"/>
      <c r="O77" s="624"/>
      <c r="P77" s="85"/>
      <c r="Q77" s="626">
        <f t="shared" si="1"/>
        <v>0</v>
      </c>
      <c r="R77" s="85"/>
      <c r="S77" s="624"/>
      <c r="T77" s="260" t="str">
        <f t="shared" si="3"/>
        <v/>
      </c>
      <c r="U77" s="624"/>
      <c r="V77" s="85"/>
      <c r="W77" s="624"/>
      <c r="X77" s="81"/>
      <c r="Y77" s="80"/>
      <c r="Z77" s="737">
        <f ca="1">MAX(0%,IF(Q77&lt;&gt;0,MIN((S77-Q77)/Q77/'NSLT Health Risk'!$E$27,'Health Prem &amp; Reserve Risk'!$Z$18),'Health Prem &amp; Reserve Risk'!$Z$18))</f>
        <v>0.05</v>
      </c>
      <c r="AA77" s="80"/>
      <c r="AB77" s="80"/>
      <c r="AC77" s="737">
        <f ca="1">MAX(0%,IF(U77&lt;&gt;0,MIN((W77-U77)/U77/'NSLT Health Risk'!$E$27,'Health Prem &amp; Reserve Risk'!$AC$18),'Health Prem &amp; Reserve Risk'!$AC$18))</f>
        <v>5.7000000000000002E-2</v>
      </c>
      <c r="AD77" s="81"/>
      <c r="AE77" s="53"/>
      <c r="AF77" s="53"/>
    </row>
    <row r="78" spans="1:32" ht="12.75" customHeight="1" x14ac:dyDescent="0.25">
      <c r="A78" s="53"/>
      <c r="B78" s="257">
        <v>59</v>
      </c>
      <c r="C78" s="652"/>
      <c r="D78" s="80"/>
      <c r="E78" s="80"/>
      <c r="F78" s="256">
        <f t="shared" ca="1" si="2"/>
        <v>0</v>
      </c>
      <c r="G78" s="624"/>
      <c r="H78" s="85"/>
      <c r="I78" s="624"/>
      <c r="J78" s="85"/>
      <c r="K78" s="624"/>
      <c r="L78" s="85"/>
      <c r="M78" s="624"/>
      <c r="N78" s="85"/>
      <c r="O78" s="624"/>
      <c r="P78" s="85"/>
      <c r="Q78" s="626">
        <f t="shared" si="1"/>
        <v>0</v>
      </c>
      <c r="R78" s="85"/>
      <c r="S78" s="624"/>
      <c r="T78" s="260" t="str">
        <f t="shared" si="3"/>
        <v/>
      </c>
      <c r="U78" s="624"/>
      <c r="V78" s="85"/>
      <c r="W78" s="624"/>
      <c r="X78" s="81"/>
      <c r="Y78" s="80"/>
      <c r="Z78" s="737">
        <f ca="1">MAX(0%,IF(Q78&lt;&gt;0,MIN((S78-Q78)/Q78/'NSLT Health Risk'!$E$27,'Health Prem &amp; Reserve Risk'!$Z$18),'Health Prem &amp; Reserve Risk'!$Z$18))</f>
        <v>0.05</v>
      </c>
      <c r="AA78" s="80"/>
      <c r="AB78" s="80"/>
      <c r="AC78" s="737">
        <f ca="1">MAX(0%,IF(U78&lt;&gt;0,MIN((W78-U78)/U78/'NSLT Health Risk'!$E$27,'Health Prem &amp; Reserve Risk'!$AC$18),'Health Prem &amp; Reserve Risk'!$AC$18))</f>
        <v>5.7000000000000002E-2</v>
      </c>
      <c r="AD78" s="81"/>
      <c r="AE78" s="53"/>
      <c r="AF78" s="53"/>
    </row>
    <row r="79" spans="1:32" ht="12.75" customHeight="1" x14ac:dyDescent="0.25">
      <c r="A79" s="53"/>
      <c r="B79" s="257">
        <v>60</v>
      </c>
      <c r="C79" s="652"/>
      <c r="D79" s="80"/>
      <c r="E79" s="80"/>
      <c r="F79" s="256">
        <f t="shared" ca="1" si="2"/>
        <v>0</v>
      </c>
      <c r="G79" s="624"/>
      <c r="H79" s="85"/>
      <c r="I79" s="624"/>
      <c r="J79" s="85"/>
      <c r="K79" s="624"/>
      <c r="L79" s="85"/>
      <c r="M79" s="624"/>
      <c r="N79" s="85"/>
      <c r="O79" s="624"/>
      <c r="P79" s="85"/>
      <c r="Q79" s="626">
        <f t="shared" si="1"/>
        <v>0</v>
      </c>
      <c r="R79" s="85"/>
      <c r="S79" s="624"/>
      <c r="T79" s="260" t="str">
        <f t="shared" si="3"/>
        <v/>
      </c>
      <c r="U79" s="624"/>
      <c r="V79" s="85"/>
      <c r="W79" s="624"/>
      <c r="X79" s="81"/>
      <c r="Y79" s="80"/>
      <c r="Z79" s="737">
        <f ca="1">MAX(0%,IF(Q79&lt;&gt;0,MIN((S79-Q79)/Q79/'NSLT Health Risk'!$E$27,'Health Prem &amp; Reserve Risk'!$Z$18),'Health Prem &amp; Reserve Risk'!$Z$18))</f>
        <v>0.05</v>
      </c>
      <c r="AA79" s="80"/>
      <c r="AB79" s="80"/>
      <c r="AC79" s="737">
        <f ca="1">MAX(0%,IF(U79&lt;&gt;0,MIN((W79-U79)/U79/'NSLT Health Risk'!$E$27,'Health Prem &amp; Reserve Risk'!$AC$18),'Health Prem &amp; Reserve Risk'!$AC$18))</f>
        <v>5.7000000000000002E-2</v>
      </c>
      <c r="AD79" s="81"/>
      <c r="AE79" s="53"/>
      <c r="AF79" s="53"/>
    </row>
    <row r="80" spans="1:32" ht="12.75" customHeight="1" x14ac:dyDescent="0.25">
      <c r="A80" s="53"/>
      <c r="B80" s="257">
        <v>61</v>
      </c>
      <c r="C80" s="652"/>
      <c r="D80" s="80"/>
      <c r="E80" s="80"/>
      <c r="F80" s="256">
        <f t="shared" ca="1" si="2"/>
        <v>0</v>
      </c>
      <c r="G80" s="624"/>
      <c r="H80" s="85"/>
      <c r="I80" s="624"/>
      <c r="J80" s="85"/>
      <c r="K80" s="624"/>
      <c r="L80" s="85"/>
      <c r="M80" s="624"/>
      <c r="N80" s="85"/>
      <c r="O80" s="624"/>
      <c r="P80" s="85"/>
      <c r="Q80" s="626">
        <f t="shared" si="1"/>
        <v>0</v>
      </c>
      <c r="R80" s="85"/>
      <c r="S80" s="624"/>
      <c r="T80" s="260" t="str">
        <f t="shared" si="3"/>
        <v/>
      </c>
      <c r="U80" s="624"/>
      <c r="V80" s="85"/>
      <c r="W80" s="624"/>
      <c r="X80" s="81"/>
      <c r="Y80" s="80"/>
      <c r="Z80" s="737">
        <f ca="1">MAX(0%,IF(Q80&lt;&gt;0,MIN((S80-Q80)/Q80/'NSLT Health Risk'!$E$27,'Health Prem &amp; Reserve Risk'!$Z$18),'Health Prem &amp; Reserve Risk'!$Z$18))</f>
        <v>0.05</v>
      </c>
      <c r="AA80" s="80"/>
      <c r="AB80" s="80"/>
      <c r="AC80" s="737">
        <f ca="1">MAX(0%,IF(U80&lt;&gt;0,MIN((W80-U80)/U80/'NSLT Health Risk'!$E$27,'Health Prem &amp; Reserve Risk'!$AC$18),'Health Prem &amp; Reserve Risk'!$AC$18))</f>
        <v>5.7000000000000002E-2</v>
      </c>
      <c r="AD80" s="81"/>
      <c r="AE80" s="53"/>
      <c r="AF80" s="53"/>
    </row>
    <row r="81" spans="1:32" ht="12.75" customHeight="1" x14ac:dyDescent="0.25">
      <c r="A81" s="53"/>
      <c r="B81" s="257">
        <v>62</v>
      </c>
      <c r="C81" s="652"/>
      <c r="D81" s="80"/>
      <c r="E81" s="80"/>
      <c r="F81" s="256">
        <f t="shared" ca="1" si="2"/>
        <v>0</v>
      </c>
      <c r="G81" s="624"/>
      <c r="H81" s="85"/>
      <c r="I81" s="624"/>
      <c r="J81" s="85"/>
      <c r="K81" s="624"/>
      <c r="L81" s="85"/>
      <c r="M81" s="624"/>
      <c r="N81" s="85"/>
      <c r="O81" s="624"/>
      <c r="P81" s="85"/>
      <c r="Q81" s="626">
        <f t="shared" si="1"/>
        <v>0</v>
      </c>
      <c r="R81" s="85"/>
      <c r="S81" s="624"/>
      <c r="T81" s="260" t="str">
        <f t="shared" si="3"/>
        <v/>
      </c>
      <c r="U81" s="624"/>
      <c r="V81" s="85"/>
      <c r="W81" s="624"/>
      <c r="X81" s="81"/>
      <c r="Y81" s="80"/>
      <c r="Z81" s="737">
        <f ca="1">MAX(0%,IF(Q81&lt;&gt;0,MIN((S81-Q81)/Q81/'NSLT Health Risk'!$E$27,'Health Prem &amp; Reserve Risk'!$Z$18),'Health Prem &amp; Reserve Risk'!$Z$18))</f>
        <v>0.05</v>
      </c>
      <c r="AA81" s="80"/>
      <c r="AB81" s="80"/>
      <c r="AC81" s="737">
        <f ca="1">MAX(0%,IF(U81&lt;&gt;0,MIN((W81-U81)/U81/'NSLT Health Risk'!$E$27,'Health Prem &amp; Reserve Risk'!$AC$18),'Health Prem &amp; Reserve Risk'!$AC$18))</f>
        <v>5.7000000000000002E-2</v>
      </c>
      <c r="AD81" s="81"/>
      <c r="AE81" s="53"/>
      <c r="AF81" s="53"/>
    </row>
    <row r="82" spans="1:32" ht="12.75" customHeight="1" x14ac:dyDescent="0.25">
      <c r="A82" s="53"/>
      <c r="B82" s="257">
        <v>63</v>
      </c>
      <c r="C82" s="652"/>
      <c r="D82" s="80"/>
      <c r="E82" s="80"/>
      <c r="F82" s="256">
        <f t="shared" ca="1" si="2"/>
        <v>0</v>
      </c>
      <c r="G82" s="624"/>
      <c r="H82" s="85"/>
      <c r="I82" s="624"/>
      <c r="J82" s="85"/>
      <c r="K82" s="624"/>
      <c r="L82" s="85"/>
      <c r="M82" s="624"/>
      <c r="N82" s="85"/>
      <c r="O82" s="624"/>
      <c r="P82" s="85"/>
      <c r="Q82" s="626">
        <f t="shared" si="1"/>
        <v>0</v>
      </c>
      <c r="R82" s="85"/>
      <c r="S82" s="624"/>
      <c r="T82" s="260" t="str">
        <f t="shared" si="3"/>
        <v/>
      </c>
      <c r="U82" s="624"/>
      <c r="V82" s="85"/>
      <c r="W82" s="624"/>
      <c r="X82" s="81"/>
      <c r="Y82" s="80"/>
      <c r="Z82" s="737">
        <f ca="1">MAX(0%,IF(Q82&lt;&gt;0,MIN((S82-Q82)/Q82/'NSLT Health Risk'!$E$27,'Health Prem &amp; Reserve Risk'!$Z$18),'Health Prem &amp; Reserve Risk'!$Z$18))</f>
        <v>0.05</v>
      </c>
      <c r="AA82" s="80"/>
      <c r="AB82" s="80"/>
      <c r="AC82" s="737">
        <f ca="1">MAX(0%,IF(U82&lt;&gt;0,MIN((W82-U82)/U82/'NSLT Health Risk'!$E$27,'Health Prem &amp; Reserve Risk'!$AC$18),'Health Prem &amp; Reserve Risk'!$AC$18))</f>
        <v>5.7000000000000002E-2</v>
      </c>
      <c r="AD82" s="81"/>
      <c r="AE82" s="53"/>
      <c r="AF82" s="53"/>
    </row>
    <row r="83" spans="1:32" ht="12.75" customHeight="1" x14ac:dyDescent="0.25">
      <c r="A83" s="53"/>
      <c r="B83" s="257">
        <v>64</v>
      </c>
      <c r="C83" s="652"/>
      <c r="D83" s="80"/>
      <c r="E83" s="80"/>
      <c r="F83" s="256">
        <f t="shared" ca="1" si="2"/>
        <v>0</v>
      </c>
      <c r="G83" s="624"/>
      <c r="H83" s="85"/>
      <c r="I83" s="624"/>
      <c r="J83" s="85"/>
      <c r="K83" s="624"/>
      <c r="L83" s="85"/>
      <c r="M83" s="624"/>
      <c r="N83" s="85"/>
      <c r="O83" s="624"/>
      <c r="P83" s="85"/>
      <c r="Q83" s="626">
        <f t="shared" si="1"/>
        <v>0</v>
      </c>
      <c r="R83" s="85"/>
      <c r="S83" s="624"/>
      <c r="T83" s="260" t="str">
        <f t="shared" si="3"/>
        <v/>
      </c>
      <c r="U83" s="624"/>
      <c r="V83" s="85"/>
      <c r="W83" s="624"/>
      <c r="X83" s="81"/>
      <c r="Y83" s="80"/>
      <c r="Z83" s="737">
        <f ca="1">MAX(0%,IF(Q83&lt;&gt;0,MIN((S83-Q83)/Q83/'NSLT Health Risk'!$E$27,'Health Prem &amp; Reserve Risk'!$Z$18),'Health Prem &amp; Reserve Risk'!$Z$18))</f>
        <v>0.05</v>
      </c>
      <c r="AA83" s="80"/>
      <c r="AB83" s="80"/>
      <c r="AC83" s="737">
        <f ca="1">MAX(0%,IF(U83&lt;&gt;0,MIN((W83-U83)/U83/'NSLT Health Risk'!$E$27,'Health Prem &amp; Reserve Risk'!$AC$18),'Health Prem &amp; Reserve Risk'!$AC$18))</f>
        <v>5.7000000000000002E-2</v>
      </c>
      <c r="AD83" s="81"/>
      <c r="AE83" s="53"/>
      <c r="AF83" s="53"/>
    </row>
    <row r="84" spans="1:32" ht="12.75" customHeight="1" x14ac:dyDescent="0.25">
      <c r="A84" s="53"/>
      <c r="B84" s="257">
        <v>65</v>
      </c>
      <c r="C84" s="652"/>
      <c r="D84" s="80"/>
      <c r="E84" s="80"/>
      <c r="F84" s="256">
        <f t="shared" ca="1" si="2"/>
        <v>0</v>
      </c>
      <c r="G84" s="624"/>
      <c r="H84" s="85"/>
      <c r="I84" s="624"/>
      <c r="J84" s="85"/>
      <c r="K84" s="624"/>
      <c r="L84" s="85"/>
      <c r="M84" s="624"/>
      <c r="N84" s="85"/>
      <c r="O84" s="624"/>
      <c r="P84" s="85"/>
      <c r="Q84" s="626">
        <f t="shared" si="1"/>
        <v>0</v>
      </c>
      <c r="R84" s="85"/>
      <c r="S84" s="624"/>
      <c r="T84" s="260" t="str">
        <f t="shared" si="3"/>
        <v/>
      </c>
      <c r="U84" s="624"/>
      <c r="V84" s="85"/>
      <c r="W84" s="624"/>
      <c r="X84" s="81"/>
      <c r="Y84" s="80"/>
      <c r="Z84" s="737">
        <f ca="1">MAX(0%,IF(Q84&lt;&gt;0,MIN((S84-Q84)/Q84/'NSLT Health Risk'!$E$27,'Health Prem &amp; Reserve Risk'!$Z$18),'Health Prem &amp; Reserve Risk'!$Z$18))</f>
        <v>0.05</v>
      </c>
      <c r="AA84" s="80"/>
      <c r="AB84" s="80"/>
      <c r="AC84" s="737">
        <f ca="1">MAX(0%,IF(U84&lt;&gt;0,MIN((W84-U84)/U84/'NSLT Health Risk'!$E$27,'Health Prem &amp; Reserve Risk'!$AC$18),'Health Prem &amp; Reserve Risk'!$AC$18))</f>
        <v>5.7000000000000002E-2</v>
      </c>
      <c r="AD84" s="81"/>
      <c r="AE84" s="53"/>
      <c r="AF84" s="53"/>
    </row>
    <row r="85" spans="1:32" ht="12.75" customHeight="1" x14ac:dyDescent="0.25">
      <c r="A85" s="53"/>
      <c r="B85" s="257">
        <v>66</v>
      </c>
      <c r="C85" s="652"/>
      <c r="D85" s="80"/>
      <c r="E85" s="80"/>
      <c r="F85" s="256">
        <f t="shared" ref="F85:F119" ca="1" si="4">IF(B85&lt;=OFFSET($Z$8,B$17-10,0),0,1)</f>
        <v>0</v>
      </c>
      <c r="G85" s="624"/>
      <c r="H85" s="85"/>
      <c r="I85" s="624"/>
      <c r="J85" s="85"/>
      <c r="K85" s="624"/>
      <c r="L85" s="85"/>
      <c r="M85" s="624"/>
      <c r="N85" s="85"/>
      <c r="O85" s="624"/>
      <c r="P85" s="85"/>
      <c r="Q85" s="626">
        <f t="shared" si="1"/>
        <v>0</v>
      </c>
      <c r="R85" s="85"/>
      <c r="S85" s="624"/>
      <c r="T85" s="260" t="str">
        <f t="shared" si="3"/>
        <v/>
      </c>
      <c r="U85" s="624"/>
      <c r="V85" s="85"/>
      <c r="W85" s="624"/>
      <c r="X85" s="81"/>
      <c r="Y85" s="80"/>
      <c r="Z85" s="737">
        <f ca="1">MAX(0%,IF(Q85&lt;&gt;0,MIN((S85-Q85)/Q85/'NSLT Health Risk'!$E$27,'Health Prem &amp; Reserve Risk'!$Z$18),'Health Prem &amp; Reserve Risk'!$Z$18))</f>
        <v>0.05</v>
      </c>
      <c r="AA85" s="80"/>
      <c r="AB85" s="80"/>
      <c r="AC85" s="737">
        <f ca="1">MAX(0%,IF(U85&lt;&gt;0,MIN((W85-U85)/U85/'NSLT Health Risk'!$E$27,'Health Prem &amp; Reserve Risk'!$AC$18),'Health Prem &amp; Reserve Risk'!$AC$18))</f>
        <v>5.7000000000000002E-2</v>
      </c>
      <c r="AD85" s="81"/>
      <c r="AE85" s="53"/>
      <c r="AF85" s="53"/>
    </row>
    <row r="86" spans="1:32" ht="12.75" customHeight="1" x14ac:dyDescent="0.25">
      <c r="A86" s="53"/>
      <c r="B86" s="257">
        <v>67</v>
      </c>
      <c r="C86" s="652"/>
      <c r="D86" s="80"/>
      <c r="E86" s="80"/>
      <c r="F86" s="256">
        <f t="shared" ca="1" si="4"/>
        <v>0</v>
      </c>
      <c r="G86" s="624"/>
      <c r="H86" s="85"/>
      <c r="I86" s="624"/>
      <c r="J86" s="85"/>
      <c r="K86" s="624"/>
      <c r="L86" s="85"/>
      <c r="M86" s="624"/>
      <c r="N86" s="85"/>
      <c r="O86" s="624"/>
      <c r="P86" s="85"/>
      <c r="Q86" s="626">
        <f t="shared" si="1"/>
        <v>0</v>
      </c>
      <c r="R86" s="85"/>
      <c r="S86" s="624"/>
      <c r="T86" s="260" t="str">
        <f t="shared" si="3"/>
        <v/>
      </c>
      <c r="U86" s="624"/>
      <c r="V86" s="85"/>
      <c r="W86" s="624"/>
      <c r="X86" s="81"/>
      <c r="Y86" s="80"/>
      <c r="Z86" s="737">
        <f ca="1">MAX(0%,IF(Q86&lt;&gt;0,MIN((S86-Q86)/Q86/'NSLT Health Risk'!$E$27,'Health Prem &amp; Reserve Risk'!$Z$18),'Health Prem &amp; Reserve Risk'!$Z$18))</f>
        <v>0.05</v>
      </c>
      <c r="AA86" s="80"/>
      <c r="AB86" s="80"/>
      <c r="AC86" s="737">
        <f ca="1">MAX(0%,IF(U86&lt;&gt;0,MIN((W86-U86)/U86/'NSLT Health Risk'!$E$27,'Health Prem &amp; Reserve Risk'!$AC$18),'Health Prem &amp; Reserve Risk'!$AC$18))</f>
        <v>5.7000000000000002E-2</v>
      </c>
      <c r="AD86" s="81"/>
      <c r="AE86" s="53"/>
      <c r="AF86" s="53"/>
    </row>
    <row r="87" spans="1:32" ht="12.75" customHeight="1" x14ac:dyDescent="0.25">
      <c r="A87" s="53"/>
      <c r="B87" s="257">
        <v>68</v>
      </c>
      <c r="C87" s="652"/>
      <c r="D87" s="80"/>
      <c r="E87" s="80"/>
      <c r="F87" s="256">
        <f t="shared" ca="1" si="4"/>
        <v>0</v>
      </c>
      <c r="G87" s="624"/>
      <c r="H87" s="85"/>
      <c r="I87" s="624"/>
      <c r="J87" s="85"/>
      <c r="K87" s="624"/>
      <c r="L87" s="85"/>
      <c r="M87" s="624"/>
      <c r="N87" s="85"/>
      <c r="O87" s="624"/>
      <c r="P87" s="85"/>
      <c r="Q87" s="626">
        <f t="shared" si="1"/>
        <v>0</v>
      </c>
      <c r="R87" s="85"/>
      <c r="S87" s="624"/>
      <c r="T87" s="260" t="str">
        <f t="shared" si="3"/>
        <v/>
      </c>
      <c r="U87" s="624"/>
      <c r="V87" s="85"/>
      <c r="W87" s="624"/>
      <c r="X87" s="81"/>
      <c r="Y87" s="80"/>
      <c r="Z87" s="737">
        <f ca="1">MAX(0%,IF(Q87&lt;&gt;0,MIN((S87-Q87)/Q87/'NSLT Health Risk'!$E$27,'Health Prem &amp; Reserve Risk'!$Z$18),'Health Prem &amp; Reserve Risk'!$Z$18))</f>
        <v>0.05</v>
      </c>
      <c r="AA87" s="80"/>
      <c r="AB87" s="80"/>
      <c r="AC87" s="737">
        <f ca="1">MAX(0%,IF(U87&lt;&gt;0,MIN((W87-U87)/U87/'NSLT Health Risk'!$E$27,'Health Prem &amp; Reserve Risk'!$AC$18),'Health Prem &amp; Reserve Risk'!$AC$18))</f>
        <v>5.7000000000000002E-2</v>
      </c>
      <c r="AD87" s="81"/>
      <c r="AE87" s="53"/>
      <c r="AF87" s="53"/>
    </row>
    <row r="88" spans="1:32" ht="12.75" customHeight="1" x14ac:dyDescent="0.25">
      <c r="A88" s="53"/>
      <c r="B88" s="257">
        <v>69</v>
      </c>
      <c r="C88" s="652"/>
      <c r="D88" s="80"/>
      <c r="E88" s="80"/>
      <c r="F88" s="256">
        <f t="shared" ca="1" si="4"/>
        <v>0</v>
      </c>
      <c r="G88" s="624"/>
      <c r="H88" s="85"/>
      <c r="I88" s="624"/>
      <c r="J88" s="85"/>
      <c r="K88" s="624"/>
      <c r="L88" s="85"/>
      <c r="M88" s="624"/>
      <c r="N88" s="85"/>
      <c r="O88" s="624"/>
      <c r="P88" s="85"/>
      <c r="Q88" s="626">
        <f t="shared" si="1"/>
        <v>0</v>
      </c>
      <c r="R88" s="85"/>
      <c r="S88" s="624"/>
      <c r="T88" s="260" t="str">
        <f t="shared" si="3"/>
        <v/>
      </c>
      <c r="U88" s="624"/>
      <c r="V88" s="85"/>
      <c r="W88" s="624"/>
      <c r="X88" s="81"/>
      <c r="Y88" s="80"/>
      <c r="Z88" s="737">
        <f ca="1">MAX(0%,IF(Q88&lt;&gt;0,MIN((S88-Q88)/Q88/'NSLT Health Risk'!$E$27,'Health Prem &amp; Reserve Risk'!$Z$18),'Health Prem &amp; Reserve Risk'!$Z$18))</f>
        <v>0.05</v>
      </c>
      <c r="AA88" s="80"/>
      <c r="AB88" s="80"/>
      <c r="AC88" s="737">
        <f ca="1">MAX(0%,IF(U88&lt;&gt;0,MIN((W88-U88)/U88/'NSLT Health Risk'!$E$27,'Health Prem &amp; Reserve Risk'!$AC$18),'Health Prem &amp; Reserve Risk'!$AC$18))</f>
        <v>5.7000000000000002E-2</v>
      </c>
      <c r="AD88" s="81"/>
      <c r="AE88" s="53"/>
      <c r="AF88" s="53"/>
    </row>
    <row r="89" spans="1:32" ht="12.75" customHeight="1" x14ac:dyDescent="0.25">
      <c r="A89" s="53"/>
      <c r="B89" s="257">
        <v>70</v>
      </c>
      <c r="C89" s="652"/>
      <c r="D89" s="80"/>
      <c r="E89" s="80"/>
      <c r="F89" s="256">
        <f t="shared" ca="1" si="4"/>
        <v>0</v>
      </c>
      <c r="G89" s="624"/>
      <c r="H89" s="85"/>
      <c r="I89" s="624"/>
      <c r="J89" s="85"/>
      <c r="K89" s="624"/>
      <c r="L89" s="85"/>
      <c r="M89" s="624"/>
      <c r="N89" s="85"/>
      <c r="O89" s="624"/>
      <c r="P89" s="85"/>
      <c r="Q89" s="626">
        <f t="shared" si="1"/>
        <v>0</v>
      </c>
      <c r="R89" s="85"/>
      <c r="S89" s="624"/>
      <c r="T89" s="260" t="str">
        <f t="shared" si="3"/>
        <v/>
      </c>
      <c r="U89" s="624"/>
      <c r="V89" s="85"/>
      <c r="W89" s="624"/>
      <c r="X89" s="81"/>
      <c r="Y89" s="80"/>
      <c r="Z89" s="737">
        <f ca="1">MAX(0%,IF(Q89&lt;&gt;0,MIN((S89-Q89)/Q89/'NSLT Health Risk'!$E$27,'Health Prem &amp; Reserve Risk'!$Z$18),'Health Prem &amp; Reserve Risk'!$Z$18))</f>
        <v>0.05</v>
      </c>
      <c r="AA89" s="80"/>
      <c r="AB89" s="80"/>
      <c r="AC89" s="737">
        <f ca="1">MAX(0%,IF(U89&lt;&gt;0,MIN((W89-U89)/U89/'NSLT Health Risk'!$E$27,'Health Prem &amp; Reserve Risk'!$AC$18),'Health Prem &amp; Reserve Risk'!$AC$18))</f>
        <v>5.7000000000000002E-2</v>
      </c>
      <c r="AD89" s="81"/>
      <c r="AE89" s="53"/>
      <c r="AF89" s="53"/>
    </row>
    <row r="90" spans="1:32" ht="12.75" customHeight="1" x14ac:dyDescent="0.25">
      <c r="A90" s="53"/>
      <c r="B90" s="257">
        <v>71</v>
      </c>
      <c r="C90" s="652"/>
      <c r="D90" s="80"/>
      <c r="E90" s="80"/>
      <c r="F90" s="256">
        <f t="shared" ca="1" si="4"/>
        <v>0</v>
      </c>
      <c r="G90" s="624"/>
      <c r="H90" s="85"/>
      <c r="I90" s="624"/>
      <c r="J90" s="85"/>
      <c r="K90" s="624"/>
      <c r="L90" s="85"/>
      <c r="M90" s="624"/>
      <c r="N90" s="85"/>
      <c r="O90" s="624"/>
      <c r="P90" s="85"/>
      <c r="Q90" s="626">
        <f t="shared" si="1"/>
        <v>0</v>
      </c>
      <c r="R90" s="85"/>
      <c r="S90" s="624"/>
      <c r="T90" s="260" t="str">
        <f t="shared" si="3"/>
        <v/>
      </c>
      <c r="U90" s="624"/>
      <c r="V90" s="85"/>
      <c r="W90" s="624"/>
      <c r="X90" s="81"/>
      <c r="Y90" s="80"/>
      <c r="Z90" s="737">
        <f ca="1">MAX(0%,IF(Q90&lt;&gt;0,MIN((S90-Q90)/Q90/'NSLT Health Risk'!$E$27,'Health Prem &amp; Reserve Risk'!$Z$18),'Health Prem &amp; Reserve Risk'!$Z$18))</f>
        <v>0.05</v>
      </c>
      <c r="AA90" s="80"/>
      <c r="AB90" s="80"/>
      <c r="AC90" s="737">
        <f ca="1">MAX(0%,IF(U90&lt;&gt;0,MIN((W90-U90)/U90/'NSLT Health Risk'!$E$27,'Health Prem &amp; Reserve Risk'!$AC$18),'Health Prem &amp; Reserve Risk'!$AC$18))</f>
        <v>5.7000000000000002E-2</v>
      </c>
      <c r="AD90" s="81"/>
      <c r="AE90" s="53"/>
      <c r="AF90" s="53"/>
    </row>
    <row r="91" spans="1:32" ht="12.75" customHeight="1" x14ac:dyDescent="0.25">
      <c r="A91" s="53"/>
      <c r="B91" s="257">
        <v>72</v>
      </c>
      <c r="C91" s="652"/>
      <c r="D91" s="80"/>
      <c r="E91" s="80"/>
      <c r="F91" s="256">
        <f t="shared" ca="1" si="4"/>
        <v>0</v>
      </c>
      <c r="G91" s="624"/>
      <c r="H91" s="85"/>
      <c r="I91" s="624"/>
      <c r="J91" s="85"/>
      <c r="K91" s="624"/>
      <c r="L91" s="85"/>
      <c r="M91" s="624"/>
      <c r="N91" s="85"/>
      <c r="O91" s="624"/>
      <c r="P91" s="85"/>
      <c r="Q91" s="626">
        <f t="shared" si="1"/>
        <v>0</v>
      </c>
      <c r="R91" s="85"/>
      <c r="S91" s="624"/>
      <c r="T91" s="260" t="str">
        <f t="shared" si="3"/>
        <v/>
      </c>
      <c r="U91" s="624"/>
      <c r="V91" s="85"/>
      <c r="W91" s="624"/>
      <c r="X91" s="81"/>
      <c r="Y91" s="80"/>
      <c r="Z91" s="737">
        <f ca="1">MAX(0%,IF(Q91&lt;&gt;0,MIN((S91-Q91)/Q91/'NSLT Health Risk'!$E$27,'Health Prem &amp; Reserve Risk'!$Z$18),'Health Prem &amp; Reserve Risk'!$Z$18))</f>
        <v>0.05</v>
      </c>
      <c r="AA91" s="80"/>
      <c r="AB91" s="80"/>
      <c r="AC91" s="737">
        <f ca="1">MAX(0%,IF(U91&lt;&gt;0,MIN((W91-U91)/U91/'NSLT Health Risk'!$E$27,'Health Prem &amp; Reserve Risk'!$AC$18),'Health Prem &amp; Reserve Risk'!$AC$18))</f>
        <v>5.7000000000000002E-2</v>
      </c>
      <c r="AD91" s="81"/>
      <c r="AE91" s="53"/>
      <c r="AF91" s="53"/>
    </row>
    <row r="92" spans="1:32" ht="12.75" customHeight="1" x14ac:dyDescent="0.25">
      <c r="A92" s="53"/>
      <c r="B92" s="257">
        <v>73</v>
      </c>
      <c r="C92" s="652"/>
      <c r="D92" s="80"/>
      <c r="E92" s="80"/>
      <c r="F92" s="256">
        <f t="shared" ca="1" si="4"/>
        <v>0</v>
      </c>
      <c r="G92" s="624"/>
      <c r="H92" s="85"/>
      <c r="I92" s="624"/>
      <c r="J92" s="85"/>
      <c r="K92" s="624"/>
      <c r="L92" s="85"/>
      <c r="M92" s="624"/>
      <c r="N92" s="85"/>
      <c r="O92" s="624"/>
      <c r="P92" s="85"/>
      <c r="Q92" s="626">
        <f t="shared" si="1"/>
        <v>0</v>
      </c>
      <c r="R92" s="85"/>
      <c r="S92" s="624"/>
      <c r="T92" s="260" t="str">
        <f t="shared" si="3"/>
        <v/>
      </c>
      <c r="U92" s="624"/>
      <c r="V92" s="85"/>
      <c r="W92" s="624"/>
      <c r="X92" s="81"/>
      <c r="Y92" s="80"/>
      <c r="Z92" s="737">
        <f ca="1">MAX(0%,IF(Q92&lt;&gt;0,MIN((S92-Q92)/Q92/'NSLT Health Risk'!$E$27,'Health Prem &amp; Reserve Risk'!$Z$18),'Health Prem &amp; Reserve Risk'!$Z$18))</f>
        <v>0.05</v>
      </c>
      <c r="AA92" s="80"/>
      <c r="AB92" s="80"/>
      <c r="AC92" s="737">
        <f ca="1">MAX(0%,IF(U92&lt;&gt;0,MIN((W92-U92)/U92/'NSLT Health Risk'!$E$27,'Health Prem &amp; Reserve Risk'!$AC$18),'Health Prem &amp; Reserve Risk'!$AC$18))</f>
        <v>5.7000000000000002E-2</v>
      </c>
      <c r="AD92" s="81"/>
      <c r="AE92" s="53"/>
      <c r="AF92" s="53"/>
    </row>
    <row r="93" spans="1:32" ht="12.75" customHeight="1" x14ac:dyDescent="0.25">
      <c r="A93" s="53"/>
      <c r="B93" s="257">
        <v>74</v>
      </c>
      <c r="C93" s="652"/>
      <c r="D93" s="80"/>
      <c r="E93" s="80"/>
      <c r="F93" s="256">
        <f t="shared" ca="1" si="4"/>
        <v>0</v>
      </c>
      <c r="G93" s="624"/>
      <c r="H93" s="85"/>
      <c r="I93" s="624"/>
      <c r="J93" s="85"/>
      <c r="K93" s="624"/>
      <c r="L93" s="85"/>
      <c r="M93" s="624"/>
      <c r="N93" s="85"/>
      <c r="O93" s="624"/>
      <c r="P93" s="85"/>
      <c r="Q93" s="626">
        <f t="shared" si="1"/>
        <v>0</v>
      </c>
      <c r="R93" s="85"/>
      <c r="S93" s="624"/>
      <c r="T93" s="260" t="str">
        <f t="shared" si="3"/>
        <v/>
      </c>
      <c r="U93" s="624"/>
      <c r="V93" s="85"/>
      <c r="W93" s="624"/>
      <c r="X93" s="81"/>
      <c r="Y93" s="80"/>
      <c r="Z93" s="737">
        <f ca="1">MAX(0%,IF(Q93&lt;&gt;0,MIN((S93-Q93)/Q93/'NSLT Health Risk'!$E$27,'Health Prem &amp; Reserve Risk'!$Z$18),'Health Prem &amp; Reserve Risk'!$Z$18))</f>
        <v>0.05</v>
      </c>
      <c r="AA93" s="80"/>
      <c r="AB93" s="80"/>
      <c r="AC93" s="737">
        <f ca="1">MAX(0%,IF(U93&lt;&gt;0,MIN((W93-U93)/U93/'NSLT Health Risk'!$E$27,'Health Prem &amp; Reserve Risk'!$AC$18),'Health Prem &amp; Reserve Risk'!$AC$18))</f>
        <v>5.7000000000000002E-2</v>
      </c>
      <c r="AD93" s="81"/>
      <c r="AE93" s="53"/>
      <c r="AF93" s="53"/>
    </row>
    <row r="94" spans="1:32" ht="12.75" customHeight="1" x14ac:dyDescent="0.25">
      <c r="A94" s="53"/>
      <c r="B94" s="257">
        <v>75</v>
      </c>
      <c r="C94" s="652"/>
      <c r="D94" s="80"/>
      <c r="E94" s="80"/>
      <c r="F94" s="256">
        <f t="shared" ca="1" si="4"/>
        <v>0</v>
      </c>
      <c r="G94" s="624"/>
      <c r="H94" s="85"/>
      <c r="I94" s="624"/>
      <c r="J94" s="85"/>
      <c r="K94" s="624"/>
      <c r="L94" s="85"/>
      <c r="M94" s="624"/>
      <c r="N94" s="85"/>
      <c r="O94" s="624"/>
      <c r="P94" s="85"/>
      <c r="Q94" s="626">
        <f t="shared" si="1"/>
        <v>0</v>
      </c>
      <c r="R94" s="85"/>
      <c r="S94" s="624"/>
      <c r="T94" s="260" t="str">
        <f t="shared" si="3"/>
        <v/>
      </c>
      <c r="U94" s="624"/>
      <c r="V94" s="85"/>
      <c r="W94" s="624"/>
      <c r="X94" s="81"/>
      <c r="Y94" s="80"/>
      <c r="Z94" s="737">
        <f ca="1">MAX(0%,IF(Q94&lt;&gt;0,MIN((S94-Q94)/Q94/'NSLT Health Risk'!$E$27,'Health Prem &amp; Reserve Risk'!$Z$18),'Health Prem &amp; Reserve Risk'!$Z$18))</f>
        <v>0.05</v>
      </c>
      <c r="AA94" s="80"/>
      <c r="AB94" s="80"/>
      <c r="AC94" s="737">
        <f ca="1">MAX(0%,IF(U94&lt;&gt;0,MIN((W94-U94)/U94/'NSLT Health Risk'!$E$27,'Health Prem &amp; Reserve Risk'!$AC$18),'Health Prem &amp; Reserve Risk'!$AC$18))</f>
        <v>5.7000000000000002E-2</v>
      </c>
      <c r="AD94" s="81"/>
      <c r="AE94" s="53"/>
      <c r="AF94" s="53"/>
    </row>
    <row r="95" spans="1:32" ht="12.75" customHeight="1" x14ac:dyDescent="0.25">
      <c r="A95" s="53"/>
      <c r="B95" s="257">
        <v>76</v>
      </c>
      <c r="C95" s="652"/>
      <c r="D95" s="80"/>
      <c r="E95" s="80"/>
      <c r="F95" s="256">
        <f t="shared" ca="1" si="4"/>
        <v>0</v>
      </c>
      <c r="G95" s="624"/>
      <c r="H95" s="85"/>
      <c r="I95" s="624"/>
      <c r="J95" s="85"/>
      <c r="K95" s="624"/>
      <c r="L95" s="85"/>
      <c r="M95" s="624"/>
      <c r="N95" s="85"/>
      <c r="O95" s="624"/>
      <c r="P95" s="85"/>
      <c r="Q95" s="626">
        <f t="shared" si="1"/>
        <v>0</v>
      </c>
      <c r="R95" s="85"/>
      <c r="S95" s="624"/>
      <c r="T95" s="260" t="str">
        <f t="shared" si="3"/>
        <v/>
      </c>
      <c r="U95" s="624"/>
      <c r="V95" s="85"/>
      <c r="W95" s="624"/>
      <c r="X95" s="81"/>
      <c r="Y95" s="80"/>
      <c r="Z95" s="737">
        <f ca="1">MAX(0%,IF(Q95&lt;&gt;0,MIN((S95-Q95)/Q95/'NSLT Health Risk'!$E$27,'Health Prem &amp; Reserve Risk'!$Z$18),'Health Prem &amp; Reserve Risk'!$Z$18))</f>
        <v>0.05</v>
      </c>
      <c r="AA95" s="80"/>
      <c r="AB95" s="80"/>
      <c r="AC95" s="737">
        <f ca="1">MAX(0%,IF(U95&lt;&gt;0,MIN((W95-U95)/U95/'NSLT Health Risk'!$E$27,'Health Prem &amp; Reserve Risk'!$AC$18),'Health Prem &amp; Reserve Risk'!$AC$18))</f>
        <v>5.7000000000000002E-2</v>
      </c>
      <c r="AD95" s="81"/>
      <c r="AE95" s="53"/>
      <c r="AF95" s="53"/>
    </row>
    <row r="96" spans="1:32" ht="12.75" customHeight="1" x14ac:dyDescent="0.25">
      <c r="A96" s="53"/>
      <c r="B96" s="257">
        <v>77</v>
      </c>
      <c r="C96" s="652"/>
      <c r="D96" s="80"/>
      <c r="E96" s="80"/>
      <c r="F96" s="256">
        <f t="shared" ca="1" si="4"/>
        <v>0</v>
      </c>
      <c r="G96" s="624"/>
      <c r="H96" s="85"/>
      <c r="I96" s="624"/>
      <c r="J96" s="85"/>
      <c r="K96" s="624"/>
      <c r="L96" s="85"/>
      <c r="M96" s="624"/>
      <c r="N96" s="85"/>
      <c r="O96" s="624"/>
      <c r="P96" s="85"/>
      <c r="Q96" s="626">
        <f t="shared" si="1"/>
        <v>0</v>
      </c>
      <c r="R96" s="85"/>
      <c r="S96" s="624"/>
      <c r="T96" s="260" t="str">
        <f t="shared" si="3"/>
        <v/>
      </c>
      <c r="U96" s="624"/>
      <c r="V96" s="85"/>
      <c r="W96" s="624"/>
      <c r="X96" s="81"/>
      <c r="Y96" s="80"/>
      <c r="Z96" s="737">
        <f ca="1">MAX(0%,IF(Q96&lt;&gt;0,MIN((S96-Q96)/Q96/'NSLT Health Risk'!$E$27,'Health Prem &amp; Reserve Risk'!$Z$18),'Health Prem &amp; Reserve Risk'!$Z$18))</f>
        <v>0.05</v>
      </c>
      <c r="AA96" s="80"/>
      <c r="AB96" s="80"/>
      <c r="AC96" s="737">
        <f ca="1">MAX(0%,IF(U96&lt;&gt;0,MIN((W96-U96)/U96/'NSLT Health Risk'!$E$27,'Health Prem &amp; Reserve Risk'!$AC$18),'Health Prem &amp; Reserve Risk'!$AC$18))</f>
        <v>5.7000000000000002E-2</v>
      </c>
      <c r="AD96" s="81"/>
      <c r="AE96" s="53"/>
      <c r="AF96" s="53"/>
    </row>
    <row r="97" spans="1:32" ht="12.75" customHeight="1" x14ac:dyDescent="0.25">
      <c r="A97" s="53"/>
      <c r="B97" s="257">
        <v>78</v>
      </c>
      <c r="C97" s="652"/>
      <c r="D97" s="80"/>
      <c r="E97" s="80"/>
      <c r="F97" s="256">
        <f t="shared" ca="1" si="4"/>
        <v>0</v>
      </c>
      <c r="G97" s="624"/>
      <c r="H97" s="85"/>
      <c r="I97" s="624"/>
      <c r="J97" s="85"/>
      <c r="K97" s="624"/>
      <c r="L97" s="85"/>
      <c r="M97" s="624"/>
      <c r="N97" s="85"/>
      <c r="O97" s="624"/>
      <c r="P97" s="85"/>
      <c r="Q97" s="626">
        <f t="shared" si="1"/>
        <v>0</v>
      </c>
      <c r="R97" s="85"/>
      <c r="S97" s="624"/>
      <c r="T97" s="260" t="str">
        <f t="shared" si="3"/>
        <v/>
      </c>
      <c r="U97" s="624"/>
      <c r="V97" s="85"/>
      <c r="W97" s="624"/>
      <c r="X97" s="81"/>
      <c r="Y97" s="80"/>
      <c r="Z97" s="737">
        <f ca="1">MAX(0%,IF(Q97&lt;&gt;0,MIN((S97-Q97)/Q97/'NSLT Health Risk'!$E$27,'Health Prem &amp; Reserve Risk'!$Z$18),'Health Prem &amp; Reserve Risk'!$Z$18))</f>
        <v>0.05</v>
      </c>
      <c r="AA97" s="80"/>
      <c r="AB97" s="80"/>
      <c r="AC97" s="737">
        <f ca="1">MAX(0%,IF(U97&lt;&gt;0,MIN((W97-U97)/U97/'NSLT Health Risk'!$E$27,'Health Prem &amp; Reserve Risk'!$AC$18),'Health Prem &amp; Reserve Risk'!$AC$18))</f>
        <v>5.7000000000000002E-2</v>
      </c>
      <c r="AD97" s="81"/>
      <c r="AE97" s="53"/>
      <c r="AF97" s="53"/>
    </row>
    <row r="98" spans="1:32" ht="12.75" customHeight="1" x14ac:dyDescent="0.25">
      <c r="A98" s="53"/>
      <c r="B98" s="257">
        <v>79</v>
      </c>
      <c r="C98" s="652"/>
      <c r="D98" s="80"/>
      <c r="E98" s="80"/>
      <c r="F98" s="256">
        <f t="shared" ca="1" si="4"/>
        <v>0</v>
      </c>
      <c r="G98" s="624"/>
      <c r="H98" s="85"/>
      <c r="I98" s="624"/>
      <c r="J98" s="85"/>
      <c r="K98" s="624"/>
      <c r="L98" s="85"/>
      <c r="M98" s="624"/>
      <c r="N98" s="85"/>
      <c r="O98" s="624"/>
      <c r="P98" s="85"/>
      <c r="Q98" s="626">
        <f t="shared" si="1"/>
        <v>0</v>
      </c>
      <c r="R98" s="85"/>
      <c r="S98" s="624"/>
      <c r="T98" s="260" t="str">
        <f t="shared" si="3"/>
        <v/>
      </c>
      <c r="U98" s="624"/>
      <c r="V98" s="85"/>
      <c r="W98" s="624"/>
      <c r="X98" s="81"/>
      <c r="Y98" s="80"/>
      <c r="Z98" s="737">
        <f ca="1">MAX(0%,IF(Q98&lt;&gt;0,MIN((S98-Q98)/Q98/'NSLT Health Risk'!$E$27,'Health Prem &amp; Reserve Risk'!$Z$18),'Health Prem &amp; Reserve Risk'!$Z$18))</f>
        <v>0.05</v>
      </c>
      <c r="AA98" s="80"/>
      <c r="AB98" s="80"/>
      <c r="AC98" s="737">
        <f ca="1">MAX(0%,IF(U98&lt;&gt;0,MIN((W98-U98)/U98/'NSLT Health Risk'!$E$27,'Health Prem &amp; Reserve Risk'!$AC$18),'Health Prem &amp; Reserve Risk'!$AC$18))</f>
        <v>5.7000000000000002E-2</v>
      </c>
      <c r="AD98" s="81"/>
      <c r="AE98" s="53"/>
      <c r="AF98" s="53"/>
    </row>
    <row r="99" spans="1:32" ht="12.75" customHeight="1" x14ac:dyDescent="0.25">
      <c r="A99" s="53"/>
      <c r="B99" s="257">
        <v>80</v>
      </c>
      <c r="C99" s="652"/>
      <c r="D99" s="80"/>
      <c r="E99" s="80"/>
      <c r="F99" s="256">
        <f t="shared" ca="1" si="4"/>
        <v>0</v>
      </c>
      <c r="G99" s="624"/>
      <c r="H99" s="85"/>
      <c r="I99" s="624"/>
      <c r="J99" s="85"/>
      <c r="K99" s="624"/>
      <c r="L99" s="85"/>
      <c r="M99" s="624"/>
      <c r="N99" s="85"/>
      <c r="O99" s="624"/>
      <c r="P99" s="85"/>
      <c r="Q99" s="626">
        <f t="shared" si="1"/>
        <v>0</v>
      </c>
      <c r="R99" s="85"/>
      <c r="S99" s="624"/>
      <c r="T99" s="260" t="str">
        <f t="shared" si="3"/>
        <v/>
      </c>
      <c r="U99" s="624"/>
      <c r="V99" s="85"/>
      <c r="W99" s="624"/>
      <c r="X99" s="81"/>
      <c r="Y99" s="80"/>
      <c r="Z99" s="737">
        <f ca="1">MAX(0%,IF(Q99&lt;&gt;0,MIN((S99-Q99)/Q99/'NSLT Health Risk'!$E$27,'Health Prem &amp; Reserve Risk'!$Z$18),'Health Prem &amp; Reserve Risk'!$Z$18))</f>
        <v>0.05</v>
      </c>
      <c r="AA99" s="80"/>
      <c r="AB99" s="80"/>
      <c r="AC99" s="737">
        <f ca="1">MAX(0%,IF(U99&lt;&gt;0,MIN((W99-U99)/U99/'NSLT Health Risk'!$E$27,'Health Prem &amp; Reserve Risk'!$AC$18),'Health Prem &amp; Reserve Risk'!$AC$18))</f>
        <v>5.7000000000000002E-2</v>
      </c>
      <c r="AD99" s="81"/>
      <c r="AE99" s="53"/>
      <c r="AF99" s="53"/>
    </row>
    <row r="100" spans="1:32" ht="12.75" customHeight="1" x14ac:dyDescent="0.25">
      <c r="A100" s="53"/>
      <c r="B100" s="257">
        <v>81</v>
      </c>
      <c r="C100" s="652"/>
      <c r="D100" s="80"/>
      <c r="E100" s="80"/>
      <c r="F100" s="256">
        <f t="shared" ca="1" si="4"/>
        <v>0</v>
      </c>
      <c r="G100" s="624"/>
      <c r="H100" s="85"/>
      <c r="I100" s="624"/>
      <c r="J100" s="85"/>
      <c r="K100" s="624"/>
      <c r="L100" s="85"/>
      <c r="M100" s="624"/>
      <c r="N100" s="85"/>
      <c r="O100" s="624"/>
      <c r="P100" s="85"/>
      <c r="Q100" s="626">
        <f t="shared" si="1"/>
        <v>0</v>
      </c>
      <c r="R100" s="85"/>
      <c r="S100" s="624"/>
      <c r="T100" s="260" t="str">
        <f t="shared" si="3"/>
        <v/>
      </c>
      <c r="U100" s="624"/>
      <c r="V100" s="85"/>
      <c r="W100" s="624"/>
      <c r="X100" s="81"/>
      <c r="Y100" s="80"/>
      <c r="Z100" s="737">
        <f ca="1">MAX(0%,IF(Q100&lt;&gt;0,MIN((S100-Q100)/Q100/'NSLT Health Risk'!$E$27,'Health Prem &amp; Reserve Risk'!$Z$18),'Health Prem &amp; Reserve Risk'!$Z$18))</f>
        <v>0.05</v>
      </c>
      <c r="AA100" s="80"/>
      <c r="AB100" s="80"/>
      <c r="AC100" s="737">
        <f ca="1">MAX(0%,IF(U100&lt;&gt;0,MIN((W100-U100)/U100/'NSLT Health Risk'!$E$27,'Health Prem &amp; Reserve Risk'!$AC$18),'Health Prem &amp; Reserve Risk'!$AC$18))</f>
        <v>5.7000000000000002E-2</v>
      </c>
      <c r="AD100" s="81"/>
      <c r="AE100" s="53"/>
      <c r="AF100" s="53"/>
    </row>
    <row r="101" spans="1:32" ht="12.75" customHeight="1" x14ac:dyDescent="0.25">
      <c r="A101" s="53"/>
      <c r="B101" s="257">
        <v>82</v>
      </c>
      <c r="C101" s="652"/>
      <c r="D101" s="80"/>
      <c r="E101" s="80"/>
      <c r="F101" s="256">
        <f t="shared" ca="1" si="4"/>
        <v>0</v>
      </c>
      <c r="G101" s="624"/>
      <c r="H101" s="85"/>
      <c r="I101" s="624"/>
      <c r="J101" s="85"/>
      <c r="K101" s="624"/>
      <c r="L101" s="85"/>
      <c r="M101" s="624"/>
      <c r="N101" s="85"/>
      <c r="O101" s="624"/>
      <c r="P101" s="85"/>
      <c r="Q101" s="626">
        <f t="shared" si="1"/>
        <v>0</v>
      </c>
      <c r="R101" s="85"/>
      <c r="S101" s="624"/>
      <c r="T101" s="260" t="str">
        <f t="shared" si="3"/>
        <v/>
      </c>
      <c r="U101" s="624"/>
      <c r="V101" s="85"/>
      <c r="W101" s="624"/>
      <c r="X101" s="81"/>
      <c r="Y101" s="80"/>
      <c r="Z101" s="737">
        <f ca="1">MAX(0%,IF(Q101&lt;&gt;0,MIN((S101-Q101)/Q101/'NSLT Health Risk'!$E$27,'Health Prem &amp; Reserve Risk'!$Z$18),'Health Prem &amp; Reserve Risk'!$Z$18))</f>
        <v>0.05</v>
      </c>
      <c r="AA101" s="80"/>
      <c r="AB101" s="80"/>
      <c r="AC101" s="737">
        <f ca="1">MAX(0%,IF(U101&lt;&gt;0,MIN((W101-U101)/U101/'NSLT Health Risk'!$E$27,'Health Prem &amp; Reserve Risk'!$AC$18),'Health Prem &amp; Reserve Risk'!$AC$18))</f>
        <v>5.7000000000000002E-2</v>
      </c>
      <c r="AD101" s="81"/>
      <c r="AE101" s="53"/>
      <c r="AF101" s="53"/>
    </row>
    <row r="102" spans="1:32" ht="12.75" customHeight="1" x14ac:dyDescent="0.25">
      <c r="A102" s="53"/>
      <c r="B102" s="257">
        <v>83</v>
      </c>
      <c r="C102" s="652"/>
      <c r="D102" s="80"/>
      <c r="E102" s="80"/>
      <c r="F102" s="256">
        <f t="shared" ca="1" si="4"/>
        <v>0</v>
      </c>
      <c r="G102" s="624"/>
      <c r="H102" s="85"/>
      <c r="I102" s="624"/>
      <c r="J102" s="85"/>
      <c r="K102" s="624"/>
      <c r="L102" s="85"/>
      <c r="M102" s="624"/>
      <c r="N102" s="85"/>
      <c r="O102" s="624"/>
      <c r="P102" s="85"/>
      <c r="Q102" s="626">
        <f t="shared" si="1"/>
        <v>0</v>
      </c>
      <c r="R102" s="85"/>
      <c r="S102" s="624"/>
      <c r="T102" s="260" t="str">
        <f t="shared" si="3"/>
        <v/>
      </c>
      <c r="U102" s="624"/>
      <c r="V102" s="85"/>
      <c r="W102" s="624"/>
      <c r="X102" s="81"/>
      <c r="Y102" s="80"/>
      <c r="Z102" s="737">
        <f ca="1">MAX(0%,IF(Q102&lt;&gt;0,MIN((S102-Q102)/Q102/'NSLT Health Risk'!$E$27,'Health Prem &amp; Reserve Risk'!$Z$18),'Health Prem &amp; Reserve Risk'!$Z$18))</f>
        <v>0.05</v>
      </c>
      <c r="AA102" s="80"/>
      <c r="AB102" s="80"/>
      <c r="AC102" s="737">
        <f ca="1">MAX(0%,IF(U102&lt;&gt;0,MIN((W102-U102)/U102/'NSLT Health Risk'!$E$27,'Health Prem &amp; Reserve Risk'!$AC$18),'Health Prem &amp; Reserve Risk'!$AC$18))</f>
        <v>5.7000000000000002E-2</v>
      </c>
      <c r="AD102" s="81"/>
      <c r="AE102" s="53"/>
      <c r="AF102" s="53"/>
    </row>
    <row r="103" spans="1:32" ht="12.75" customHeight="1" x14ac:dyDescent="0.25">
      <c r="A103" s="53"/>
      <c r="B103" s="257">
        <v>84</v>
      </c>
      <c r="C103" s="652"/>
      <c r="D103" s="80"/>
      <c r="E103" s="80"/>
      <c r="F103" s="256">
        <f t="shared" ca="1" si="4"/>
        <v>0</v>
      </c>
      <c r="G103" s="624"/>
      <c r="H103" s="85"/>
      <c r="I103" s="624"/>
      <c r="J103" s="85"/>
      <c r="K103" s="624"/>
      <c r="L103" s="85"/>
      <c r="M103" s="624"/>
      <c r="N103" s="85"/>
      <c r="O103" s="624"/>
      <c r="P103" s="85"/>
      <c r="Q103" s="626">
        <f t="shared" si="1"/>
        <v>0</v>
      </c>
      <c r="R103" s="85"/>
      <c r="S103" s="624"/>
      <c r="T103" s="260" t="str">
        <f t="shared" si="3"/>
        <v/>
      </c>
      <c r="U103" s="624"/>
      <c r="V103" s="85"/>
      <c r="W103" s="624"/>
      <c r="X103" s="81"/>
      <c r="Y103" s="80"/>
      <c r="Z103" s="737">
        <f ca="1">MAX(0%,IF(Q103&lt;&gt;0,MIN((S103-Q103)/Q103/'NSLT Health Risk'!$E$27,'Health Prem &amp; Reserve Risk'!$Z$18),'Health Prem &amp; Reserve Risk'!$Z$18))</f>
        <v>0.05</v>
      </c>
      <c r="AA103" s="80"/>
      <c r="AB103" s="80"/>
      <c r="AC103" s="737">
        <f ca="1">MAX(0%,IF(U103&lt;&gt;0,MIN((W103-U103)/U103/'NSLT Health Risk'!$E$27,'Health Prem &amp; Reserve Risk'!$AC$18),'Health Prem &amp; Reserve Risk'!$AC$18))</f>
        <v>5.7000000000000002E-2</v>
      </c>
      <c r="AD103" s="81"/>
      <c r="AE103" s="53"/>
      <c r="AF103" s="53"/>
    </row>
    <row r="104" spans="1:32" ht="12.75" customHeight="1" x14ac:dyDescent="0.25">
      <c r="A104" s="53"/>
      <c r="B104" s="257">
        <v>85</v>
      </c>
      <c r="C104" s="652"/>
      <c r="D104" s="80"/>
      <c r="E104" s="80"/>
      <c r="F104" s="256">
        <f t="shared" ca="1" si="4"/>
        <v>0</v>
      </c>
      <c r="G104" s="624"/>
      <c r="H104" s="85"/>
      <c r="I104" s="624"/>
      <c r="J104" s="85"/>
      <c r="K104" s="624"/>
      <c r="L104" s="85"/>
      <c r="M104" s="624"/>
      <c r="N104" s="85"/>
      <c r="O104" s="624"/>
      <c r="P104" s="85"/>
      <c r="Q104" s="626">
        <f t="shared" si="1"/>
        <v>0</v>
      </c>
      <c r="R104" s="85"/>
      <c r="S104" s="624"/>
      <c r="T104" s="260" t="str">
        <f t="shared" si="3"/>
        <v/>
      </c>
      <c r="U104" s="624"/>
      <c r="V104" s="85"/>
      <c r="W104" s="624"/>
      <c r="X104" s="81"/>
      <c r="Y104" s="80"/>
      <c r="Z104" s="737">
        <f ca="1">MAX(0%,IF(Q104&lt;&gt;0,MIN((S104-Q104)/Q104/'NSLT Health Risk'!$E$27,'Health Prem &amp; Reserve Risk'!$Z$18),'Health Prem &amp; Reserve Risk'!$Z$18))</f>
        <v>0.05</v>
      </c>
      <c r="AA104" s="80"/>
      <c r="AB104" s="80"/>
      <c r="AC104" s="737">
        <f ca="1">MAX(0%,IF(U104&lt;&gt;0,MIN((W104-U104)/U104/'NSLT Health Risk'!$E$27,'Health Prem &amp; Reserve Risk'!$AC$18),'Health Prem &amp; Reserve Risk'!$AC$18))</f>
        <v>5.7000000000000002E-2</v>
      </c>
      <c r="AD104" s="81"/>
      <c r="AE104" s="53"/>
      <c r="AF104" s="53"/>
    </row>
    <row r="105" spans="1:32" ht="12.75" customHeight="1" x14ac:dyDescent="0.25">
      <c r="A105" s="53"/>
      <c r="B105" s="257">
        <v>86</v>
      </c>
      <c r="C105" s="652"/>
      <c r="D105" s="80"/>
      <c r="E105" s="80"/>
      <c r="F105" s="256">
        <f t="shared" ca="1" si="4"/>
        <v>0</v>
      </c>
      <c r="G105" s="624"/>
      <c r="H105" s="85"/>
      <c r="I105" s="624"/>
      <c r="J105" s="85"/>
      <c r="K105" s="624"/>
      <c r="L105" s="85"/>
      <c r="M105" s="624"/>
      <c r="N105" s="85"/>
      <c r="O105" s="624"/>
      <c r="P105" s="85"/>
      <c r="Q105" s="626">
        <f t="shared" si="1"/>
        <v>0</v>
      </c>
      <c r="R105" s="85"/>
      <c r="S105" s="624"/>
      <c r="T105" s="260" t="str">
        <f t="shared" si="3"/>
        <v/>
      </c>
      <c r="U105" s="624"/>
      <c r="V105" s="85"/>
      <c r="W105" s="624"/>
      <c r="X105" s="81"/>
      <c r="Y105" s="80"/>
      <c r="Z105" s="737">
        <f ca="1">MAX(0%,IF(Q105&lt;&gt;0,MIN((S105-Q105)/Q105/'NSLT Health Risk'!$E$27,'Health Prem &amp; Reserve Risk'!$Z$18),'Health Prem &amp; Reserve Risk'!$Z$18))</f>
        <v>0.05</v>
      </c>
      <c r="AA105" s="80"/>
      <c r="AB105" s="80"/>
      <c r="AC105" s="737">
        <f ca="1">MAX(0%,IF(U105&lt;&gt;0,MIN((W105-U105)/U105/'NSLT Health Risk'!$E$27,'Health Prem &amp; Reserve Risk'!$AC$18),'Health Prem &amp; Reserve Risk'!$AC$18))</f>
        <v>5.7000000000000002E-2</v>
      </c>
      <c r="AD105" s="81"/>
      <c r="AE105" s="53"/>
      <c r="AF105" s="53"/>
    </row>
    <row r="106" spans="1:32" ht="12.75" customHeight="1" x14ac:dyDescent="0.25">
      <c r="A106" s="53"/>
      <c r="B106" s="257">
        <v>87</v>
      </c>
      <c r="C106" s="652"/>
      <c r="D106" s="80"/>
      <c r="E106" s="80"/>
      <c r="F106" s="256">
        <f t="shared" ca="1" si="4"/>
        <v>0</v>
      </c>
      <c r="G106" s="624"/>
      <c r="H106" s="85"/>
      <c r="I106" s="624"/>
      <c r="J106" s="85"/>
      <c r="K106" s="624"/>
      <c r="L106" s="85"/>
      <c r="M106" s="624"/>
      <c r="N106" s="85"/>
      <c r="O106" s="624"/>
      <c r="P106" s="85"/>
      <c r="Q106" s="626">
        <f t="shared" si="1"/>
        <v>0</v>
      </c>
      <c r="R106" s="85"/>
      <c r="S106" s="624"/>
      <c r="T106" s="260" t="str">
        <f t="shared" si="3"/>
        <v/>
      </c>
      <c r="U106" s="624"/>
      <c r="V106" s="85"/>
      <c r="W106" s="624"/>
      <c r="X106" s="81"/>
      <c r="Y106" s="80"/>
      <c r="Z106" s="737">
        <f ca="1">MAX(0%,IF(Q106&lt;&gt;0,MIN((S106-Q106)/Q106/'NSLT Health Risk'!$E$27,'Health Prem &amp; Reserve Risk'!$Z$18),'Health Prem &amp; Reserve Risk'!$Z$18))</f>
        <v>0.05</v>
      </c>
      <c r="AA106" s="80"/>
      <c r="AB106" s="80"/>
      <c r="AC106" s="737">
        <f ca="1">MAX(0%,IF(U106&lt;&gt;0,MIN((W106-U106)/U106/'NSLT Health Risk'!$E$27,'Health Prem &amp; Reserve Risk'!$AC$18),'Health Prem &amp; Reserve Risk'!$AC$18))</f>
        <v>5.7000000000000002E-2</v>
      </c>
      <c r="AD106" s="81"/>
      <c r="AE106" s="53"/>
      <c r="AF106" s="53"/>
    </row>
    <row r="107" spans="1:32" ht="12.75" customHeight="1" x14ac:dyDescent="0.25">
      <c r="A107" s="53"/>
      <c r="B107" s="257">
        <v>88</v>
      </c>
      <c r="C107" s="652"/>
      <c r="D107" s="80"/>
      <c r="E107" s="80"/>
      <c r="F107" s="256">
        <f t="shared" ca="1" si="4"/>
        <v>0</v>
      </c>
      <c r="G107" s="624"/>
      <c r="H107" s="85"/>
      <c r="I107" s="624"/>
      <c r="J107" s="85"/>
      <c r="K107" s="624"/>
      <c r="L107" s="85"/>
      <c r="M107" s="624"/>
      <c r="N107" s="85"/>
      <c r="O107" s="624"/>
      <c r="P107" s="85"/>
      <c r="Q107" s="626">
        <f t="shared" si="1"/>
        <v>0</v>
      </c>
      <c r="R107" s="85"/>
      <c r="S107" s="624"/>
      <c r="T107" s="260" t="str">
        <f t="shared" si="3"/>
        <v/>
      </c>
      <c r="U107" s="624"/>
      <c r="V107" s="85"/>
      <c r="W107" s="624"/>
      <c r="X107" s="81"/>
      <c r="Y107" s="80"/>
      <c r="Z107" s="737">
        <f ca="1">MAX(0%,IF(Q107&lt;&gt;0,MIN((S107-Q107)/Q107/'NSLT Health Risk'!$E$27,'Health Prem &amp; Reserve Risk'!$Z$18),'Health Prem &amp; Reserve Risk'!$Z$18))</f>
        <v>0.05</v>
      </c>
      <c r="AA107" s="80"/>
      <c r="AB107" s="80"/>
      <c r="AC107" s="737">
        <f ca="1">MAX(0%,IF(U107&lt;&gt;0,MIN((W107-U107)/U107/'NSLT Health Risk'!$E$27,'Health Prem &amp; Reserve Risk'!$AC$18),'Health Prem &amp; Reserve Risk'!$AC$18))</f>
        <v>5.7000000000000002E-2</v>
      </c>
      <c r="AD107" s="81"/>
      <c r="AE107" s="53"/>
      <c r="AF107" s="53"/>
    </row>
    <row r="108" spans="1:32" ht="12.75" customHeight="1" x14ac:dyDescent="0.25">
      <c r="A108" s="53"/>
      <c r="B108" s="257">
        <v>89</v>
      </c>
      <c r="C108" s="652"/>
      <c r="D108" s="80"/>
      <c r="E108" s="80"/>
      <c r="F108" s="256">
        <f t="shared" ca="1" si="4"/>
        <v>0</v>
      </c>
      <c r="G108" s="624"/>
      <c r="H108" s="85"/>
      <c r="I108" s="624"/>
      <c r="J108" s="85"/>
      <c r="K108" s="624"/>
      <c r="L108" s="85"/>
      <c r="M108" s="624"/>
      <c r="N108" s="85"/>
      <c r="O108" s="624"/>
      <c r="P108" s="85"/>
      <c r="Q108" s="626">
        <f t="shared" si="1"/>
        <v>0</v>
      </c>
      <c r="R108" s="85"/>
      <c r="S108" s="624"/>
      <c r="T108" s="260" t="str">
        <f t="shared" si="3"/>
        <v/>
      </c>
      <c r="U108" s="624"/>
      <c r="V108" s="85"/>
      <c r="W108" s="624"/>
      <c r="X108" s="81"/>
      <c r="Y108" s="80"/>
      <c r="Z108" s="737">
        <f ca="1">MAX(0%,IF(Q108&lt;&gt;0,MIN((S108-Q108)/Q108/'NSLT Health Risk'!$E$27,'Health Prem &amp; Reserve Risk'!$Z$18),'Health Prem &amp; Reserve Risk'!$Z$18))</f>
        <v>0.05</v>
      </c>
      <c r="AA108" s="80"/>
      <c r="AB108" s="80"/>
      <c r="AC108" s="737">
        <f ca="1">MAX(0%,IF(U108&lt;&gt;0,MIN((W108-U108)/U108/'NSLT Health Risk'!$E$27,'Health Prem &amp; Reserve Risk'!$AC$18),'Health Prem &amp; Reserve Risk'!$AC$18))</f>
        <v>5.7000000000000002E-2</v>
      </c>
      <c r="AD108" s="81"/>
      <c r="AE108" s="53"/>
      <c r="AF108" s="53"/>
    </row>
    <row r="109" spans="1:32" ht="12.75" customHeight="1" x14ac:dyDescent="0.25">
      <c r="A109" s="53"/>
      <c r="B109" s="257">
        <v>90</v>
      </c>
      <c r="C109" s="652"/>
      <c r="D109" s="80"/>
      <c r="E109" s="80"/>
      <c r="F109" s="256">
        <f t="shared" ca="1" si="4"/>
        <v>0</v>
      </c>
      <c r="G109" s="624"/>
      <c r="H109" s="85"/>
      <c r="I109" s="624"/>
      <c r="J109" s="85"/>
      <c r="K109" s="624"/>
      <c r="L109" s="85"/>
      <c r="M109" s="624"/>
      <c r="N109" s="85"/>
      <c r="O109" s="624"/>
      <c r="P109" s="85"/>
      <c r="Q109" s="626">
        <f t="shared" si="1"/>
        <v>0</v>
      </c>
      <c r="R109" s="85"/>
      <c r="S109" s="624"/>
      <c r="T109" s="260" t="str">
        <f t="shared" si="3"/>
        <v/>
      </c>
      <c r="U109" s="624"/>
      <c r="V109" s="85"/>
      <c r="W109" s="624"/>
      <c r="X109" s="81"/>
      <c r="Y109" s="80"/>
      <c r="Z109" s="737">
        <f ca="1">MAX(0%,IF(Q109&lt;&gt;0,MIN((S109-Q109)/Q109/'NSLT Health Risk'!$E$27,'Health Prem &amp; Reserve Risk'!$Z$18),'Health Prem &amp; Reserve Risk'!$Z$18))</f>
        <v>0.05</v>
      </c>
      <c r="AA109" s="80"/>
      <c r="AB109" s="80"/>
      <c r="AC109" s="737">
        <f ca="1">MAX(0%,IF(U109&lt;&gt;0,MIN((W109-U109)/U109/'NSLT Health Risk'!$E$27,'Health Prem &amp; Reserve Risk'!$AC$18),'Health Prem &amp; Reserve Risk'!$AC$18))</f>
        <v>5.7000000000000002E-2</v>
      </c>
      <c r="AD109" s="81"/>
      <c r="AE109" s="53"/>
      <c r="AF109" s="53"/>
    </row>
    <row r="110" spans="1:32" ht="12.75" customHeight="1" x14ac:dyDescent="0.25">
      <c r="A110" s="53"/>
      <c r="B110" s="257">
        <v>91</v>
      </c>
      <c r="C110" s="652"/>
      <c r="D110" s="80"/>
      <c r="E110" s="80"/>
      <c r="F110" s="256">
        <f t="shared" ca="1" si="4"/>
        <v>0</v>
      </c>
      <c r="G110" s="624"/>
      <c r="H110" s="85"/>
      <c r="I110" s="624"/>
      <c r="J110" s="85"/>
      <c r="K110" s="624"/>
      <c r="L110" s="85"/>
      <c r="M110" s="624"/>
      <c r="N110" s="85"/>
      <c r="O110" s="624"/>
      <c r="P110" s="85"/>
      <c r="Q110" s="626">
        <f t="shared" si="1"/>
        <v>0</v>
      </c>
      <c r="R110" s="85"/>
      <c r="S110" s="624"/>
      <c r="T110" s="260" t="str">
        <f t="shared" si="3"/>
        <v/>
      </c>
      <c r="U110" s="624"/>
      <c r="V110" s="85"/>
      <c r="W110" s="624"/>
      <c r="X110" s="81"/>
      <c r="Y110" s="80"/>
      <c r="Z110" s="737">
        <f ca="1">MAX(0%,IF(Q110&lt;&gt;0,MIN((S110-Q110)/Q110/'NSLT Health Risk'!$E$27,'Health Prem &amp; Reserve Risk'!$Z$18),'Health Prem &amp; Reserve Risk'!$Z$18))</f>
        <v>0.05</v>
      </c>
      <c r="AA110" s="80"/>
      <c r="AB110" s="80"/>
      <c r="AC110" s="737">
        <f ca="1">MAX(0%,IF(U110&lt;&gt;0,MIN((W110-U110)/U110/'NSLT Health Risk'!$E$27,'Health Prem &amp; Reserve Risk'!$AC$18),'Health Prem &amp; Reserve Risk'!$AC$18))</f>
        <v>5.7000000000000002E-2</v>
      </c>
      <c r="AD110" s="81"/>
      <c r="AE110" s="53"/>
      <c r="AF110" s="53"/>
    </row>
    <row r="111" spans="1:32" ht="12.75" customHeight="1" x14ac:dyDescent="0.25">
      <c r="A111" s="53"/>
      <c r="B111" s="257">
        <v>92</v>
      </c>
      <c r="C111" s="652"/>
      <c r="D111" s="80"/>
      <c r="E111" s="80"/>
      <c r="F111" s="256">
        <f t="shared" ca="1" si="4"/>
        <v>0</v>
      </c>
      <c r="G111" s="624"/>
      <c r="H111" s="85"/>
      <c r="I111" s="624"/>
      <c r="J111" s="85"/>
      <c r="K111" s="624"/>
      <c r="L111" s="85"/>
      <c r="M111" s="624"/>
      <c r="N111" s="85"/>
      <c r="O111" s="624"/>
      <c r="P111" s="85"/>
      <c r="Q111" s="626">
        <f t="shared" si="1"/>
        <v>0</v>
      </c>
      <c r="R111" s="85"/>
      <c r="S111" s="624"/>
      <c r="T111" s="260" t="str">
        <f t="shared" si="3"/>
        <v/>
      </c>
      <c r="U111" s="624"/>
      <c r="V111" s="85"/>
      <c r="W111" s="624"/>
      <c r="X111" s="81"/>
      <c r="Y111" s="80"/>
      <c r="Z111" s="737">
        <f ca="1">MAX(0%,IF(Q111&lt;&gt;0,MIN((S111-Q111)/Q111/'NSLT Health Risk'!$E$27,'Health Prem &amp; Reserve Risk'!$Z$18),'Health Prem &amp; Reserve Risk'!$Z$18))</f>
        <v>0.05</v>
      </c>
      <c r="AA111" s="80"/>
      <c r="AB111" s="80"/>
      <c r="AC111" s="737">
        <f ca="1">MAX(0%,IF(U111&lt;&gt;0,MIN((W111-U111)/U111/'NSLT Health Risk'!$E$27,'Health Prem &amp; Reserve Risk'!$AC$18),'Health Prem &amp; Reserve Risk'!$AC$18))</f>
        <v>5.7000000000000002E-2</v>
      </c>
      <c r="AD111" s="81"/>
      <c r="AE111" s="53"/>
      <c r="AF111" s="53"/>
    </row>
    <row r="112" spans="1:32" ht="12.75" customHeight="1" x14ac:dyDescent="0.25">
      <c r="A112" s="53"/>
      <c r="B112" s="257">
        <v>93</v>
      </c>
      <c r="C112" s="652"/>
      <c r="D112" s="80"/>
      <c r="E112" s="80"/>
      <c r="F112" s="256">
        <f t="shared" ca="1" si="4"/>
        <v>0</v>
      </c>
      <c r="G112" s="624"/>
      <c r="H112" s="85"/>
      <c r="I112" s="624"/>
      <c r="J112" s="85"/>
      <c r="K112" s="624"/>
      <c r="L112" s="85"/>
      <c r="M112" s="624"/>
      <c r="N112" s="85"/>
      <c r="O112" s="624"/>
      <c r="P112" s="85"/>
      <c r="Q112" s="626">
        <f t="shared" si="1"/>
        <v>0</v>
      </c>
      <c r="R112" s="85"/>
      <c r="S112" s="624"/>
      <c r="T112" s="260" t="str">
        <f t="shared" si="3"/>
        <v/>
      </c>
      <c r="U112" s="624"/>
      <c r="V112" s="85"/>
      <c r="W112" s="624"/>
      <c r="X112" s="81"/>
      <c r="Y112" s="80"/>
      <c r="Z112" s="737">
        <f ca="1">MAX(0%,IF(Q112&lt;&gt;0,MIN((S112-Q112)/Q112/'NSLT Health Risk'!$E$27,'Health Prem &amp; Reserve Risk'!$Z$18),'Health Prem &amp; Reserve Risk'!$Z$18))</f>
        <v>0.05</v>
      </c>
      <c r="AA112" s="80"/>
      <c r="AB112" s="80"/>
      <c r="AC112" s="737">
        <f ca="1">MAX(0%,IF(U112&lt;&gt;0,MIN((W112-U112)/U112/'NSLT Health Risk'!$E$27,'Health Prem &amp; Reserve Risk'!$AC$18),'Health Prem &amp; Reserve Risk'!$AC$18))</f>
        <v>5.7000000000000002E-2</v>
      </c>
      <c r="AD112" s="81"/>
      <c r="AE112" s="53"/>
      <c r="AF112" s="53"/>
    </row>
    <row r="113" spans="1:32" ht="12.75" customHeight="1" x14ac:dyDescent="0.25">
      <c r="A113" s="53"/>
      <c r="B113" s="257">
        <v>94</v>
      </c>
      <c r="C113" s="652"/>
      <c r="D113" s="80"/>
      <c r="E113" s="80"/>
      <c r="F113" s="256">
        <f t="shared" ca="1" si="4"/>
        <v>0</v>
      </c>
      <c r="G113" s="624"/>
      <c r="H113" s="85"/>
      <c r="I113" s="624"/>
      <c r="J113" s="85"/>
      <c r="K113" s="624"/>
      <c r="L113" s="85"/>
      <c r="M113" s="624"/>
      <c r="N113" s="85"/>
      <c r="O113" s="624"/>
      <c r="P113" s="85"/>
      <c r="Q113" s="626">
        <f t="shared" si="1"/>
        <v>0</v>
      </c>
      <c r="R113" s="85"/>
      <c r="S113" s="624"/>
      <c r="T113" s="260" t="str">
        <f t="shared" si="3"/>
        <v/>
      </c>
      <c r="U113" s="624"/>
      <c r="V113" s="85"/>
      <c r="W113" s="624"/>
      <c r="X113" s="81"/>
      <c r="Y113" s="80"/>
      <c r="Z113" s="737">
        <f ca="1">MAX(0%,IF(Q113&lt;&gt;0,MIN((S113-Q113)/Q113/'NSLT Health Risk'!$E$27,'Health Prem &amp; Reserve Risk'!$Z$18),'Health Prem &amp; Reserve Risk'!$Z$18))</f>
        <v>0.05</v>
      </c>
      <c r="AA113" s="80"/>
      <c r="AB113" s="80"/>
      <c r="AC113" s="737">
        <f ca="1">MAX(0%,IF(U113&lt;&gt;0,MIN((W113-U113)/U113/'NSLT Health Risk'!$E$27,'Health Prem &amp; Reserve Risk'!$AC$18),'Health Prem &amp; Reserve Risk'!$AC$18))</f>
        <v>5.7000000000000002E-2</v>
      </c>
      <c r="AD113" s="81"/>
      <c r="AE113" s="53"/>
      <c r="AF113" s="53"/>
    </row>
    <row r="114" spans="1:32" ht="12.75" customHeight="1" x14ac:dyDescent="0.25">
      <c r="A114" s="53"/>
      <c r="B114" s="257">
        <v>95</v>
      </c>
      <c r="C114" s="652"/>
      <c r="D114" s="80"/>
      <c r="E114" s="80"/>
      <c r="F114" s="256">
        <f t="shared" ca="1" si="4"/>
        <v>0</v>
      </c>
      <c r="G114" s="624"/>
      <c r="H114" s="85"/>
      <c r="I114" s="624"/>
      <c r="J114" s="85"/>
      <c r="K114" s="624"/>
      <c r="L114" s="85"/>
      <c r="M114" s="624"/>
      <c r="N114" s="85"/>
      <c r="O114" s="624"/>
      <c r="P114" s="85"/>
      <c r="Q114" s="626">
        <f t="shared" si="1"/>
        <v>0</v>
      </c>
      <c r="R114" s="85"/>
      <c r="S114" s="624"/>
      <c r="T114" s="260" t="str">
        <f t="shared" si="3"/>
        <v/>
      </c>
      <c r="U114" s="624"/>
      <c r="V114" s="85"/>
      <c r="W114" s="624"/>
      <c r="X114" s="81"/>
      <c r="Y114" s="80"/>
      <c r="Z114" s="737">
        <f ca="1">MAX(0%,IF(Q114&lt;&gt;0,MIN((S114-Q114)/Q114/'NSLT Health Risk'!$E$27,'Health Prem &amp; Reserve Risk'!$Z$18),'Health Prem &amp; Reserve Risk'!$Z$18))</f>
        <v>0.05</v>
      </c>
      <c r="AA114" s="80"/>
      <c r="AB114" s="80"/>
      <c r="AC114" s="737">
        <f ca="1">MAX(0%,IF(U114&lt;&gt;0,MIN((W114-U114)/U114/'NSLT Health Risk'!$E$27,'Health Prem &amp; Reserve Risk'!$AC$18),'Health Prem &amp; Reserve Risk'!$AC$18))</f>
        <v>5.7000000000000002E-2</v>
      </c>
      <c r="AD114" s="81"/>
      <c r="AE114" s="53"/>
      <c r="AF114" s="53"/>
    </row>
    <row r="115" spans="1:32" ht="12.75" customHeight="1" x14ac:dyDescent="0.25">
      <c r="A115" s="53"/>
      <c r="B115" s="257">
        <v>96</v>
      </c>
      <c r="C115" s="652"/>
      <c r="D115" s="80"/>
      <c r="E115" s="80"/>
      <c r="F115" s="256">
        <f t="shared" ca="1" si="4"/>
        <v>0</v>
      </c>
      <c r="G115" s="624"/>
      <c r="H115" s="85"/>
      <c r="I115" s="624"/>
      <c r="J115" s="85"/>
      <c r="K115" s="624"/>
      <c r="L115" s="85"/>
      <c r="M115" s="624"/>
      <c r="N115" s="85"/>
      <c r="O115" s="624"/>
      <c r="P115" s="85"/>
      <c r="Q115" s="626">
        <f t="shared" si="1"/>
        <v>0</v>
      </c>
      <c r="R115" s="85"/>
      <c r="S115" s="624"/>
      <c r="T115" s="260" t="str">
        <f t="shared" si="3"/>
        <v/>
      </c>
      <c r="U115" s="624"/>
      <c r="V115" s="85"/>
      <c r="W115" s="624"/>
      <c r="X115" s="81"/>
      <c r="Y115" s="80"/>
      <c r="Z115" s="737">
        <f ca="1">MAX(0%,IF(Q115&lt;&gt;0,MIN((S115-Q115)/Q115/'NSLT Health Risk'!$E$27,'Health Prem &amp; Reserve Risk'!$Z$18),'Health Prem &amp; Reserve Risk'!$Z$18))</f>
        <v>0.05</v>
      </c>
      <c r="AA115" s="80"/>
      <c r="AB115" s="80"/>
      <c r="AC115" s="737">
        <f ca="1">MAX(0%,IF(U115&lt;&gt;0,MIN((W115-U115)/U115/'NSLT Health Risk'!$E$27,'Health Prem &amp; Reserve Risk'!$AC$18),'Health Prem &amp; Reserve Risk'!$AC$18))</f>
        <v>5.7000000000000002E-2</v>
      </c>
      <c r="AD115" s="81"/>
      <c r="AE115" s="53"/>
      <c r="AF115" s="53"/>
    </row>
    <row r="116" spans="1:32" ht="12.75" customHeight="1" x14ac:dyDescent="0.25">
      <c r="A116" s="53"/>
      <c r="B116" s="257">
        <v>97</v>
      </c>
      <c r="C116" s="652"/>
      <c r="D116" s="80"/>
      <c r="E116" s="80"/>
      <c r="F116" s="256">
        <f t="shared" ca="1" si="4"/>
        <v>0</v>
      </c>
      <c r="G116" s="624"/>
      <c r="H116" s="85"/>
      <c r="I116" s="624"/>
      <c r="J116" s="85"/>
      <c r="K116" s="624"/>
      <c r="L116" s="85"/>
      <c r="M116" s="624"/>
      <c r="N116" s="85"/>
      <c r="O116" s="624"/>
      <c r="P116" s="85"/>
      <c r="Q116" s="626">
        <f t="shared" si="1"/>
        <v>0</v>
      </c>
      <c r="R116" s="85"/>
      <c r="S116" s="624"/>
      <c r="T116" s="260" t="str">
        <f t="shared" si="3"/>
        <v/>
      </c>
      <c r="U116" s="624"/>
      <c r="V116" s="85"/>
      <c r="W116" s="624"/>
      <c r="X116" s="81"/>
      <c r="Y116" s="80"/>
      <c r="Z116" s="737">
        <f ca="1">MAX(0%,IF(Q116&lt;&gt;0,MIN((S116-Q116)/Q116/'NSLT Health Risk'!$E$27,'Health Prem &amp; Reserve Risk'!$Z$18),'Health Prem &amp; Reserve Risk'!$Z$18))</f>
        <v>0.05</v>
      </c>
      <c r="AA116" s="80"/>
      <c r="AB116" s="80"/>
      <c r="AC116" s="737">
        <f ca="1">MAX(0%,IF(U116&lt;&gt;0,MIN((W116-U116)/U116/'NSLT Health Risk'!$E$27,'Health Prem &amp; Reserve Risk'!$AC$18),'Health Prem &amp; Reserve Risk'!$AC$18))</f>
        <v>5.7000000000000002E-2</v>
      </c>
      <c r="AD116" s="81"/>
      <c r="AE116" s="53"/>
      <c r="AF116" s="53"/>
    </row>
    <row r="117" spans="1:32" ht="12.75" customHeight="1" x14ac:dyDescent="0.25">
      <c r="A117" s="53"/>
      <c r="B117" s="257">
        <v>98</v>
      </c>
      <c r="C117" s="652"/>
      <c r="D117" s="80"/>
      <c r="E117" s="80"/>
      <c r="F117" s="256">
        <f t="shared" ca="1" si="4"/>
        <v>0</v>
      </c>
      <c r="G117" s="624"/>
      <c r="H117" s="85"/>
      <c r="I117" s="624"/>
      <c r="J117" s="85"/>
      <c r="K117" s="624"/>
      <c r="L117" s="85"/>
      <c r="M117" s="624"/>
      <c r="N117" s="85"/>
      <c r="O117" s="624"/>
      <c r="P117" s="85"/>
      <c r="Q117" s="626">
        <f t="shared" si="1"/>
        <v>0</v>
      </c>
      <c r="R117" s="85"/>
      <c r="S117" s="624"/>
      <c r="T117" s="260" t="str">
        <f t="shared" si="3"/>
        <v/>
      </c>
      <c r="U117" s="624"/>
      <c r="V117" s="85"/>
      <c r="W117" s="624"/>
      <c r="X117" s="81"/>
      <c r="Y117" s="80"/>
      <c r="Z117" s="737">
        <f ca="1">MAX(0%,IF(Q117&lt;&gt;0,MIN((S117-Q117)/Q117/'NSLT Health Risk'!$E$27,'Health Prem &amp; Reserve Risk'!$Z$18),'Health Prem &amp; Reserve Risk'!$Z$18))</f>
        <v>0.05</v>
      </c>
      <c r="AA117" s="80"/>
      <c r="AB117" s="80"/>
      <c r="AC117" s="737">
        <f ca="1">MAX(0%,IF(U117&lt;&gt;0,MIN((W117-U117)/U117/'NSLT Health Risk'!$E$27,'Health Prem &amp; Reserve Risk'!$AC$18),'Health Prem &amp; Reserve Risk'!$AC$18))</f>
        <v>5.7000000000000002E-2</v>
      </c>
      <c r="AD117" s="81"/>
      <c r="AE117" s="53"/>
      <c r="AF117" s="53"/>
    </row>
    <row r="118" spans="1:32" ht="12.75" customHeight="1" x14ac:dyDescent="0.25">
      <c r="A118" s="53"/>
      <c r="B118" s="257">
        <v>99</v>
      </c>
      <c r="C118" s="652"/>
      <c r="D118" s="80"/>
      <c r="E118" s="80"/>
      <c r="F118" s="256">
        <f t="shared" ca="1" si="4"/>
        <v>0</v>
      </c>
      <c r="G118" s="624"/>
      <c r="H118" s="85"/>
      <c r="I118" s="624"/>
      <c r="J118" s="85"/>
      <c r="K118" s="624"/>
      <c r="L118" s="85"/>
      <c r="M118" s="624"/>
      <c r="N118" s="85"/>
      <c r="O118" s="624"/>
      <c r="P118" s="85"/>
      <c r="Q118" s="626">
        <f t="shared" si="1"/>
        <v>0</v>
      </c>
      <c r="R118" s="85"/>
      <c r="S118" s="624"/>
      <c r="T118" s="260" t="str">
        <f t="shared" si="3"/>
        <v/>
      </c>
      <c r="U118" s="624"/>
      <c r="V118" s="85"/>
      <c r="W118" s="624"/>
      <c r="X118" s="81"/>
      <c r="Y118" s="80"/>
      <c r="Z118" s="737">
        <f ca="1">MAX(0%,IF(Q118&lt;&gt;0,MIN((S118-Q118)/Q118/'NSLT Health Risk'!$E$27,'Health Prem &amp; Reserve Risk'!$Z$18),'Health Prem &amp; Reserve Risk'!$Z$18))</f>
        <v>0.05</v>
      </c>
      <c r="AA118" s="80"/>
      <c r="AB118" s="80"/>
      <c r="AC118" s="737">
        <f ca="1">MAX(0%,IF(U118&lt;&gt;0,MIN((W118-U118)/U118/'NSLT Health Risk'!$E$27,'Health Prem &amp; Reserve Risk'!$AC$18),'Health Prem &amp; Reserve Risk'!$AC$18))</f>
        <v>5.7000000000000002E-2</v>
      </c>
      <c r="AD118" s="81"/>
      <c r="AE118" s="53"/>
      <c r="AF118" s="53"/>
    </row>
    <row r="119" spans="1:32" ht="12.75" customHeight="1" x14ac:dyDescent="0.25">
      <c r="A119" s="53"/>
      <c r="B119" s="257">
        <v>100</v>
      </c>
      <c r="C119" s="652"/>
      <c r="D119" s="80"/>
      <c r="E119" s="80"/>
      <c r="F119" s="256">
        <f t="shared" ca="1" si="4"/>
        <v>0</v>
      </c>
      <c r="G119" s="624"/>
      <c r="H119" s="85"/>
      <c r="I119" s="624"/>
      <c r="J119" s="85"/>
      <c r="K119" s="624"/>
      <c r="L119" s="85"/>
      <c r="M119" s="624"/>
      <c r="N119" s="85"/>
      <c r="O119" s="624"/>
      <c r="P119" s="85"/>
      <c r="Q119" s="626">
        <f t="shared" si="1"/>
        <v>0</v>
      </c>
      <c r="R119" s="85"/>
      <c r="S119" s="624"/>
      <c r="T119" s="260" t="str">
        <f t="shared" si="3"/>
        <v/>
      </c>
      <c r="U119" s="624"/>
      <c r="V119" s="85"/>
      <c r="W119" s="624"/>
      <c r="X119" s="81"/>
      <c r="Y119" s="80"/>
      <c r="Z119" s="737">
        <f ca="1">MAX(0%,IF(Q119&lt;&gt;0,MIN((S119-Q119)/Q119/'NSLT Health Risk'!$E$27,'Health Prem &amp; Reserve Risk'!$Z$18),'Health Prem &amp; Reserve Risk'!$Z$18))</f>
        <v>0.05</v>
      </c>
      <c r="AA119" s="80"/>
      <c r="AB119" s="80"/>
      <c r="AC119" s="737">
        <f ca="1">MAX(0%,IF(U119&lt;&gt;0,MIN((W119-U119)/U119/'NSLT Health Risk'!$E$27,'Health Prem &amp; Reserve Risk'!$AC$18),'Health Prem &amp; Reserve Risk'!$AC$18))</f>
        <v>5.7000000000000002E-2</v>
      </c>
      <c r="AD119" s="81"/>
      <c r="AE119" s="53"/>
      <c r="AF119" s="53"/>
    </row>
    <row r="120" spans="1:32" ht="6" customHeight="1" thickBot="1" x14ac:dyDescent="0.3">
      <c r="A120" s="53"/>
      <c r="B120" s="110"/>
      <c r="C120" s="93"/>
      <c r="D120" s="93"/>
      <c r="E120" s="93"/>
      <c r="F120" s="272">
        <f ca="1">IF(OFFSET($Z$8,$B$17-10,0)=0,1,0)</f>
        <v>0</v>
      </c>
      <c r="G120" s="134"/>
      <c r="H120" s="134"/>
      <c r="I120" s="134"/>
      <c r="J120" s="134"/>
      <c r="K120" s="134"/>
      <c r="L120" s="134"/>
      <c r="M120" s="134"/>
      <c r="N120" s="134"/>
      <c r="O120" s="134"/>
      <c r="P120" s="134"/>
      <c r="Q120" s="134"/>
      <c r="R120" s="134"/>
      <c r="S120" s="134"/>
      <c r="T120" s="134"/>
      <c r="U120" s="134"/>
      <c r="V120" s="134"/>
      <c r="W120" s="134"/>
      <c r="X120" s="94"/>
      <c r="Y120" s="93"/>
      <c r="Z120" s="93"/>
      <c r="AA120" s="93"/>
      <c r="AB120" s="93"/>
      <c r="AC120" s="93"/>
      <c r="AD120" s="94"/>
      <c r="AE120" s="53"/>
      <c r="AF120" s="53"/>
    </row>
    <row r="121" spans="1:32" ht="16.5" thickBot="1" x14ac:dyDescent="0.3">
      <c r="A121" s="53"/>
      <c r="B121" s="53"/>
      <c r="C121" s="53"/>
      <c r="D121" s="53"/>
      <c r="E121" s="53"/>
      <c r="F121" s="53"/>
      <c r="G121" s="109"/>
      <c r="H121" s="109"/>
      <c r="I121" s="109"/>
      <c r="J121" s="109"/>
      <c r="K121" s="109"/>
      <c r="L121" s="109"/>
      <c r="M121" s="109"/>
      <c r="N121" s="109"/>
      <c r="O121" s="109"/>
      <c r="P121" s="109"/>
      <c r="Q121" s="109"/>
      <c r="R121" s="109"/>
      <c r="S121" s="109"/>
      <c r="T121" s="109"/>
      <c r="U121" s="109"/>
      <c r="V121" s="109"/>
      <c r="W121" s="109"/>
      <c r="X121" s="53"/>
      <c r="Y121" s="53"/>
      <c r="Z121" s="53"/>
      <c r="AA121" s="53"/>
      <c r="AB121" s="53"/>
      <c r="AC121" s="53"/>
      <c r="AD121" s="53"/>
      <c r="AE121" s="53"/>
      <c r="AF121" s="53"/>
    </row>
    <row r="122" spans="1:32" ht="48" thickBot="1" x14ac:dyDescent="0.3">
      <c r="A122" s="53"/>
      <c r="B122" s="126">
        <v>11</v>
      </c>
      <c r="C122" s="126" t="str">
        <f ca="1">RIGHT(OFFSET($B$8,B122-10,0),LEN(OFFSET($B$8,B122-10,0))-5)</f>
        <v>- Income Protection &amp; 23 Prop. Reins.</v>
      </c>
      <c r="D122" s="127"/>
      <c r="E122" s="127"/>
      <c r="F122" s="127"/>
      <c r="G122" s="127"/>
      <c r="H122" s="127"/>
      <c r="I122" s="127"/>
      <c r="J122" s="127"/>
      <c r="K122" s="127"/>
      <c r="L122" s="127"/>
      <c r="M122" s="127"/>
      <c r="N122" s="127"/>
      <c r="O122" s="127"/>
      <c r="P122" s="127"/>
      <c r="Q122" s="127"/>
      <c r="R122" s="127"/>
      <c r="S122" s="127"/>
      <c r="T122" s="127"/>
      <c r="U122" s="127"/>
      <c r="V122" s="127"/>
      <c r="W122" s="127"/>
      <c r="X122" s="128"/>
      <c r="Y122" s="127"/>
      <c r="Z122" s="742" t="s">
        <v>458</v>
      </c>
      <c r="AA122" s="742"/>
      <c r="AB122" s="742"/>
      <c r="AC122" s="742" t="s">
        <v>459</v>
      </c>
      <c r="AD122" s="743"/>
      <c r="AE122" s="53"/>
      <c r="AF122" s="53"/>
    </row>
    <row r="123" spans="1:32" ht="129.75" thickBot="1" x14ac:dyDescent="0.3">
      <c r="A123" s="53"/>
      <c r="B123" s="147"/>
      <c r="C123" s="253" t="s">
        <v>517</v>
      </c>
      <c r="D123" s="237"/>
      <c r="E123" s="237"/>
      <c r="F123" s="254">
        <f ca="1">IF(OFFSET($Z$8,B122-10,0)=0,1,0)</f>
        <v>0</v>
      </c>
      <c r="G123" s="794" t="s">
        <v>1130</v>
      </c>
      <c r="H123" s="270"/>
      <c r="I123" s="271" t="s">
        <v>438</v>
      </c>
      <c r="J123" s="271"/>
      <c r="K123" s="271" t="s">
        <v>439</v>
      </c>
      <c r="L123" s="271"/>
      <c r="M123" s="271" t="s">
        <v>1131</v>
      </c>
      <c r="N123" s="271"/>
      <c r="O123" s="271" t="s">
        <v>1132</v>
      </c>
      <c r="P123" s="237"/>
      <c r="Q123" s="237" t="s">
        <v>440</v>
      </c>
      <c r="R123" s="237"/>
      <c r="S123" s="237" t="s">
        <v>461</v>
      </c>
      <c r="T123" s="237"/>
      <c r="U123" s="237" t="s">
        <v>463</v>
      </c>
      <c r="V123" s="237"/>
      <c r="W123" s="237" t="s">
        <v>464</v>
      </c>
      <c r="X123" s="238"/>
      <c r="Y123" s="237"/>
      <c r="Z123" s="255">
        <f ca="1">OFFSET('NSLT Health Risk'!J54,'Health Prem &amp; Reserve Risk'!B122-10,0)</f>
        <v>8.5000000000000006E-2</v>
      </c>
      <c r="AA123" s="237"/>
      <c r="AB123" s="237"/>
      <c r="AC123" s="255">
        <f ca="1">OFFSET('NSLT Health Risk'!L54,'Health Prem &amp; Reserve Risk'!B122-10,0)</f>
        <v>0.14000000000000001</v>
      </c>
      <c r="AD123" s="744"/>
      <c r="AE123" s="53"/>
      <c r="AF123" s="53"/>
    </row>
    <row r="124" spans="1:32" ht="6" customHeight="1" x14ac:dyDescent="0.25">
      <c r="A124" s="53"/>
      <c r="B124" s="106"/>
      <c r="C124" s="80"/>
      <c r="D124" s="80"/>
      <c r="E124" s="80"/>
      <c r="F124" s="256">
        <f ca="1">IF(OFFSET($Z$8,$B$122-10,0)=0,1,0)</f>
        <v>0</v>
      </c>
      <c r="G124" s="85"/>
      <c r="H124" s="85"/>
      <c r="I124" s="85"/>
      <c r="J124" s="85"/>
      <c r="K124" s="85"/>
      <c r="L124" s="85"/>
      <c r="M124" s="85"/>
      <c r="N124" s="85"/>
      <c r="O124" s="85"/>
      <c r="P124" s="85"/>
      <c r="Q124" s="85"/>
      <c r="R124" s="85"/>
      <c r="S124" s="85"/>
      <c r="T124" s="85"/>
      <c r="U124" s="85"/>
      <c r="V124" s="85"/>
      <c r="W124" s="85"/>
      <c r="X124" s="81"/>
      <c r="Y124" s="80"/>
      <c r="Z124" s="80"/>
      <c r="AA124" s="80"/>
      <c r="AB124" s="80"/>
      <c r="AC124" s="80"/>
      <c r="AD124" s="81"/>
      <c r="AE124" s="53"/>
      <c r="AF124" s="53"/>
    </row>
    <row r="125" spans="1:32" ht="12.75" customHeight="1" x14ac:dyDescent="0.25">
      <c r="A125" s="53"/>
      <c r="B125" s="257">
        <v>1</v>
      </c>
      <c r="C125" s="652"/>
      <c r="D125" s="80"/>
      <c r="E125" s="80"/>
      <c r="F125" s="256">
        <f ca="1">IF(B125&lt;=OFFSET($Z$8,B$122-10,0),0,1)</f>
        <v>0</v>
      </c>
      <c r="G125" s="624"/>
      <c r="H125" s="85"/>
      <c r="I125" s="624"/>
      <c r="J125" s="85"/>
      <c r="K125" s="624"/>
      <c r="L125" s="85"/>
      <c r="M125" s="624"/>
      <c r="N125" s="85"/>
      <c r="O125" s="624"/>
      <c r="P125" s="85"/>
      <c r="Q125" s="626">
        <f t="shared" ref="Q125:Q224" si="5">MAX(G125,I125)+K125+M125+0.3*O125</f>
        <v>0</v>
      </c>
      <c r="R125" s="85"/>
      <c r="S125" s="624"/>
      <c r="T125" s="260"/>
      <c r="U125" s="624"/>
      <c r="V125" s="85"/>
      <c r="W125" s="624"/>
      <c r="X125" s="81"/>
      <c r="Y125" s="80"/>
      <c r="Z125" s="737">
        <f ca="1">MAX(0%,IF(Q125&lt;&gt;0,MIN((S125-Q125)/Q125/'NSLT Health Risk'!$E$27,'Health Prem &amp; Reserve Risk'!$Z$123),'Health Prem &amp; Reserve Risk'!$Z$123))</f>
        <v>8.5000000000000006E-2</v>
      </c>
      <c r="AA125" s="80"/>
      <c r="AB125" s="80"/>
      <c r="AC125" s="737">
        <f ca="1">MAX(0%,IF(U125&lt;&gt;0,MIN((W125-U125)/U125/'NSLT Health Risk'!$E$27,'Health Prem &amp; Reserve Risk'!$AC$123),'Health Prem &amp; Reserve Risk'!$AC$123))</f>
        <v>0.14000000000000001</v>
      </c>
      <c r="AD125" s="81"/>
      <c r="AE125" s="53"/>
      <c r="AF125" s="53"/>
    </row>
    <row r="126" spans="1:32" ht="12.75" customHeight="1" x14ac:dyDescent="0.25">
      <c r="A126" s="53"/>
      <c r="B126" s="257">
        <v>2</v>
      </c>
      <c r="C126" s="652"/>
      <c r="D126" s="80"/>
      <c r="E126" s="80"/>
      <c r="F126" s="256">
        <f t="shared" ref="F126:F189" ca="1" si="6">IF(B126&lt;=OFFSET($Z$8,B$122-10,0),0,1)</f>
        <v>0</v>
      </c>
      <c r="G126" s="624"/>
      <c r="H126" s="85"/>
      <c r="I126" s="624"/>
      <c r="J126" s="85"/>
      <c r="K126" s="624"/>
      <c r="L126" s="85"/>
      <c r="M126" s="624"/>
      <c r="N126" s="85"/>
      <c r="O126" s="624"/>
      <c r="P126" s="85"/>
      <c r="Q126" s="626">
        <f t="shared" si="5"/>
        <v>0</v>
      </c>
      <c r="R126" s="85"/>
      <c r="S126" s="624"/>
      <c r="T126" s="260" t="str">
        <f t="shared" ref="T126:T224" si="7">IF(Q126&gt;0,IF(S126&lt;&gt;0,"","CAP MUST NOT BE 0"),"")</f>
        <v/>
      </c>
      <c r="U126" s="624"/>
      <c r="V126" s="85"/>
      <c r="W126" s="624"/>
      <c r="X126" s="81"/>
      <c r="Y126" s="80"/>
      <c r="Z126" s="737">
        <f ca="1">MAX(0%,IF(Q126&lt;&gt;0,MIN((S126-Q126)/Q126/'NSLT Health Risk'!$E$27,'Health Prem &amp; Reserve Risk'!$Z$123),'Health Prem &amp; Reserve Risk'!$Z$123))</f>
        <v>8.5000000000000006E-2</v>
      </c>
      <c r="AA126" s="80"/>
      <c r="AB126" s="80"/>
      <c r="AC126" s="737">
        <f ca="1">MAX(0%,IF(U126&lt;&gt;0,MIN((W126-U126)/U126/'NSLT Health Risk'!$E$27,'Health Prem &amp; Reserve Risk'!$AC$123),'Health Prem &amp; Reserve Risk'!$AC$123))</f>
        <v>0.14000000000000001</v>
      </c>
      <c r="AD126" s="81"/>
      <c r="AE126" s="53"/>
      <c r="AF126" s="53"/>
    </row>
    <row r="127" spans="1:32" ht="12.75" customHeight="1" x14ac:dyDescent="0.25">
      <c r="A127" s="53"/>
      <c r="B127" s="257">
        <v>3</v>
      </c>
      <c r="C127" s="652"/>
      <c r="D127" s="80"/>
      <c r="E127" s="80"/>
      <c r="F127" s="256">
        <f t="shared" ca="1" si="6"/>
        <v>0</v>
      </c>
      <c r="G127" s="624"/>
      <c r="H127" s="85"/>
      <c r="I127" s="624"/>
      <c r="J127" s="85"/>
      <c r="K127" s="624"/>
      <c r="L127" s="85"/>
      <c r="M127" s="624"/>
      <c r="N127" s="85"/>
      <c r="O127" s="624"/>
      <c r="P127" s="85"/>
      <c r="Q127" s="626">
        <f t="shared" si="5"/>
        <v>0</v>
      </c>
      <c r="R127" s="85"/>
      <c r="S127" s="624"/>
      <c r="T127" s="260" t="str">
        <f t="shared" si="7"/>
        <v/>
      </c>
      <c r="U127" s="624"/>
      <c r="V127" s="85"/>
      <c r="W127" s="624"/>
      <c r="X127" s="81"/>
      <c r="Y127" s="80"/>
      <c r="Z127" s="737">
        <f ca="1">MAX(0%,IF(Q127&lt;&gt;0,MIN((S127-Q127)/Q127/'NSLT Health Risk'!$E$27,'Health Prem &amp; Reserve Risk'!$Z$123),'Health Prem &amp; Reserve Risk'!$Z$123))</f>
        <v>8.5000000000000006E-2</v>
      </c>
      <c r="AA127" s="80"/>
      <c r="AB127" s="80"/>
      <c r="AC127" s="737">
        <f ca="1">MAX(0%,IF(U127&lt;&gt;0,MIN((W127-U127)/U127/'NSLT Health Risk'!$E$27,'Health Prem &amp; Reserve Risk'!$AC$123),'Health Prem &amp; Reserve Risk'!$AC$123))</f>
        <v>0.14000000000000001</v>
      </c>
      <c r="AD127" s="81"/>
      <c r="AE127" s="53"/>
      <c r="AF127" s="53"/>
    </row>
    <row r="128" spans="1:32" ht="12.75" customHeight="1" x14ac:dyDescent="0.25">
      <c r="A128" s="53"/>
      <c r="B128" s="257">
        <v>4</v>
      </c>
      <c r="C128" s="652"/>
      <c r="D128" s="80"/>
      <c r="E128" s="80"/>
      <c r="F128" s="256">
        <f t="shared" ca="1" si="6"/>
        <v>0</v>
      </c>
      <c r="G128" s="624"/>
      <c r="H128" s="85"/>
      <c r="I128" s="624"/>
      <c r="J128" s="85"/>
      <c r="K128" s="624"/>
      <c r="L128" s="85"/>
      <c r="M128" s="624"/>
      <c r="N128" s="85"/>
      <c r="O128" s="624"/>
      <c r="P128" s="85"/>
      <c r="Q128" s="626">
        <f t="shared" si="5"/>
        <v>0</v>
      </c>
      <c r="R128" s="85"/>
      <c r="S128" s="624"/>
      <c r="T128" s="260" t="str">
        <f t="shared" si="7"/>
        <v/>
      </c>
      <c r="U128" s="624"/>
      <c r="V128" s="85"/>
      <c r="W128" s="624"/>
      <c r="X128" s="81"/>
      <c r="Y128" s="80"/>
      <c r="Z128" s="737">
        <f ca="1">MAX(0%,IF(Q128&lt;&gt;0,MIN((S128-Q128)/Q128/'NSLT Health Risk'!$E$27,'Health Prem &amp; Reserve Risk'!$Z$123),'Health Prem &amp; Reserve Risk'!$Z$123))</f>
        <v>8.5000000000000006E-2</v>
      </c>
      <c r="AA128" s="80"/>
      <c r="AB128" s="80"/>
      <c r="AC128" s="737">
        <f ca="1">MAX(0%,IF(U128&lt;&gt;0,MIN((W128-U128)/U128/'NSLT Health Risk'!$E$27,'Health Prem &amp; Reserve Risk'!$AC$123),'Health Prem &amp; Reserve Risk'!$AC$123))</f>
        <v>0.14000000000000001</v>
      </c>
      <c r="AD128" s="81"/>
      <c r="AE128" s="53"/>
      <c r="AF128" s="53"/>
    </row>
    <row r="129" spans="1:32" ht="12.75" customHeight="1" x14ac:dyDescent="0.25">
      <c r="A129" s="53"/>
      <c r="B129" s="257">
        <v>5</v>
      </c>
      <c r="C129" s="652"/>
      <c r="D129" s="80"/>
      <c r="E129" s="80"/>
      <c r="F129" s="256">
        <f t="shared" ca="1" si="6"/>
        <v>0</v>
      </c>
      <c r="G129" s="624"/>
      <c r="H129" s="85"/>
      <c r="I129" s="624"/>
      <c r="J129" s="85"/>
      <c r="K129" s="624"/>
      <c r="L129" s="85"/>
      <c r="M129" s="624"/>
      <c r="N129" s="85"/>
      <c r="O129" s="624"/>
      <c r="P129" s="85"/>
      <c r="Q129" s="626">
        <f t="shared" si="5"/>
        <v>0</v>
      </c>
      <c r="R129" s="85"/>
      <c r="S129" s="624"/>
      <c r="T129" s="260" t="str">
        <f t="shared" si="7"/>
        <v/>
      </c>
      <c r="U129" s="624"/>
      <c r="V129" s="85"/>
      <c r="W129" s="624"/>
      <c r="X129" s="81"/>
      <c r="Y129" s="80"/>
      <c r="Z129" s="737">
        <f ca="1">MAX(0%,IF(Q129&lt;&gt;0,MIN((S129-Q129)/Q129/'NSLT Health Risk'!$E$27,'Health Prem &amp; Reserve Risk'!$Z$123),'Health Prem &amp; Reserve Risk'!$Z$123))</f>
        <v>8.5000000000000006E-2</v>
      </c>
      <c r="AA129" s="80"/>
      <c r="AB129" s="80"/>
      <c r="AC129" s="737">
        <f ca="1">MAX(0%,IF(U129&lt;&gt;0,MIN((W129-U129)/U129/'NSLT Health Risk'!$E$27,'Health Prem &amp; Reserve Risk'!$AC$123),'Health Prem &amp; Reserve Risk'!$AC$123))</f>
        <v>0.14000000000000001</v>
      </c>
      <c r="AD129" s="81"/>
      <c r="AE129" s="53"/>
      <c r="AF129" s="53"/>
    </row>
    <row r="130" spans="1:32" ht="12.75" customHeight="1" x14ac:dyDescent="0.25">
      <c r="A130" s="53"/>
      <c r="B130" s="257">
        <v>6</v>
      </c>
      <c r="C130" s="652"/>
      <c r="D130" s="80"/>
      <c r="E130" s="80"/>
      <c r="F130" s="256">
        <f t="shared" ca="1" si="6"/>
        <v>0</v>
      </c>
      <c r="G130" s="624"/>
      <c r="H130" s="85"/>
      <c r="I130" s="624"/>
      <c r="J130" s="85"/>
      <c r="K130" s="624"/>
      <c r="L130" s="85"/>
      <c r="M130" s="624"/>
      <c r="N130" s="85"/>
      <c r="O130" s="624"/>
      <c r="P130" s="85"/>
      <c r="Q130" s="626">
        <f t="shared" si="5"/>
        <v>0</v>
      </c>
      <c r="R130" s="85"/>
      <c r="S130" s="624"/>
      <c r="T130" s="260" t="str">
        <f t="shared" si="7"/>
        <v/>
      </c>
      <c r="U130" s="624"/>
      <c r="V130" s="85"/>
      <c r="W130" s="624"/>
      <c r="X130" s="81"/>
      <c r="Y130" s="80"/>
      <c r="Z130" s="737">
        <f ca="1">MAX(0%,IF(Q130&lt;&gt;0,MIN((S130-Q130)/Q130/'NSLT Health Risk'!$E$27,'Health Prem &amp; Reserve Risk'!$Z$123),'Health Prem &amp; Reserve Risk'!$Z$123))</f>
        <v>8.5000000000000006E-2</v>
      </c>
      <c r="AA130" s="80"/>
      <c r="AB130" s="80"/>
      <c r="AC130" s="737">
        <f ca="1">MAX(0%,IF(U130&lt;&gt;0,MIN((W130-U130)/U130/'NSLT Health Risk'!$E$27,'Health Prem &amp; Reserve Risk'!$AC$123),'Health Prem &amp; Reserve Risk'!$AC$123))</f>
        <v>0.14000000000000001</v>
      </c>
      <c r="AD130" s="81"/>
      <c r="AE130" s="53"/>
      <c r="AF130" s="53"/>
    </row>
    <row r="131" spans="1:32" ht="12.75" customHeight="1" x14ac:dyDescent="0.25">
      <c r="A131" s="53"/>
      <c r="B131" s="257">
        <v>7</v>
      </c>
      <c r="C131" s="652"/>
      <c r="D131" s="80"/>
      <c r="E131" s="80"/>
      <c r="F131" s="256">
        <f t="shared" ca="1" si="6"/>
        <v>0</v>
      </c>
      <c r="G131" s="624"/>
      <c r="H131" s="85"/>
      <c r="I131" s="624"/>
      <c r="J131" s="85"/>
      <c r="K131" s="624"/>
      <c r="L131" s="85"/>
      <c r="M131" s="624"/>
      <c r="N131" s="85"/>
      <c r="O131" s="624"/>
      <c r="P131" s="85"/>
      <c r="Q131" s="626">
        <f t="shared" si="5"/>
        <v>0</v>
      </c>
      <c r="R131" s="85"/>
      <c r="S131" s="624"/>
      <c r="T131" s="260" t="str">
        <f t="shared" si="7"/>
        <v/>
      </c>
      <c r="U131" s="624"/>
      <c r="V131" s="85"/>
      <c r="W131" s="624"/>
      <c r="X131" s="81"/>
      <c r="Y131" s="80"/>
      <c r="Z131" s="737">
        <f ca="1">MAX(0%,IF(Q131&lt;&gt;0,MIN((S131-Q131)/Q131/'NSLT Health Risk'!$E$27,'Health Prem &amp; Reserve Risk'!$Z$123),'Health Prem &amp; Reserve Risk'!$Z$123))</f>
        <v>8.5000000000000006E-2</v>
      </c>
      <c r="AA131" s="80"/>
      <c r="AB131" s="80"/>
      <c r="AC131" s="737">
        <f ca="1">MAX(0%,IF(U131&lt;&gt;0,MIN((W131-U131)/U131/'NSLT Health Risk'!$E$27,'Health Prem &amp; Reserve Risk'!$AC$123),'Health Prem &amp; Reserve Risk'!$AC$123))</f>
        <v>0.14000000000000001</v>
      </c>
      <c r="AD131" s="81"/>
      <c r="AE131" s="53"/>
      <c r="AF131" s="53"/>
    </row>
    <row r="132" spans="1:32" ht="12.75" customHeight="1" x14ac:dyDescent="0.25">
      <c r="A132" s="53"/>
      <c r="B132" s="257">
        <v>8</v>
      </c>
      <c r="C132" s="652"/>
      <c r="D132" s="80"/>
      <c r="E132" s="80"/>
      <c r="F132" s="256">
        <f t="shared" ca="1" si="6"/>
        <v>0</v>
      </c>
      <c r="G132" s="624"/>
      <c r="H132" s="85"/>
      <c r="I132" s="624"/>
      <c r="J132" s="85"/>
      <c r="K132" s="624"/>
      <c r="L132" s="85"/>
      <c r="M132" s="624"/>
      <c r="N132" s="85"/>
      <c r="O132" s="624"/>
      <c r="P132" s="85"/>
      <c r="Q132" s="626">
        <f t="shared" si="5"/>
        <v>0</v>
      </c>
      <c r="R132" s="85"/>
      <c r="S132" s="624"/>
      <c r="T132" s="260" t="str">
        <f t="shared" si="7"/>
        <v/>
      </c>
      <c r="U132" s="624"/>
      <c r="V132" s="85"/>
      <c r="W132" s="624"/>
      <c r="X132" s="81"/>
      <c r="Y132" s="80"/>
      <c r="Z132" s="737">
        <f ca="1">MAX(0%,IF(Q132&lt;&gt;0,MIN((S132-Q132)/Q132/'NSLT Health Risk'!$E$27,'Health Prem &amp; Reserve Risk'!$Z$123),'Health Prem &amp; Reserve Risk'!$Z$123))</f>
        <v>8.5000000000000006E-2</v>
      </c>
      <c r="AA132" s="80"/>
      <c r="AB132" s="80"/>
      <c r="AC132" s="737">
        <f ca="1">MAX(0%,IF(U132&lt;&gt;0,MIN((W132-U132)/U132/'NSLT Health Risk'!$E$27,'Health Prem &amp; Reserve Risk'!$AC$123),'Health Prem &amp; Reserve Risk'!$AC$123))</f>
        <v>0.14000000000000001</v>
      </c>
      <c r="AD132" s="81"/>
      <c r="AE132" s="53"/>
      <c r="AF132" s="53"/>
    </row>
    <row r="133" spans="1:32" ht="12.75" customHeight="1" x14ac:dyDescent="0.25">
      <c r="A133" s="53"/>
      <c r="B133" s="257">
        <v>9</v>
      </c>
      <c r="C133" s="652"/>
      <c r="D133" s="80"/>
      <c r="E133" s="80"/>
      <c r="F133" s="256">
        <f t="shared" ca="1" si="6"/>
        <v>0</v>
      </c>
      <c r="G133" s="624"/>
      <c r="H133" s="85"/>
      <c r="I133" s="624"/>
      <c r="J133" s="85"/>
      <c r="K133" s="624"/>
      <c r="L133" s="85"/>
      <c r="M133" s="624"/>
      <c r="N133" s="85"/>
      <c r="O133" s="624"/>
      <c r="P133" s="85"/>
      <c r="Q133" s="626">
        <f t="shared" si="5"/>
        <v>0</v>
      </c>
      <c r="R133" s="85"/>
      <c r="S133" s="624"/>
      <c r="T133" s="260" t="str">
        <f t="shared" si="7"/>
        <v/>
      </c>
      <c r="U133" s="624"/>
      <c r="V133" s="85"/>
      <c r="W133" s="624"/>
      <c r="X133" s="81"/>
      <c r="Y133" s="80"/>
      <c r="Z133" s="737">
        <f ca="1">MAX(0%,IF(Q133&lt;&gt;0,MIN((S133-Q133)/Q133/'NSLT Health Risk'!$E$27,'Health Prem &amp; Reserve Risk'!$Z$123),'Health Prem &amp; Reserve Risk'!$Z$123))</f>
        <v>8.5000000000000006E-2</v>
      </c>
      <c r="AA133" s="80"/>
      <c r="AB133" s="80"/>
      <c r="AC133" s="737">
        <f ca="1">MAX(0%,IF(U133&lt;&gt;0,MIN((W133-U133)/U133/'NSLT Health Risk'!$E$27,'Health Prem &amp; Reserve Risk'!$AC$123),'Health Prem &amp; Reserve Risk'!$AC$123))</f>
        <v>0.14000000000000001</v>
      </c>
      <c r="AD133" s="81"/>
      <c r="AE133" s="53"/>
      <c r="AF133" s="53"/>
    </row>
    <row r="134" spans="1:32" ht="12.75" customHeight="1" x14ac:dyDescent="0.25">
      <c r="A134" s="53"/>
      <c r="B134" s="257">
        <v>10</v>
      </c>
      <c r="C134" s="652"/>
      <c r="D134" s="80"/>
      <c r="E134" s="80"/>
      <c r="F134" s="256">
        <f t="shared" ca="1" si="6"/>
        <v>0</v>
      </c>
      <c r="G134" s="624"/>
      <c r="H134" s="85"/>
      <c r="I134" s="624"/>
      <c r="J134" s="85"/>
      <c r="K134" s="624"/>
      <c r="L134" s="85"/>
      <c r="M134" s="624"/>
      <c r="N134" s="85"/>
      <c r="O134" s="624"/>
      <c r="P134" s="85"/>
      <c r="Q134" s="626">
        <f t="shared" si="5"/>
        <v>0</v>
      </c>
      <c r="R134" s="85"/>
      <c r="S134" s="624"/>
      <c r="T134" s="260" t="str">
        <f t="shared" si="7"/>
        <v/>
      </c>
      <c r="U134" s="624"/>
      <c r="V134" s="85"/>
      <c r="W134" s="624"/>
      <c r="X134" s="81"/>
      <c r="Y134" s="80"/>
      <c r="Z134" s="737">
        <f ca="1">MAX(0%,IF(Q134&lt;&gt;0,MIN((S134-Q134)/Q134/'NSLT Health Risk'!$E$27,'Health Prem &amp; Reserve Risk'!$Z$123),'Health Prem &amp; Reserve Risk'!$Z$123))</f>
        <v>8.5000000000000006E-2</v>
      </c>
      <c r="AA134" s="80"/>
      <c r="AB134" s="80"/>
      <c r="AC134" s="737">
        <f ca="1">MAX(0%,IF(U134&lt;&gt;0,MIN((W134-U134)/U134/'NSLT Health Risk'!$E$27,'Health Prem &amp; Reserve Risk'!$AC$123),'Health Prem &amp; Reserve Risk'!$AC$123))</f>
        <v>0.14000000000000001</v>
      </c>
      <c r="AD134" s="81"/>
      <c r="AE134" s="53"/>
      <c r="AF134" s="53"/>
    </row>
    <row r="135" spans="1:32" ht="12.75" customHeight="1" x14ac:dyDescent="0.25">
      <c r="A135" s="53"/>
      <c r="B135" s="257">
        <v>11</v>
      </c>
      <c r="C135" s="652"/>
      <c r="D135" s="80"/>
      <c r="E135" s="80"/>
      <c r="F135" s="256">
        <f t="shared" ca="1" si="6"/>
        <v>0</v>
      </c>
      <c r="G135" s="624"/>
      <c r="H135" s="85"/>
      <c r="I135" s="624"/>
      <c r="J135" s="85"/>
      <c r="K135" s="624"/>
      <c r="L135" s="85"/>
      <c r="M135" s="624"/>
      <c r="N135" s="85"/>
      <c r="O135" s="624"/>
      <c r="P135" s="85"/>
      <c r="Q135" s="626">
        <f t="shared" si="5"/>
        <v>0</v>
      </c>
      <c r="R135" s="85"/>
      <c r="S135" s="624"/>
      <c r="T135" s="260" t="str">
        <f t="shared" si="7"/>
        <v/>
      </c>
      <c r="U135" s="624"/>
      <c r="V135" s="85"/>
      <c r="W135" s="624"/>
      <c r="X135" s="81"/>
      <c r="Y135" s="80"/>
      <c r="Z135" s="737">
        <f ca="1">MAX(0%,IF(Q135&lt;&gt;0,MIN((S135-Q135)/Q135/'NSLT Health Risk'!$E$27,'Health Prem &amp; Reserve Risk'!$Z$123),'Health Prem &amp; Reserve Risk'!$Z$123))</f>
        <v>8.5000000000000006E-2</v>
      </c>
      <c r="AA135" s="80"/>
      <c r="AB135" s="80"/>
      <c r="AC135" s="737">
        <f ca="1">MAX(0%,IF(U135&lt;&gt;0,MIN((W135-U135)/U135/'NSLT Health Risk'!$E$27,'Health Prem &amp; Reserve Risk'!$AC$123),'Health Prem &amp; Reserve Risk'!$AC$123))</f>
        <v>0.14000000000000001</v>
      </c>
      <c r="AD135" s="81"/>
      <c r="AE135" s="53"/>
      <c r="AF135" s="53"/>
    </row>
    <row r="136" spans="1:32" ht="12.75" customHeight="1" x14ac:dyDescent="0.25">
      <c r="A136" s="53"/>
      <c r="B136" s="257">
        <v>12</v>
      </c>
      <c r="C136" s="652"/>
      <c r="D136" s="80"/>
      <c r="E136" s="80"/>
      <c r="F136" s="256">
        <f t="shared" ca="1" si="6"/>
        <v>0</v>
      </c>
      <c r="G136" s="624"/>
      <c r="H136" s="85"/>
      <c r="I136" s="624"/>
      <c r="J136" s="85"/>
      <c r="K136" s="624"/>
      <c r="L136" s="85"/>
      <c r="M136" s="624"/>
      <c r="N136" s="85"/>
      <c r="O136" s="624"/>
      <c r="P136" s="85"/>
      <c r="Q136" s="626">
        <f t="shared" si="5"/>
        <v>0</v>
      </c>
      <c r="R136" s="85"/>
      <c r="S136" s="624"/>
      <c r="T136" s="260" t="str">
        <f t="shared" si="7"/>
        <v/>
      </c>
      <c r="U136" s="624"/>
      <c r="V136" s="85"/>
      <c r="W136" s="624"/>
      <c r="X136" s="81"/>
      <c r="Y136" s="80"/>
      <c r="Z136" s="737">
        <f ca="1">MAX(0%,IF(Q136&lt;&gt;0,MIN((S136-Q136)/Q136/'NSLT Health Risk'!$E$27,'Health Prem &amp; Reserve Risk'!$Z$123),'Health Prem &amp; Reserve Risk'!$Z$123))</f>
        <v>8.5000000000000006E-2</v>
      </c>
      <c r="AA136" s="80"/>
      <c r="AB136" s="80"/>
      <c r="AC136" s="737">
        <f ca="1">MAX(0%,IF(U136&lt;&gt;0,MIN((W136-U136)/U136/'NSLT Health Risk'!$E$27,'Health Prem &amp; Reserve Risk'!$AC$123),'Health Prem &amp; Reserve Risk'!$AC$123))</f>
        <v>0.14000000000000001</v>
      </c>
      <c r="AD136" s="81"/>
      <c r="AE136" s="53"/>
      <c r="AF136" s="53"/>
    </row>
    <row r="137" spans="1:32" ht="12.75" customHeight="1" x14ac:dyDescent="0.25">
      <c r="A137" s="53"/>
      <c r="B137" s="257">
        <v>13</v>
      </c>
      <c r="C137" s="652"/>
      <c r="D137" s="80"/>
      <c r="E137" s="80"/>
      <c r="F137" s="256">
        <f t="shared" ca="1" si="6"/>
        <v>0</v>
      </c>
      <c r="G137" s="624"/>
      <c r="H137" s="85"/>
      <c r="I137" s="624"/>
      <c r="J137" s="85"/>
      <c r="K137" s="624"/>
      <c r="L137" s="85"/>
      <c r="M137" s="624"/>
      <c r="N137" s="85"/>
      <c r="O137" s="624"/>
      <c r="P137" s="85"/>
      <c r="Q137" s="626">
        <f t="shared" si="5"/>
        <v>0</v>
      </c>
      <c r="R137" s="85"/>
      <c r="S137" s="624"/>
      <c r="T137" s="260" t="str">
        <f t="shared" si="7"/>
        <v/>
      </c>
      <c r="U137" s="624"/>
      <c r="V137" s="85"/>
      <c r="W137" s="624"/>
      <c r="X137" s="81"/>
      <c r="Y137" s="80"/>
      <c r="Z137" s="737">
        <f ca="1">MAX(0%,IF(Q137&lt;&gt;0,MIN((S137-Q137)/Q137/'NSLT Health Risk'!$E$27,'Health Prem &amp; Reserve Risk'!$Z$123),'Health Prem &amp; Reserve Risk'!$Z$123))</f>
        <v>8.5000000000000006E-2</v>
      </c>
      <c r="AA137" s="80"/>
      <c r="AB137" s="80"/>
      <c r="AC137" s="737">
        <f ca="1">MAX(0%,IF(U137&lt;&gt;0,MIN((W137-U137)/U137/'NSLT Health Risk'!$E$27,'Health Prem &amp; Reserve Risk'!$AC$123),'Health Prem &amp; Reserve Risk'!$AC$123))</f>
        <v>0.14000000000000001</v>
      </c>
      <c r="AD137" s="81"/>
      <c r="AE137" s="53"/>
      <c r="AF137" s="53"/>
    </row>
    <row r="138" spans="1:32" ht="12.75" customHeight="1" x14ac:dyDescent="0.25">
      <c r="A138" s="53"/>
      <c r="B138" s="257">
        <v>14</v>
      </c>
      <c r="C138" s="652"/>
      <c r="D138" s="80"/>
      <c r="E138" s="80"/>
      <c r="F138" s="256">
        <f t="shared" ca="1" si="6"/>
        <v>0</v>
      </c>
      <c r="G138" s="624"/>
      <c r="H138" s="85"/>
      <c r="I138" s="624"/>
      <c r="J138" s="85"/>
      <c r="K138" s="624"/>
      <c r="L138" s="85"/>
      <c r="M138" s="624"/>
      <c r="N138" s="85"/>
      <c r="O138" s="624"/>
      <c r="P138" s="85"/>
      <c r="Q138" s="626">
        <f t="shared" si="5"/>
        <v>0</v>
      </c>
      <c r="R138" s="85"/>
      <c r="S138" s="624"/>
      <c r="T138" s="260" t="str">
        <f t="shared" si="7"/>
        <v/>
      </c>
      <c r="U138" s="624"/>
      <c r="V138" s="85"/>
      <c r="W138" s="624"/>
      <c r="X138" s="81"/>
      <c r="Y138" s="80"/>
      <c r="Z138" s="737">
        <f ca="1">MAX(0%,IF(Q138&lt;&gt;0,MIN((S138-Q138)/Q138/'NSLT Health Risk'!$E$27,'Health Prem &amp; Reserve Risk'!$Z$123),'Health Prem &amp; Reserve Risk'!$Z$123))</f>
        <v>8.5000000000000006E-2</v>
      </c>
      <c r="AA138" s="80"/>
      <c r="AB138" s="80"/>
      <c r="AC138" s="737">
        <f ca="1">MAX(0%,IF(U138&lt;&gt;0,MIN((W138-U138)/U138/'NSLT Health Risk'!$E$27,'Health Prem &amp; Reserve Risk'!$AC$123),'Health Prem &amp; Reserve Risk'!$AC$123))</f>
        <v>0.14000000000000001</v>
      </c>
      <c r="AD138" s="81"/>
      <c r="AE138" s="53"/>
      <c r="AF138" s="53"/>
    </row>
    <row r="139" spans="1:32" ht="12.75" customHeight="1" x14ac:dyDescent="0.25">
      <c r="A139" s="53"/>
      <c r="B139" s="257">
        <v>15</v>
      </c>
      <c r="C139" s="652"/>
      <c r="D139" s="80"/>
      <c r="E139" s="80"/>
      <c r="F139" s="256">
        <f t="shared" ca="1" si="6"/>
        <v>0</v>
      </c>
      <c r="G139" s="624"/>
      <c r="H139" s="85"/>
      <c r="I139" s="624"/>
      <c r="J139" s="85"/>
      <c r="K139" s="624"/>
      <c r="L139" s="85"/>
      <c r="M139" s="624"/>
      <c r="N139" s="85"/>
      <c r="O139" s="624"/>
      <c r="P139" s="85"/>
      <c r="Q139" s="626">
        <f t="shared" si="5"/>
        <v>0</v>
      </c>
      <c r="R139" s="85"/>
      <c r="S139" s="624"/>
      <c r="T139" s="260" t="str">
        <f t="shared" si="7"/>
        <v/>
      </c>
      <c r="U139" s="624"/>
      <c r="V139" s="85"/>
      <c r="W139" s="624"/>
      <c r="X139" s="81"/>
      <c r="Y139" s="80"/>
      <c r="Z139" s="737">
        <f ca="1">MAX(0%,IF(Q139&lt;&gt;0,MIN((S139-Q139)/Q139/'NSLT Health Risk'!$E$27,'Health Prem &amp; Reserve Risk'!$Z$123),'Health Prem &amp; Reserve Risk'!$Z$123))</f>
        <v>8.5000000000000006E-2</v>
      </c>
      <c r="AA139" s="80"/>
      <c r="AB139" s="80"/>
      <c r="AC139" s="737">
        <f ca="1">MAX(0%,IF(U139&lt;&gt;0,MIN((W139-U139)/U139/'NSLT Health Risk'!$E$27,'Health Prem &amp; Reserve Risk'!$AC$123),'Health Prem &amp; Reserve Risk'!$AC$123))</f>
        <v>0.14000000000000001</v>
      </c>
      <c r="AD139" s="81"/>
      <c r="AE139" s="53"/>
      <c r="AF139" s="53"/>
    </row>
    <row r="140" spans="1:32" ht="12.75" customHeight="1" x14ac:dyDescent="0.25">
      <c r="A140" s="53"/>
      <c r="B140" s="257">
        <v>16</v>
      </c>
      <c r="C140" s="652"/>
      <c r="D140" s="80"/>
      <c r="E140" s="80"/>
      <c r="F140" s="256">
        <f t="shared" ca="1" si="6"/>
        <v>0</v>
      </c>
      <c r="G140" s="624"/>
      <c r="H140" s="85"/>
      <c r="I140" s="624"/>
      <c r="J140" s="85"/>
      <c r="K140" s="624"/>
      <c r="L140" s="85"/>
      <c r="M140" s="624"/>
      <c r="N140" s="85"/>
      <c r="O140" s="624"/>
      <c r="P140" s="85"/>
      <c r="Q140" s="626">
        <f t="shared" si="5"/>
        <v>0</v>
      </c>
      <c r="R140" s="85"/>
      <c r="S140" s="624"/>
      <c r="T140" s="260" t="str">
        <f t="shared" si="7"/>
        <v/>
      </c>
      <c r="U140" s="624"/>
      <c r="V140" s="85"/>
      <c r="W140" s="624"/>
      <c r="X140" s="81"/>
      <c r="Y140" s="80"/>
      <c r="Z140" s="737">
        <f ca="1">MAX(0%,IF(Q140&lt;&gt;0,MIN((S140-Q140)/Q140/'NSLT Health Risk'!$E$27,'Health Prem &amp; Reserve Risk'!$Z$123),'Health Prem &amp; Reserve Risk'!$Z$123))</f>
        <v>8.5000000000000006E-2</v>
      </c>
      <c r="AA140" s="80"/>
      <c r="AB140" s="80"/>
      <c r="AC140" s="737">
        <f ca="1">MAX(0%,IF(U140&lt;&gt;0,MIN((W140-U140)/U140/'NSLT Health Risk'!$E$27,'Health Prem &amp; Reserve Risk'!$AC$123),'Health Prem &amp; Reserve Risk'!$AC$123))</f>
        <v>0.14000000000000001</v>
      </c>
      <c r="AD140" s="81"/>
      <c r="AE140" s="53"/>
      <c r="AF140" s="53"/>
    </row>
    <row r="141" spans="1:32" ht="12.75" customHeight="1" x14ac:dyDescent="0.25">
      <c r="A141" s="53"/>
      <c r="B141" s="257">
        <v>17</v>
      </c>
      <c r="C141" s="652"/>
      <c r="D141" s="80"/>
      <c r="E141" s="80"/>
      <c r="F141" s="256">
        <f t="shared" ca="1" si="6"/>
        <v>0</v>
      </c>
      <c r="G141" s="624"/>
      <c r="H141" s="85"/>
      <c r="I141" s="624"/>
      <c r="J141" s="85"/>
      <c r="K141" s="624"/>
      <c r="L141" s="85"/>
      <c r="M141" s="624"/>
      <c r="N141" s="85"/>
      <c r="O141" s="624"/>
      <c r="P141" s="85"/>
      <c r="Q141" s="626">
        <f t="shared" si="5"/>
        <v>0</v>
      </c>
      <c r="R141" s="85"/>
      <c r="S141" s="624"/>
      <c r="T141" s="260" t="str">
        <f t="shared" si="7"/>
        <v/>
      </c>
      <c r="U141" s="624"/>
      <c r="V141" s="85"/>
      <c r="W141" s="624"/>
      <c r="X141" s="81"/>
      <c r="Y141" s="80"/>
      <c r="Z141" s="737">
        <f ca="1">MAX(0%,IF(Q141&lt;&gt;0,MIN((S141-Q141)/Q141/'NSLT Health Risk'!$E$27,'Health Prem &amp; Reserve Risk'!$Z$123),'Health Prem &amp; Reserve Risk'!$Z$123))</f>
        <v>8.5000000000000006E-2</v>
      </c>
      <c r="AA141" s="80"/>
      <c r="AB141" s="80"/>
      <c r="AC141" s="737">
        <f ca="1">MAX(0%,IF(U141&lt;&gt;0,MIN((W141-U141)/U141/'NSLT Health Risk'!$E$27,'Health Prem &amp; Reserve Risk'!$AC$123),'Health Prem &amp; Reserve Risk'!$AC$123))</f>
        <v>0.14000000000000001</v>
      </c>
      <c r="AD141" s="81"/>
      <c r="AE141" s="53"/>
      <c r="AF141" s="53"/>
    </row>
    <row r="142" spans="1:32" ht="12.75" customHeight="1" x14ac:dyDescent="0.25">
      <c r="A142" s="53"/>
      <c r="B142" s="257">
        <v>18</v>
      </c>
      <c r="C142" s="652"/>
      <c r="D142" s="80"/>
      <c r="E142" s="80"/>
      <c r="F142" s="256">
        <f t="shared" ca="1" si="6"/>
        <v>0</v>
      </c>
      <c r="G142" s="624"/>
      <c r="H142" s="85"/>
      <c r="I142" s="624"/>
      <c r="J142" s="85"/>
      <c r="K142" s="624"/>
      <c r="L142" s="85"/>
      <c r="M142" s="624"/>
      <c r="N142" s="85"/>
      <c r="O142" s="624"/>
      <c r="P142" s="85"/>
      <c r="Q142" s="626">
        <f t="shared" si="5"/>
        <v>0</v>
      </c>
      <c r="R142" s="85"/>
      <c r="S142" s="624"/>
      <c r="T142" s="260" t="str">
        <f t="shared" si="7"/>
        <v/>
      </c>
      <c r="U142" s="624"/>
      <c r="V142" s="85"/>
      <c r="W142" s="624"/>
      <c r="X142" s="81"/>
      <c r="Y142" s="80"/>
      <c r="Z142" s="737">
        <f ca="1">MAX(0%,IF(Q142&lt;&gt;0,MIN((S142-Q142)/Q142/'NSLT Health Risk'!$E$27,'Health Prem &amp; Reserve Risk'!$Z$123),'Health Prem &amp; Reserve Risk'!$Z$123))</f>
        <v>8.5000000000000006E-2</v>
      </c>
      <c r="AA142" s="80"/>
      <c r="AB142" s="80"/>
      <c r="AC142" s="737">
        <f ca="1">MAX(0%,IF(U142&lt;&gt;0,MIN((W142-U142)/U142/'NSLT Health Risk'!$E$27,'Health Prem &amp; Reserve Risk'!$AC$123),'Health Prem &amp; Reserve Risk'!$AC$123))</f>
        <v>0.14000000000000001</v>
      </c>
      <c r="AD142" s="81"/>
      <c r="AE142" s="53"/>
      <c r="AF142" s="53"/>
    </row>
    <row r="143" spans="1:32" ht="12.75" customHeight="1" x14ac:dyDescent="0.25">
      <c r="A143" s="53"/>
      <c r="B143" s="257">
        <v>19</v>
      </c>
      <c r="C143" s="652"/>
      <c r="D143" s="80"/>
      <c r="E143" s="80"/>
      <c r="F143" s="256">
        <f t="shared" ca="1" si="6"/>
        <v>0</v>
      </c>
      <c r="G143" s="624"/>
      <c r="H143" s="85"/>
      <c r="I143" s="624"/>
      <c r="J143" s="85"/>
      <c r="K143" s="624"/>
      <c r="L143" s="85"/>
      <c r="M143" s="624"/>
      <c r="N143" s="85"/>
      <c r="O143" s="624"/>
      <c r="P143" s="85"/>
      <c r="Q143" s="626">
        <f t="shared" si="5"/>
        <v>0</v>
      </c>
      <c r="R143" s="85"/>
      <c r="S143" s="624"/>
      <c r="T143" s="260" t="str">
        <f t="shared" si="7"/>
        <v/>
      </c>
      <c r="U143" s="624"/>
      <c r="V143" s="85"/>
      <c r="W143" s="624"/>
      <c r="X143" s="81"/>
      <c r="Y143" s="80"/>
      <c r="Z143" s="737">
        <f ca="1">MAX(0%,IF(Q143&lt;&gt;0,MIN((S143-Q143)/Q143/'NSLT Health Risk'!$E$27,'Health Prem &amp; Reserve Risk'!$Z$123),'Health Prem &amp; Reserve Risk'!$Z$123))</f>
        <v>8.5000000000000006E-2</v>
      </c>
      <c r="AA143" s="80"/>
      <c r="AB143" s="80"/>
      <c r="AC143" s="737">
        <f ca="1">MAX(0%,IF(U143&lt;&gt;0,MIN((W143-U143)/U143/'NSLT Health Risk'!$E$27,'Health Prem &amp; Reserve Risk'!$AC$123),'Health Prem &amp; Reserve Risk'!$AC$123))</f>
        <v>0.14000000000000001</v>
      </c>
      <c r="AD143" s="81"/>
      <c r="AE143" s="53"/>
      <c r="AF143" s="53"/>
    </row>
    <row r="144" spans="1:32" ht="12.75" customHeight="1" x14ac:dyDescent="0.25">
      <c r="A144" s="53"/>
      <c r="B144" s="257">
        <v>20</v>
      </c>
      <c r="C144" s="652"/>
      <c r="D144" s="80"/>
      <c r="E144" s="80"/>
      <c r="F144" s="256">
        <f t="shared" ca="1" si="6"/>
        <v>0</v>
      </c>
      <c r="G144" s="624"/>
      <c r="H144" s="85"/>
      <c r="I144" s="624"/>
      <c r="J144" s="85"/>
      <c r="K144" s="624"/>
      <c r="L144" s="85"/>
      <c r="M144" s="624"/>
      <c r="N144" s="85"/>
      <c r="O144" s="624"/>
      <c r="P144" s="85"/>
      <c r="Q144" s="626">
        <f t="shared" si="5"/>
        <v>0</v>
      </c>
      <c r="R144" s="85"/>
      <c r="S144" s="624"/>
      <c r="T144" s="260" t="str">
        <f t="shared" si="7"/>
        <v/>
      </c>
      <c r="U144" s="624"/>
      <c r="V144" s="85"/>
      <c r="W144" s="624"/>
      <c r="X144" s="81"/>
      <c r="Y144" s="80"/>
      <c r="Z144" s="737">
        <f ca="1">MAX(0%,IF(Q144&lt;&gt;0,MIN((S144-Q144)/Q144/'NSLT Health Risk'!$E$27,'Health Prem &amp; Reserve Risk'!$Z$123),'Health Prem &amp; Reserve Risk'!$Z$123))</f>
        <v>8.5000000000000006E-2</v>
      </c>
      <c r="AA144" s="80"/>
      <c r="AB144" s="80"/>
      <c r="AC144" s="737">
        <f ca="1">MAX(0%,IF(U144&lt;&gt;0,MIN((W144-U144)/U144/'NSLT Health Risk'!$E$27,'Health Prem &amp; Reserve Risk'!$AC$123),'Health Prem &amp; Reserve Risk'!$AC$123))</f>
        <v>0.14000000000000001</v>
      </c>
      <c r="AD144" s="81"/>
      <c r="AE144" s="53"/>
      <c r="AF144" s="53"/>
    </row>
    <row r="145" spans="1:32" ht="12.75" customHeight="1" x14ac:dyDescent="0.25">
      <c r="A145" s="53"/>
      <c r="B145" s="257">
        <v>21</v>
      </c>
      <c r="C145" s="652"/>
      <c r="D145" s="80"/>
      <c r="E145" s="80"/>
      <c r="F145" s="256">
        <f t="shared" ca="1" si="6"/>
        <v>0</v>
      </c>
      <c r="G145" s="624"/>
      <c r="H145" s="85"/>
      <c r="I145" s="624"/>
      <c r="J145" s="85"/>
      <c r="K145" s="624"/>
      <c r="L145" s="85"/>
      <c r="M145" s="624"/>
      <c r="N145" s="85"/>
      <c r="O145" s="624"/>
      <c r="P145" s="85"/>
      <c r="Q145" s="626">
        <f t="shared" si="5"/>
        <v>0</v>
      </c>
      <c r="R145" s="85"/>
      <c r="S145" s="624"/>
      <c r="T145" s="260" t="str">
        <f t="shared" si="7"/>
        <v/>
      </c>
      <c r="U145" s="624"/>
      <c r="V145" s="85"/>
      <c r="W145" s="624"/>
      <c r="X145" s="81"/>
      <c r="Y145" s="80"/>
      <c r="Z145" s="737">
        <f ca="1">MAX(0%,IF(Q145&lt;&gt;0,MIN((S145-Q145)/Q145/'NSLT Health Risk'!$E$27,'Health Prem &amp; Reserve Risk'!$Z$123),'Health Prem &amp; Reserve Risk'!$Z$123))</f>
        <v>8.5000000000000006E-2</v>
      </c>
      <c r="AA145" s="80"/>
      <c r="AB145" s="80"/>
      <c r="AC145" s="737">
        <f ca="1">MAX(0%,IF(U145&lt;&gt;0,MIN((W145-U145)/U145/'NSLT Health Risk'!$E$27,'Health Prem &amp; Reserve Risk'!$AC$123),'Health Prem &amp; Reserve Risk'!$AC$123))</f>
        <v>0.14000000000000001</v>
      </c>
      <c r="AD145" s="81"/>
      <c r="AE145" s="53"/>
      <c r="AF145" s="53"/>
    </row>
    <row r="146" spans="1:32" ht="12.75" customHeight="1" x14ac:dyDescent="0.25">
      <c r="A146" s="53"/>
      <c r="B146" s="257">
        <v>22</v>
      </c>
      <c r="C146" s="652"/>
      <c r="D146" s="80"/>
      <c r="E146" s="80"/>
      <c r="F146" s="256">
        <f t="shared" ca="1" si="6"/>
        <v>0</v>
      </c>
      <c r="G146" s="624"/>
      <c r="H146" s="85"/>
      <c r="I146" s="624"/>
      <c r="J146" s="85"/>
      <c r="K146" s="624"/>
      <c r="L146" s="85"/>
      <c r="M146" s="624"/>
      <c r="N146" s="85"/>
      <c r="O146" s="624"/>
      <c r="P146" s="85"/>
      <c r="Q146" s="626">
        <f t="shared" si="5"/>
        <v>0</v>
      </c>
      <c r="R146" s="85"/>
      <c r="S146" s="624"/>
      <c r="T146" s="260" t="str">
        <f t="shared" si="7"/>
        <v/>
      </c>
      <c r="U146" s="624"/>
      <c r="V146" s="85"/>
      <c r="W146" s="624"/>
      <c r="X146" s="81"/>
      <c r="Y146" s="80"/>
      <c r="Z146" s="737">
        <f ca="1">MAX(0%,IF(Q146&lt;&gt;0,MIN((S146-Q146)/Q146/'NSLT Health Risk'!$E$27,'Health Prem &amp; Reserve Risk'!$Z$123),'Health Prem &amp; Reserve Risk'!$Z$123))</f>
        <v>8.5000000000000006E-2</v>
      </c>
      <c r="AA146" s="80"/>
      <c r="AB146" s="80"/>
      <c r="AC146" s="737">
        <f ca="1">MAX(0%,IF(U146&lt;&gt;0,MIN((W146-U146)/U146/'NSLT Health Risk'!$E$27,'Health Prem &amp; Reserve Risk'!$AC$123),'Health Prem &amp; Reserve Risk'!$AC$123))</f>
        <v>0.14000000000000001</v>
      </c>
      <c r="AD146" s="81"/>
      <c r="AE146" s="53"/>
      <c r="AF146" s="53"/>
    </row>
    <row r="147" spans="1:32" ht="12.75" customHeight="1" x14ac:dyDescent="0.25">
      <c r="A147" s="53"/>
      <c r="B147" s="257">
        <v>23</v>
      </c>
      <c r="C147" s="652"/>
      <c r="D147" s="80"/>
      <c r="E147" s="80"/>
      <c r="F147" s="256">
        <f t="shared" ca="1" si="6"/>
        <v>0</v>
      </c>
      <c r="G147" s="624"/>
      <c r="H147" s="85"/>
      <c r="I147" s="624"/>
      <c r="J147" s="85"/>
      <c r="K147" s="624"/>
      <c r="L147" s="85"/>
      <c r="M147" s="624"/>
      <c r="N147" s="85"/>
      <c r="O147" s="624"/>
      <c r="P147" s="85"/>
      <c r="Q147" s="626">
        <f t="shared" si="5"/>
        <v>0</v>
      </c>
      <c r="R147" s="85"/>
      <c r="S147" s="624"/>
      <c r="T147" s="260" t="str">
        <f t="shared" si="7"/>
        <v/>
      </c>
      <c r="U147" s="624"/>
      <c r="V147" s="85"/>
      <c r="W147" s="624"/>
      <c r="X147" s="81"/>
      <c r="Y147" s="80"/>
      <c r="Z147" s="737">
        <f ca="1">MAX(0%,IF(Q147&lt;&gt;0,MIN((S147-Q147)/Q147/'NSLT Health Risk'!$E$27,'Health Prem &amp; Reserve Risk'!$Z$123),'Health Prem &amp; Reserve Risk'!$Z$123))</f>
        <v>8.5000000000000006E-2</v>
      </c>
      <c r="AA147" s="80"/>
      <c r="AB147" s="80"/>
      <c r="AC147" s="737">
        <f ca="1">MAX(0%,IF(U147&lt;&gt;0,MIN((W147-U147)/U147/'NSLT Health Risk'!$E$27,'Health Prem &amp; Reserve Risk'!$AC$123),'Health Prem &amp; Reserve Risk'!$AC$123))</f>
        <v>0.14000000000000001</v>
      </c>
      <c r="AD147" s="81"/>
      <c r="AE147" s="53"/>
      <c r="AF147" s="53"/>
    </row>
    <row r="148" spans="1:32" ht="12.75" customHeight="1" x14ac:dyDescent="0.25">
      <c r="A148" s="53"/>
      <c r="B148" s="257">
        <v>24</v>
      </c>
      <c r="C148" s="652"/>
      <c r="D148" s="80"/>
      <c r="E148" s="80"/>
      <c r="F148" s="256">
        <f t="shared" ca="1" si="6"/>
        <v>0</v>
      </c>
      <c r="G148" s="624"/>
      <c r="H148" s="85"/>
      <c r="I148" s="624"/>
      <c r="J148" s="85"/>
      <c r="K148" s="624"/>
      <c r="L148" s="85"/>
      <c r="M148" s="624"/>
      <c r="N148" s="85"/>
      <c r="O148" s="624"/>
      <c r="P148" s="85"/>
      <c r="Q148" s="626">
        <f t="shared" si="5"/>
        <v>0</v>
      </c>
      <c r="R148" s="85"/>
      <c r="S148" s="624"/>
      <c r="T148" s="260" t="str">
        <f t="shared" si="7"/>
        <v/>
      </c>
      <c r="U148" s="624"/>
      <c r="V148" s="85"/>
      <c r="W148" s="624"/>
      <c r="X148" s="81"/>
      <c r="Y148" s="80"/>
      <c r="Z148" s="737">
        <f ca="1">MAX(0%,IF(Q148&lt;&gt;0,MIN((S148-Q148)/Q148/'NSLT Health Risk'!$E$27,'Health Prem &amp; Reserve Risk'!$Z$123),'Health Prem &amp; Reserve Risk'!$Z$123))</f>
        <v>8.5000000000000006E-2</v>
      </c>
      <c r="AA148" s="80"/>
      <c r="AB148" s="80"/>
      <c r="AC148" s="737">
        <f ca="1">MAX(0%,IF(U148&lt;&gt;0,MIN((W148-U148)/U148/'NSLT Health Risk'!$E$27,'Health Prem &amp; Reserve Risk'!$AC$123),'Health Prem &amp; Reserve Risk'!$AC$123))</f>
        <v>0.14000000000000001</v>
      </c>
      <c r="AD148" s="81"/>
      <c r="AE148" s="53"/>
      <c r="AF148" s="53"/>
    </row>
    <row r="149" spans="1:32" ht="12.75" customHeight="1" x14ac:dyDescent="0.25">
      <c r="A149" s="53"/>
      <c r="B149" s="257">
        <v>25</v>
      </c>
      <c r="C149" s="652"/>
      <c r="D149" s="80"/>
      <c r="E149" s="80"/>
      <c r="F149" s="256">
        <f t="shared" ca="1" si="6"/>
        <v>0</v>
      </c>
      <c r="G149" s="624"/>
      <c r="H149" s="85"/>
      <c r="I149" s="624"/>
      <c r="J149" s="85"/>
      <c r="K149" s="624"/>
      <c r="L149" s="85"/>
      <c r="M149" s="624"/>
      <c r="N149" s="85"/>
      <c r="O149" s="624"/>
      <c r="P149" s="85"/>
      <c r="Q149" s="626">
        <f t="shared" si="5"/>
        <v>0</v>
      </c>
      <c r="R149" s="85"/>
      <c r="S149" s="624"/>
      <c r="T149" s="260" t="str">
        <f t="shared" si="7"/>
        <v/>
      </c>
      <c r="U149" s="624"/>
      <c r="V149" s="85"/>
      <c r="W149" s="624"/>
      <c r="X149" s="81"/>
      <c r="Y149" s="80"/>
      <c r="Z149" s="737">
        <f ca="1">MAX(0%,IF(Q149&lt;&gt;0,MIN((S149-Q149)/Q149/'NSLT Health Risk'!$E$27,'Health Prem &amp; Reserve Risk'!$Z$123),'Health Prem &amp; Reserve Risk'!$Z$123))</f>
        <v>8.5000000000000006E-2</v>
      </c>
      <c r="AA149" s="80"/>
      <c r="AB149" s="80"/>
      <c r="AC149" s="737">
        <f ca="1">MAX(0%,IF(U149&lt;&gt;0,MIN((W149-U149)/U149/'NSLT Health Risk'!$E$27,'Health Prem &amp; Reserve Risk'!$AC$123),'Health Prem &amp; Reserve Risk'!$AC$123))</f>
        <v>0.14000000000000001</v>
      </c>
      <c r="AD149" s="81"/>
      <c r="AE149" s="53"/>
      <c r="AF149" s="53"/>
    </row>
    <row r="150" spans="1:32" ht="12.75" customHeight="1" x14ac:dyDescent="0.25">
      <c r="A150" s="53"/>
      <c r="B150" s="257">
        <v>26</v>
      </c>
      <c r="C150" s="652"/>
      <c r="D150" s="80"/>
      <c r="E150" s="80"/>
      <c r="F150" s="256">
        <f t="shared" ca="1" si="6"/>
        <v>0</v>
      </c>
      <c r="G150" s="624"/>
      <c r="H150" s="85"/>
      <c r="I150" s="624"/>
      <c r="J150" s="85"/>
      <c r="K150" s="624"/>
      <c r="L150" s="85"/>
      <c r="M150" s="624"/>
      <c r="N150" s="85"/>
      <c r="O150" s="624"/>
      <c r="P150" s="85"/>
      <c r="Q150" s="626">
        <f t="shared" si="5"/>
        <v>0</v>
      </c>
      <c r="R150" s="85"/>
      <c r="S150" s="624"/>
      <c r="T150" s="260" t="str">
        <f t="shared" si="7"/>
        <v/>
      </c>
      <c r="U150" s="624"/>
      <c r="V150" s="85"/>
      <c r="W150" s="624"/>
      <c r="X150" s="81"/>
      <c r="Y150" s="80"/>
      <c r="Z150" s="737">
        <f ca="1">MAX(0%,IF(Q150&lt;&gt;0,MIN((S150-Q150)/Q150/'NSLT Health Risk'!$E$27,'Health Prem &amp; Reserve Risk'!$Z$123),'Health Prem &amp; Reserve Risk'!$Z$123))</f>
        <v>8.5000000000000006E-2</v>
      </c>
      <c r="AA150" s="80"/>
      <c r="AB150" s="80"/>
      <c r="AC150" s="737">
        <f ca="1">MAX(0%,IF(U150&lt;&gt;0,MIN((W150-U150)/U150/'NSLT Health Risk'!$E$27,'Health Prem &amp; Reserve Risk'!$AC$123),'Health Prem &amp; Reserve Risk'!$AC$123))</f>
        <v>0.14000000000000001</v>
      </c>
      <c r="AD150" s="81"/>
      <c r="AE150" s="53"/>
      <c r="AF150" s="53"/>
    </row>
    <row r="151" spans="1:32" ht="12.75" customHeight="1" x14ac:dyDescent="0.25">
      <c r="A151" s="53"/>
      <c r="B151" s="257">
        <v>27</v>
      </c>
      <c r="C151" s="652"/>
      <c r="D151" s="80"/>
      <c r="E151" s="80"/>
      <c r="F151" s="256">
        <f t="shared" ca="1" si="6"/>
        <v>0</v>
      </c>
      <c r="G151" s="624"/>
      <c r="H151" s="85"/>
      <c r="I151" s="624"/>
      <c r="J151" s="85"/>
      <c r="K151" s="624"/>
      <c r="L151" s="85"/>
      <c r="M151" s="624"/>
      <c r="N151" s="85"/>
      <c r="O151" s="624"/>
      <c r="P151" s="85"/>
      <c r="Q151" s="626">
        <f t="shared" si="5"/>
        <v>0</v>
      </c>
      <c r="R151" s="85"/>
      <c r="S151" s="624"/>
      <c r="T151" s="260" t="str">
        <f t="shared" si="7"/>
        <v/>
      </c>
      <c r="U151" s="624"/>
      <c r="V151" s="85"/>
      <c r="W151" s="624"/>
      <c r="X151" s="81"/>
      <c r="Y151" s="80"/>
      <c r="Z151" s="737">
        <f ca="1">MAX(0%,IF(Q151&lt;&gt;0,MIN((S151-Q151)/Q151/'NSLT Health Risk'!$E$27,'Health Prem &amp; Reserve Risk'!$Z$123),'Health Prem &amp; Reserve Risk'!$Z$123))</f>
        <v>8.5000000000000006E-2</v>
      </c>
      <c r="AA151" s="80"/>
      <c r="AB151" s="80"/>
      <c r="AC151" s="737">
        <f ca="1">MAX(0%,IF(U151&lt;&gt;0,MIN((W151-U151)/U151/'NSLT Health Risk'!$E$27,'Health Prem &amp; Reserve Risk'!$AC$123),'Health Prem &amp; Reserve Risk'!$AC$123))</f>
        <v>0.14000000000000001</v>
      </c>
      <c r="AD151" s="81"/>
      <c r="AE151" s="53"/>
      <c r="AF151" s="53"/>
    </row>
    <row r="152" spans="1:32" ht="12.75" customHeight="1" x14ac:dyDescent="0.25">
      <c r="A152" s="53"/>
      <c r="B152" s="257">
        <v>28</v>
      </c>
      <c r="C152" s="652"/>
      <c r="D152" s="80"/>
      <c r="E152" s="80"/>
      <c r="F152" s="256">
        <f t="shared" ca="1" si="6"/>
        <v>0</v>
      </c>
      <c r="G152" s="624"/>
      <c r="H152" s="85"/>
      <c r="I152" s="624"/>
      <c r="J152" s="85"/>
      <c r="K152" s="624"/>
      <c r="L152" s="85"/>
      <c r="M152" s="624"/>
      <c r="N152" s="85"/>
      <c r="O152" s="624"/>
      <c r="P152" s="85"/>
      <c r="Q152" s="626">
        <f t="shared" si="5"/>
        <v>0</v>
      </c>
      <c r="R152" s="85"/>
      <c r="S152" s="624"/>
      <c r="T152" s="260" t="str">
        <f t="shared" si="7"/>
        <v/>
      </c>
      <c r="U152" s="624"/>
      <c r="V152" s="85"/>
      <c r="W152" s="624"/>
      <c r="X152" s="81"/>
      <c r="Y152" s="80"/>
      <c r="Z152" s="737">
        <f ca="1">MAX(0%,IF(Q152&lt;&gt;0,MIN((S152-Q152)/Q152/'NSLT Health Risk'!$E$27,'Health Prem &amp; Reserve Risk'!$Z$123),'Health Prem &amp; Reserve Risk'!$Z$123))</f>
        <v>8.5000000000000006E-2</v>
      </c>
      <c r="AA152" s="80"/>
      <c r="AB152" s="80"/>
      <c r="AC152" s="737">
        <f ca="1">MAX(0%,IF(U152&lt;&gt;0,MIN((W152-U152)/U152/'NSLT Health Risk'!$E$27,'Health Prem &amp; Reserve Risk'!$AC$123),'Health Prem &amp; Reserve Risk'!$AC$123))</f>
        <v>0.14000000000000001</v>
      </c>
      <c r="AD152" s="81"/>
      <c r="AE152" s="53"/>
      <c r="AF152" s="53"/>
    </row>
    <row r="153" spans="1:32" ht="12.75" customHeight="1" x14ac:dyDescent="0.25">
      <c r="A153" s="53"/>
      <c r="B153" s="257">
        <v>29</v>
      </c>
      <c r="C153" s="652"/>
      <c r="D153" s="80"/>
      <c r="E153" s="80"/>
      <c r="F153" s="256">
        <f t="shared" ca="1" si="6"/>
        <v>0</v>
      </c>
      <c r="G153" s="624"/>
      <c r="H153" s="85"/>
      <c r="I153" s="624"/>
      <c r="J153" s="85"/>
      <c r="K153" s="624"/>
      <c r="L153" s="85"/>
      <c r="M153" s="624"/>
      <c r="N153" s="85"/>
      <c r="O153" s="624"/>
      <c r="P153" s="85"/>
      <c r="Q153" s="626">
        <f t="shared" si="5"/>
        <v>0</v>
      </c>
      <c r="R153" s="85"/>
      <c r="S153" s="624"/>
      <c r="T153" s="260" t="str">
        <f t="shared" si="7"/>
        <v/>
      </c>
      <c r="U153" s="624"/>
      <c r="V153" s="85"/>
      <c r="W153" s="624"/>
      <c r="X153" s="81"/>
      <c r="Y153" s="80"/>
      <c r="Z153" s="737">
        <f ca="1">MAX(0%,IF(Q153&lt;&gt;0,MIN((S153-Q153)/Q153/'NSLT Health Risk'!$E$27,'Health Prem &amp; Reserve Risk'!$Z$123),'Health Prem &amp; Reserve Risk'!$Z$123))</f>
        <v>8.5000000000000006E-2</v>
      </c>
      <c r="AA153" s="80"/>
      <c r="AB153" s="80"/>
      <c r="AC153" s="737">
        <f ca="1">MAX(0%,IF(U153&lt;&gt;0,MIN((W153-U153)/U153/'NSLT Health Risk'!$E$27,'Health Prem &amp; Reserve Risk'!$AC$123),'Health Prem &amp; Reserve Risk'!$AC$123))</f>
        <v>0.14000000000000001</v>
      </c>
      <c r="AD153" s="81"/>
      <c r="AE153" s="53"/>
      <c r="AF153" s="53"/>
    </row>
    <row r="154" spans="1:32" ht="12.75" customHeight="1" x14ac:dyDescent="0.25">
      <c r="A154" s="53"/>
      <c r="B154" s="257">
        <v>30</v>
      </c>
      <c r="C154" s="652"/>
      <c r="D154" s="80"/>
      <c r="E154" s="80"/>
      <c r="F154" s="256">
        <f t="shared" ca="1" si="6"/>
        <v>0</v>
      </c>
      <c r="G154" s="624"/>
      <c r="H154" s="85"/>
      <c r="I154" s="624"/>
      <c r="J154" s="85"/>
      <c r="K154" s="624"/>
      <c r="L154" s="85"/>
      <c r="M154" s="624"/>
      <c r="N154" s="85"/>
      <c r="O154" s="624"/>
      <c r="P154" s="85"/>
      <c r="Q154" s="626">
        <f t="shared" si="5"/>
        <v>0</v>
      </c>
      <c r="R154" s="85"/>
      <c r="S154" s="624"/>
      <c r="T154" s="260" t="str">
        <f t="shared" si="7"/>
        <v/>
      </c>
      <c r="U154" s="624"/>
      <c r="V154" s="85"/>
      <c r="W154" s="624"/>
      <c r="X154" s="81"/>
      <c r="Y154" s="80"/>
      <c r="Z154" s="737">
        <f ca="1">MAX(0%,IF(Q154&lt;&gt;0,MIN((S154-Q154)/Q154/'NSLT Health Risk'!$E$27,'Health Prem &amp; Reserve Risk'!$Z$123),'Health Prem &amp; Reserve Risk'!$Z$123))</f>
        <v>8.5000000000000006E-2</v>
      </c>
      <c r="AA154" s="80"/>
      <c r="AB154" s="80"/>
      <c r="AC154" s="737">
        <f ca="1">MAX(0%,IF(U154&lt;&gt;0,MIN((W154-U154)/U154/'NSLT Health Risk'!$E$27,'Health Prem &amp; Reserve Risk'!$AC$123),'Health Prem &amp; Reserve Risk'!$AC$123))</f>
        <v>0.14000000000000001</v>
      </c>
      <c r="AD154" s="81"/>
      <c r="AE154" s="53"/>
      <c r="AF154" s="53"/>
    </row>
    <row r="155" spans="1:32" ht="12.75" customHeight="1" x14ac:dyDescent="0.25">
      <c r="A155" s="53"/>
      <c r="B155" s="257">
        <v>31</v>
      </c>
      <c r="C155" s="652"/>
      <c r="D155" s="80"/>
      <c r="E155" s="80"/>
      <c r="F155" s="256">
        <f t="shared" ca="1" si="6"/>
        <v>0</v>
      </c>
      <c r="G155" s="624"/>
      <c r="H155" s="85"/>
      <c r="I155" s="624"/>
      <c r="J155" s="85"/>
      <c r="K155" s="624"/>
      <c r="L155" s="85"/>
      <c r="M155" s="624"/>
      <c r="N155" s="85"/>
      <c r="O155" s="624"/>
      <c r="P155" s="85"/>
      <c r="Q155" s="626">
        <f t="shared" si="5"/>
        <v>0</v>
      </c>
      <c r="R155" s="85"/>
      <c r="S155" s="624"/>
      <c r="T155" s="260" t="str">
        <f t="shared" si="7"/>
        <v/>
      </c>
      <c r="U155" s="624"/>
      <c r="V155" s="85"/>
      <c r="W155" s="624"/>
      <c r="X155" s="81"/>
      <c r="Y155" s="80"/>
      <c r="Z155" s="737">
        <f ca="1">MAX(0%,IF(Q155&lt;&gt;0,MIN((S155-Q155)/Q155/'NSLT Health Risk'!$E$27,'Health Prem &amp; Reserve Risk'!$Z$123),'Health Prem &amp; Reserve Risk'!$Z$123))</f>
        <v>8.5000000000000006E-2</v>
      </c>
      <c r="AA155" s="80"/>
      <c r="AB155" s="80"/>
      <c r="AC155" s="737">
        <f ca="1">MAX(0%,IF(U155&lt;&gt;0,MIN((W155-U155)/U155/'NSLT Health Risk'!$E$27,'Health Prem &amp; Reserve Risk'!$AC$123),'Health Prem &amp; Reserve Risk'!$AC$123))</f>
        <v>0.14000000000000001</v>
      </c>
      <c r="AD155" s="81"/>
      <c r="AE155" s="53"/>
      <c r="AF155" s="53"/>
    </row>
    <row r="156" spans="1:32" ht="12.75" customHeight="1" x14ac:dyDescent="0.25">
      <c r="A156" s="53"/>
      <c r="B156" s="257">
        <v>32</v>
      </c>
      <c r="C156" s="652"/>
      <c r="D156" s="80"/>
      <c r="E156" s="80"/>
      <c r="F156" s="256">
        <f t="shared" ca="1" si="6"/>
        <v>0</v>
      </c>
      <c r="G156" s="624"/>
      <c r="H156" s="85"/>
      <c r="I156" s="624"/>
      <c r="J156" s="85"/>
      <c r="K156" s="624"/>
      <c r="L156" s="85"/>
      <c r="M156" s="624"/>
      <c r="N156" s="85"/>
      <c r="O156" s="624"/>
      <c r="P156" s="85"/>
      <c r="Q156" s="626">
        <f t="shared" si="5"/>
        <v>0</v>
      </c>
      <c r="R156" s="85"/>
      <c r="S156" s="624"/>
      <c r="T156" s="260" t="str">
        <f t="shared" si="7"/>
        <v/>
      </c>
      <c r="U156" s="624"/>
      <c r="V156" s="85"/>
      <c r="W156" s="624"/>
      <c r="X156" s="81"/>
      <c r="Y156" s="80"/>
      <c r="Z156" s="737">
        <f ca="1">MAX(0%,IF(Q156&lt;&gt;0,MIN((S156-Q156)/Q156/'NSLT Health Risk'!$E$27,'Health Prem &amp; Reserve Risk'!$Z$123),'Health Prem &amp; Reserve Risk'!$Z$123))</f>
        <v>8.5000000000000006E-2</v>
      </c>
      <c r="AA156" s="80"/>
      <c r="AB156" s="80"/>
      <c r="AC156" s="737">
        <f ca="1">MAX(0%,IF(U156&lt;&gt;0,MIN((W156-U156)/U156/'NSLT Health Risk'!$E$27,'Health Prem &amp; Reserve Risk'!$AC$123),'Health Prem &amp; Reserve Risk'!$AC$123))</f>
        <v>0.14000000000000001</v>
      </c>
      <c r="AD156" s="81"/>
      <c r="AE156" s="53"/>
      <c r="AF156" s="53"/>
    </row>
    <row r="157" spans="1:32" ht="12.75" customHeight="1" x14ac:dyDescent="0.25">
      <c r="A157" s="53"/>
      <c r="B157" s="257">
        <v>33</v>
      </c>
      <c r="C157" s="652"/>
      <c r="D157" s="80"/>
      <c r="E157" s="80"/>
      <c r="F157" s="256">
        <f t="shared" ca="1" si="6"/>
        <v>0</v>
      </c>
      <c r="G157" s="624"/>
      <c r="H157" s="85"/>
      <c r="I157" s="624"/>
      <c r="J157" s="85"/>
      <c r="K157" s="624"/>
      <c r="L157" s="85"/>
      <c r="M157" s="624"/>
      <c r="N157" s="85"/>
      <c r="O157" s="624"/>
      <c r="P157" s="85"/>
      <c r="Q157" s="626">
        <f t="shared" si="5"/>
        <v>0</v>
      </c>
      <c r="R157" s="85"/>
      <c r="S157" s="624"/>
      <c r="T157" s="260" t="str">
        <f t="shared" si="7"/>
        <v/>
      </c>
      <c r="U157" s="624"/>
      <c r="V157" s="85"/>
      <c r="W157" s="624"/>
      <c r="X157" s="81"/>
      <c r="Y157" s="80"/>
      <c r="Z157" s="737">
        <f ca="1">MAX(0%,IF(Q157&lt;&gt;0,MIN((S157-Q157)/Q157/'NSLT Health Risk'!$E$27,'Health Prem &amp; Reserve Risk'!$Z$123),'Health Prem &amp; Reserve Risk'!$Z$123))</f>
        <v>8.5000000000000006E-2</v>
      </c>
      <c r="AA157" s="80"/>
      <c r="AB157" s="80"/>
      <c r="AC157" s="737">
        <f ca="1">MAX(0%,IF(U157&lt;&gt;0,MIN((W157-U157)/U157/'NSLT Health Risk'!$E$27,'Health Prem &amp; Reserve Risk'!$AC$123),'Health Prem &amp; Reserve Risk'!$AC$123))</f>
        <v>0.14000000000000001</v>
      </c>
      <c r="AD157" s="81"/>
      <c r="AE157" s="53"/>
      <c r="AF157" s="53"/>
    </row>
    <row r="158" spans="1:32" ht="12.75" customHeight="1" x14ac:dyDescent="0.25">
      <c r="A158" s="53"/>
      <c r="B158" s="257">
        <v>34</v>
      </c>
      <c r="C158" s="652"/>
      <c r="D158" s="80"/>
      <c r="E158" s="80"/>
      <c r="F158" s="256">
        <f t="shared" ca="1" si="6"/>
        <v>0</v>
      </c>
      <c r="G158" s="624"/>
      <c r="H158" s="85"/>
      <c r="I158" s="624"/>
      <c r="J158" s="85"/>
      <c r="K158" s="624"/>
      <c r="L158" s="85"/>
      <c r="M158" s="624"/>
      <c r="N158" s="85"/>
      <c r="O158" s="624"/>
      <c r="P158" s="85"/>
      <c r="Q158" s="626">
        <f t="shared" si="5"/>
        <v>0</v>
      </c>
      <c r="R158" s="85"/>
      <c r="S158" s="624"/>
      <c r="T158" s="260" t="str">
        <f t="shared" si="7"/>
        <v/>
      </c>
      <c r="U158" s="624"/>
      <c r="V158" s="85"/>
      <c r="W158" s="624"/>
      <c r="X158" s="81"/>
      <c r="Y158" s="80"/>
      <c r="Z158" s="737">
        <f ca="1">MAX(0%,IF(Q158&lt;&gt;0,MIN((S158-Q158)/Q158/'NSLT Health Risk'!$E$27,'Health Prem &amp; Reserve Risk'!$Z$123),'Health Prem &amp; Reserve Risk'!$Z$123))</f>
        <v>8.5000000000000006E-2</v>
      </c>
      <c r="AA158" s="80"/>
      <c r="AB158" s="80"/>
      <c r="AC158" s="737">
        <f ca="1">MAX(0%,IF(U158&lt;&gt;0,MIN((W158-U158)/U158/'NSLT Health Risk'!$E$27,'Health Prem &amp; Reserve Risk'!$AC$123),'Health Prem &amp; Reserve Risk'!$AC$123))</f>
        <v>0.14000000000000001</v>
      </c>
      <c r="AD158" s="81"/>
      <c r="AE158" s="53"/>
      <c r="AF158" s="53"/>
    </row>
    <row r="159" spans="1:32" ht="12.75" customHeight="1" x14ac:dyDescent="0.25">
      <c r="A159" s="53"/>
      <c r="B159" s="257">
        <v>35</v>
      </c>
      <c r="C159" s="652"/>
      <c r="D159" s="80"/>
      <c r="E159" s="80"/>
      <c r="F159" s="256">
        <f t="shared" ca="1" si="6"/>
        <v>0</v>
      </c>
      <c r="G159" s="624"/>
      <c r="H159" s="85"/>
      <c r="I159" s="624"/>
      <c r="J159" s="85"/>
      <c r="K159" s="624"/>
      <c r="L159" s="85"/>
      <c r="M159" s="624"/>
      <c r="N159" s="85"/>
      <c r="O159" s="624"/>
      <c r="P159" s="85"/>
      <c r="Q159" s="626">
        <f t="shared" si="5"/>
        <v>0</v>
      </c>
      <c r="R159" s="85"/>
      <c r="S159" s="624"/>
      <c r="T159" s="260" t="str">
        <f t="shared" si="7"/>
        <v/>
      </c>
      <c r="U159" s="624"/>
      <c r="V159" s="85"/>
      <c r="W159" s="624"/>
      <c r="X159" s="81"/>
      <c r="Y159" s="80"/>
      <c r="Z159" s="737">
        <f ca="1">MAX(0%,IF(Q159&lt;&gt;0,MIN((S159-Q159)/Q159/'NSLT Health Risk'!$E$27,'Health Prem &amp; Reserve Risk'!$Z$123),'Health Prem &amp; Reserve Risk'!$Z$123))</f>
        <v>8.5000000000000006E-2</v>
      </c>
      <c r="AA159" s="80"/>
      <c r="AB159" s="80"/>
      <c r="AC159" s="737">
        <f ca="1">MAX(0%,IF(U159&lt;&gt;0,MIN((W159-U159)/U159/'NSLT Health Risk'!$E$27,'Health Prem &amp; Reserve Risk'!$AC$123),'Health Prem &amp; Reserve Risk'!$AC$123))</f>
        <v>0.14000000000000001</v>
      </c>
      <c r="AD159" s="81"/>
      <c r="AE159" s="53"/>
      <c r="AF159" s="53"/>
    </row>
    <row r="160" spans="1:32" ht="12.75" customHeight="1" x14ac:dyDescent="0.25">
      <c r="A160" s="53"/>
      <c r="B160" s="257">
        <v>36</v>
      </c>
      <c r="C160" s="652"/>
      <c r="D160" s="80"/>
      <c r="E160" s="80"/>
      <c r="F160" s="256">
        <f t="shared" ca="1" si="6"/>
        <v>0</v>
      </c>
      <c r="G160" s="624"/>
      <c r="H160" s="85"/>
      <c r="I160" s="624"/>
      <c r="J160" s="85"/>
      <c r="K160" s="624"/>
      <c r="L160" s="85"/>
      <c r="M160" s="624"/>
      <c r="N160" s="85"/>
      <c r="O160" s="624"/>
      <c r="P160" s="85"/>
      <c r="Q160" s="626">
        <f t="shared" si="5"/>
        <v>0</v>
      </c>
      <c r="R160" s="85"/>
      <c r="S160" s="624"/>
      <c r="T160" s="260" t="str">
        <f t="shared" si="7"/>
        <v/>
      </c>
      <c r="U160" s="624"/>
      <c r="V160" s="85"/>
      <c r="W160" s="624"/>
      <c r="X160" s="81"/>
      <c r="Y160" s="80"/>
      <c r="Z160" s="737">
        <f ca="1">MAX(0%,IF(Q160&lt;&gt;0,MIN((S160-Q160)/Q160/'NSLT Health Risk'!$E$27,'Health Prem &amp; Reserve Risk'!$Z$123),'Health Prem &amp; Reserve Risk'!$Z$123))</f>
        <v>8.5000000000000006E-2</v>
      </c>
      <c r="AA160" s="80"/>
      <c r="AB160" s="80"/>
      <c r="AC160" s="737">
        <f ca="1">MAX(0%,IF(U160&lt;&gt;0,MIN((W160-U160)/U160/'NSLT Health Risk'!$E$27,'Health Prem &amp; Reserve Risk'!$AC$123),'Health Prem &amp; Reserve Risk'!$AC$123))</f>
        <v>0.14000000000000001</v>
      </c>
      <c r="AD160" s="81"/>
      <c r="AE160" s="53"/>
      <c r="AF160" s="53"/>
    </row>
    <row r="161" spans="1:32" ht="12.75" customHeight="1" x14ac:dyDescent="0.25">
      <c r="A161" s="53"/>
      <c r="B161" s="257">
        <v>37</v>
      </c>
      <c r="C161" s="652"/>
      <c r="D161" s="80"/>
      <c r="E161" s="80"/>
      <c r="F161" s="256">
        <f t="shared" ca="1" si="6"/>
        <v>0</v>
      </c>
      <c r="G161" s="624"/>
      <c r="H161" s="85"/>
      <c r="I161" s="624"/>
      <c r="J161" s="85"/>
      <c r="K161" s="624"/>
      <c r="L161" s="85"/>
      <c r="M161" s="624"/>
      <c r="N161" s="85"/>
      <c r="O161" s="624"/>
      <c r="P161" s="85"/>
      <c r="Q161" s="626">
        <f t="shared" si="5"/>
        <v>0</v>
      </c>
      <c r="R161" s="85"/>
      <c r="S161" s="624"/>
      <c r="T161" s="260" t="str">
        <f t="shared" si="7"/>
        <v/>
      </c>
      <c r="U161" s="624"/>
      <c r="V161" s="85"/>
      <c r="W161" s="624"/>
      <c r="X161" s="81"/>
      <c r="Y161" s="80"/>
      <c r="Z161" s="737">
        <f ca="1">MAX(0%,IF(Q161&lt;&gt;0,MIN((S161-Q161)/Q161/'NSLT Health Risk'!$E$27,'Health Prem &amp; Reserve Risk'!$Z$123),'Health Prem &amp; Reserve Risk'!$Z$123))</f>
        <v>8.5000000000000006E-2</v>
      </c>
      <c r="AA161" s="80"/>
      <c r="AB161" s="80"/>
      <c r="AC161" s="737">
        <f ca="1">MAX(0%,IF(U161&lt;&gt;0,MIN((W161-U161)/U161/'NSLT Health Risk'!$E$27,'Health Prem &amp; Reserve Risk'!$AC$123),'Health Prem &amp; Reserve Risk'!$AC$123))</f>
        <v>0.14000000000000001</v>
      </c>
      <c r="AD161" s="81"/>
      <c r="AE161" s="53"/>
      <c r="AF161" s="53"/>
    </row>
    <row r="162" spans="1:32" ht="12.75" customHeight="1" x14ac:dyDescent="0.25">
      <c r="A162" s="53"/>
      <c r="B162" s="257">
        <v>38</v>
      </c>
      <c r="C162" s="652"/>
      <c r="D162" s="80"/>
      <c r="E162" s="80"/>
      <c r="F162" s="256">
        <f t="shared" ca="1" si="6"/>
        <v>0</v>
      </c>
      <c r="G162" s="624"/>
      <c r="H162" s="85"/>
      <c r="I162" s="624"/>
      <c r="J162" s="85"/>
      <c r="K162" s="624"/>
      <c r="L162" s="85"/>
      <c r="M162" s="624"/>
      <c r="N162" s="85"/>
      <c r="O162" s="624"/>
      <c r="P162" s="85"/>
      <c r="Q162" s="626">
        <f t="shared" si="5"/>
        <v>0</v>
      </c>
      <c r="R162" s="85"/>
      <c r="S162" s="624"/>
      <c r="T162" s="260" t="str">
        <f t="shared" si="7"/>
        <v/>
      </c>
      <c r="U162" s="624"/>
      <c r="V162" s="85"/>
      <c r="W162" s="624"/>
      <c r="X162" s="81"/>
      <c r="Y162" s="80"/>
      <c r="Z162" s="737">
        <f ca="1">MAX(0%,IF(Q162&lt;&gt;0,MIN((S162-Q162)/Q162/'NSLT Health Risk'!$E$27,'Health Prem &amp; Reserve Risk'!$Z$123),'Health Prem &amp; Reserve Risk'!$Z$123))</f>
        <v>8.5000000000000006E-2</v>
      </c>
      <c r="AA162" s="80"/>
      <c r="AB162" s="80"/>
      <c r="AC162" s="737">
        <f ca="1">MAX(0%,IF(U162&lt;&gt;0,MIN((W162-U162)/U162/'NSLT Health Risk'!$E$27,'Health Prem &amp; Reserve Risk'!$AC$123),'Health Prem &amp; Reserve Risk'!$AC$123))</f>
        <v>0.14000000000000001</v>
      </c>
      <c r="AD162" s="81"/>
      <c r="AE162" s="53"/>
      <c r="AF162" s="53"/>
    </row>
    <row r="163" spans="1:32" ht="12.75" customHeight="1" x14ac:dyDescent="0.25">
      <c r="A163" s="53"/>
      <c r="B163" s="257">
        <v>39</v>
      </c>
      <c r="C163" s="652"/>
      <c r="D163" s="80"/>
      <c r="E163" s="80"/>
      <c r="F163" s="256">
        <f t="shared" ca="1" si="6"/>
        <v>0</v>
      </c>
      <c r="G163" s="624"/>
      <c r="H163" s="85"/>
      <c r="I163" s="624"/>
      <c r="J163" s="85"/>
      <c r="K163" s="624"/>
      <c r="L163" s="85"/>
      <c r="M163" s="624"/>
      <c r="N163" s="85"/>
      <c r="O163" s="624"/>
      <c r="P163" s="85"/>
      <c r="Q163" s="626">
        <f t="shared" si="5"/>
        <v>0</v>
      </c>
      <c r="R163" s="85"/>
      <c r="S163" s="624"/>
      <c r="T163" s="260" t="str">
        <f t="shared" si="7"/>
        <v/>
      </c>
      <c r="U163" s="624"/>
      <c r="V163" s="85"/>
      <c r="W163" s="624"/>
      <c r="X163" s="81"/>
      <c r="Y163" s="80"/>
      <c r="Z163" s="737">
        <f ca="1">MAX(0%,IF(Q163&lt;&gt;0,MIN((S163-Q163)/Q163/'NSLT Health Risk'!$E$27,'Health Prem &amp; Reserve Risk'!$Z$123),'Health Prem &amp; Reserve Risk'!$Z$123))</f>
        <v>8.5000000000000006E-2</v>
      </c>
      <c r="AA163" s="80"/>
      <c r="AB163" s="80"/>
      <c r="AC163" s="737">
        <f ca="1">MAX(0%,IF(U163&lt;&gt;0,MIN((W163-U163)/U163/'NSLT Health Risk'!$E$27,'Health Prem &amp; Reserve Risk'!$AC$123),'Health Prem &amp; Reserve Risk'!$AC$123))</f>
        <v>0.14000000000000001</v>
      </c>
      <c r="AD163" s="81"/>
      <c r="AE163" s="53"/>
      <c r="AF163" s="53"/>
    </row>
    <row r="164" spans="1:32" ht="12.75" customHeight="1" x14ac:dyDescent="0.25">
      <c r="A164" s="53"/>
      <c r="B164" s="257">
        <v>40</v>
      </c>
      <c r="C164" s="652"/>
      <c r="D164" s="80"/>
      <c r="E164" s="80"/>
      <c r="F164" s="256">
        <f t="shared" ca="1" si="6"/>
        <v>0</v>
      </c>
      <c r="G164" s="624"/>
      <c r="H164" s="85"/>
      <c r="I164" s="624"/>
      <c r="J164" s="85"/>
      <c r="K164" s="624"/>
      <c r="L164" s="85"/>
      <c r="M164" s="624"/>
      <c r="N164" s="85"/>
      <c r="O164" s="624"/>
      <c r="P164" s="85"/>
      <c r="Q164" s="626">
        <f t="shared" si="5"/>
        <v>0</v>
      </c>
      <c r="R164" s="85"/>
      <c r="S164" s="624"/>
      <c r="T164" s="260" t="str">
        <f t="shared" si="7"/>
        <v/>
      </c>
      <c r="U164" s="624"/>
      <c r="V164" s="85"/>
      <c r="W164" s="624"/>
      <c r="X164" s="81"/>
      <c r="Y164" s="80"/>
      <c r="Z164" s="737">
        <f ca="1">MAX(0%,IF(Q164&lt;&gt;0,MIN((S164-Q164)/Q164/'NSLT Health Risk'!$E$27,'Health Prem &amp; Reserve Risk'!$Z$123),'Health Prem &amp; Reserve Risk'!$Z$123))</f>
        <v>8.5000000000000006E-2</v>
      </c>
      <c r="AA164" s="80"/>
      <c r="AB164" s="80"/>
      <c r="AC164" s="737">
        <f ca="1">MAX(0%,IF(U164&lt;&gt;0,MIN((W164-U164)/U164/'NSLT Health Risk'!$E$27,'Health Prem &amp; Reserve Risk'!$AC$123),'Health Prem &amp; Reserve Risk'!$AC$123))</f>
        <v>0.14000000000000001</v>
      </c>
      <c r="AD164" s="81"/>
      <c r="AE164" s="53"/>
      <c r="AF164" s="53"/>
    </row>
    <row r="165" spans="1:32" ht="12.75" customHeight="1" x14ac:dyDescent="0.25">
      <c r="A165" s="53"/>
      <c r="B165" s="257">
        <v>41</v>
      </c>
      <c r="C165" s="652"/>
      <c r="D165" s="80"/>
      <c r="E165" s="80"/>
      <c r="F165" s="256">
        <f t="shared" ca="1" si="6"/>
        <v>0</v>
      </c>
      <c r="G165" s="624"/>
      <c r="H165" s="85"/>
      <c r="I165" s="624"/>
      <c r="J165" s="85"/>
      <c r="K165" s="624"/>
      <c r="L165" s="85"/>
      <c r="M165" s="624"/>
      <c r="N165" s="85"/>
      <c r="O165" s="624"/>
      <c r="P165" s="85"/>
      <c r="Q165" s="626">
        <f t="shared" si="5"/>
        <v>0</v>
      </c>
      <c r="R165" s="85"/>
      <c r="S165" s="624"/>
      <c r="T165" s="260" t="str">
        <f t="shared" si="7"/>
        <v/>
      </c>
      <c r="U165" s="624"/>
      <c r="V165" s="85"/>
      <c r="W165" s="624"/>
      <c r="X165" s="81"/>
      <c r="Y165" s="80"/>
      <c r="Z165" s="737">
        <f ca="1">MAX(0%,IF(Q165&lt;&gt;0,MIN((S165-Q165)/Q165/'NSLT Health Risk'!$E$27,'Health Prem &amp; Reserve Risk'!$Z$123),'Health Prem &amp; Reserve Risk'!$Z$123))</f>
        <v>8.5000000000000006E-2</v>
      </c>
      <c r="AA165" s="80"/>
      <c r="AB165" s="80"/>
      <c r="AC165" s="737">
        <f ca="1">MAX(0%,IF(U165&lt;&gt;0,MIN((W165-U165)/U165/'NSLT Health Risk'!$E$27,'Health Prem &amp; Reserve Risk'!$AC$123),'Health Prem &amp; Reserve Risk'!$AC$123))</f>
        <v>0.14000000000000001</v>
      </c>
      <c r="AD165" s="81"/>
      <c r="AE165" s="53"/>
      <c r="AF165" s="53"/>
    </row>
    <row r="166" spans="1:32" ht="12.75" customHeight="1" x14ac:dyDescent="0.25">
      <c r="A166" s="53"/>
      <c r="B166" s="257">
        <v>42</v>
      </c>
      <c r="C166" s="652"/>
      <c r="D166" s="80"/>
      <c r="E166" s="80"/>
      <c r="F166" s="256">
        <f t="shared" ca="1" si="6"/>
        <v>0</v>
      </c>
      <c r="G166" s="624"/>
      <c r="H166" s="85"/>
      <c r="I166" s="624"/>
      <c r="J166" s="85"/>
      <c r="K166" s="624"/>
      <c r="L166" s="85"/>
      <c r="M166" s="624"/>
      <c r="N166" s="85"/>
      <c r="O166" s="624"/>
      <c r="P166" s="85"/>
      <c r="Q166" s="626">
        <f t="shared" si="5"/>
        <v>0</v>
      </c>
      <c r="R166" s="85"/>
      <c r="S166" s="624"/>
      <c r="T166" s="260" t="str">
        <f t="shared" si="7"/>
        <v/>
      </c>
      <c r="U166" s="624"/>
      <c r="V166" s="85"/>
      <c r="W166" s="624"/>
      <c r="X166" s="81"/>
      <c r="Y166" s="80"/>
      <c r="Z166" s="737">
        <f ca="1">MAX(0%,IF(Q166&lt;&gt;0,MIN((S166-Q166)/Q166/'NSLT Health Risk'!$E$27,'Health Prem &amp; Reserve Risk'!$Z$123),'Health Prem &amp; Reserve Risk'!$Z$123))</f>
        <v>8.5000000000000006E-2</v>
      </c>
      <c r="AA166" s="80"/>
      <c r="AB166" s="80"/>
      <c r="AC166" s="737">
        <f ca="1">MAX(0%,IF(U166&lt;&gt;0,MIN((W166-U166)/U166/'NSLT Health Risk'!$E$27,'Health Prem &amp; Reserve Risk'!$AC$123),'Health Prem &amp; Reserve Risk'!$AC$123))</f>
        <v>0.14000000000000001</v>
      </c>
      <c r="AD166" s="81"/>
      <c r="AE166" s="53"/>
      <c r="AF166" s="53"/>
    </row>
    <row r="167" spans="1:32" ht="12.75" customHeight="1" x14ac:dyDescent="0.25">
      <c r="A167" s="53"/>
      <c r="B167" s="257">
        <v>43</v>
      </c>
      <c r="C167" s="652"/>
      <c r="D167" s="80"/>
      <c r="E167" s="80"/>
      <c r="F167" s="256">
        <f t="shared" ca="1" si="6"/>
        <v>0</v>
      </c>
      <c r="G167" s="624"/>
      <c r="H167" s="85"/>
      <c r="I167" s="624"/>
      <c r="J167" s="85"/>
      <c r="K167" s="624"/>
      <c r="L167" s="85"/>
      <c r="M167" s="624"/>
      <c r="N167" s="85"/>
      <c r="O167" s="624"/>
      <c r="P167" s="85"/>
      <c r="Q167" s="626">
        <f t="shared" si="5"/>
        <v>0</v>
      </c>
      <c r="R167" s="85"/>
      <c r="S167" s="624"/>
      <c r="T167" s="260" t="str">
        <f t="shared" si="7"/>
        <v/>
      </c>
      <c r="U167" s="624"/>
      <c r="V167" s="85"/>
      <c r="W167" s="624"/>
      <c r="X167" s="81"/>
      <c r="Y167" s="80"/>
      <c r="Z167" s="737">
        <f ca="1">MAX(0%,IF(Q167&lt;&gt;0,MIN((S167-Q167)/Q167/'NSLT Health Risk'!$E$27,'Health Prem &amp; Reserve Risk'!$Z$123),'Health Prem &amp; Reserve Risk'!$Z$123))</f>
        <v>8.5000000000000006E-2</v>
      </c>
      <c r="AA167" s="80"/>
      <c r="AB167" s="80"/>
      <c r="AC167" s="737">
        <f ca="1">MAX(0%,IF(U167&lt;&gt;0,MIN((W167-U167)/U167/'NSLT Health Risk'!$E$27,'Health Prem &amp; Reserve Risk'!$AC$123),'Health Prem &amp; Reserve Risk'!$AC$123))</f>
        <v>0.14000000000000001</v>
      </c>
      <c r="AD167" s="81"/>
      <c r="AE167" s="53"/>
      <c r="AF167" s="53"/>
    </row>
    <row r="168" spans="1:32" ht="12.75" customHeight="1" x14ac:dyDescent="0.25">
      <c r="A168" s="53"/>
      <c r="B168" s="257">
        <v>44</v>
      </c>
      <c r="C168" s="652"/>
      <c r="D168" s="80"/>
      <c r="E168" s="80"/>
      <c r="F168" s="256">
        <f t="shared" ca="1" si="6"/>
        <v>0</v>
      </c>
      <c r="G168" s="624"/>
      <c r="H168" s="85"/>
      <c r="I168" s="624"/>
      <c r="J168" s="85"/>
      <c r="K168" s="624"/>
      <c r="L168" s="85"/>
      <c r="M168" s="624"/>
      <c r="N168" s="85"/>
      <c r="O168" s="624"/>
      <c r="P168" s="85"/>
      <c r="Q168" s="626">
        <f t="shared" si="5"/>
        <v>0</v>
      </c>
      <c r="R168" s="85"/>
      <c r="S168" s="624"/>
      <c r="T168" s="260" t="str">
        <f t="shared" si="7"/>
        <v/>
      </c>
      <c r="U168" s="624"/>
      <c r="V168" s="85"/>
      <c r="W168" s="624"/>
      <c r="X168" s="81"/>
      <c r="Y168" s="80"/>
      <c r="Z168" s="737">
        <f ca="1">MAX(0%,IF(Q168&lt;&gt;0,MIN((S168-Q168)/Q168/'NSLT Health Risk'!$E$27,'Health Prem &amp; Reserve Risk'!$Z$123),'Health Prem &amp; Reserve Risk'!$Z$123))</f>
        <v>8.5000000000000006E-2</v>
      </c>
      <c r="AA168" s="80"/>
      <c r="AB168" s="80"/>
      <c r="AC168" s="737">
        <f ca="1">MAX(0%,IF(U168&lt;&gt;0,MIN((W168-U168)/U168/'NSLT Health Risk'!$E$27,'Health Prem &amp; Reserve Risk'!$AC$123),'Health Prem &amp; Reserve Risk'!$AC$123))</f>
        <v>0.14000000000000001</v>
      </c>
      <c r="AD168" s="81"/>
      <c r="AE168" s="53"/>
      <c r="AF168" s="53"/>
    </row>
    <row r="169" spans="1:32" ht="12.75" customHeight="1" x14ac:dyDescent="0.25">
      <c r="A169" s="53"/>
      <c r="B169" s="257">
        <v>45</v>
      </c>
      <c r="C169" s="652"/>
      <c r="D169" s="80"/>
      <c r="E169" s="80"/>
      <c r="F169" s="256">
        <f t="shared" ca="1" si="6"/>
        <v>0</v>
      </c>
      <c r="G169" s="624"/>
      <c r="H169" s="85"/>
      <c r="I169" s="624"/>
      <c r="J169" s="85"/>
      <c r="K169" s="624"/>
      <c r="L169" s="85"/>
      <c r="M169" s="624"/>
      <c r="N169" s="85"/>
      <c r="O169" s="624"/>
      <c r="P169" s="85"/>
      <c r="Q169" s="626">
        <f t="shared" si="5"/>
        <v>0</v>
      </c>
      <c r="R169" s="85"/>
      <c r="S169" s="624"/>
      <c r="T169" s="260" t="str">
        <f t="shared" si="7"/>
        <v/>
      </c>
      <c r="U169" s="624"/>
      <c r="V169" s="85"/>
      <c r="W169" s="624"/>
      <c r="X169" s="81"/>
      <c r="Y169" s="80"/>
      <c r="Z169" s="737">
        <f ca="1">MAX(0%,IF(Q169&lt;&gt;0,MIN((S169-Q169)/Q169/'NSLT Health Risk'!$E$27,'Health Prem &amp; Reserve Risk'!$Z$123),'Health Prem &amp; Reserve Risk'!$Z$123))</f>
        <v>8.5000000000000006E-2</v>
      </c>
      <c r="AA169" s="80"/>
      <c r="AB169" s="80"/>
      <c r="AC169" s="737">
        <f ca="1">MAX(0%,IF(U169&lt;&gt;0,MIN((W169-U169)/U169/'NSLT Health Risk'!$E$27,'Health Prem &amp; Reserve Risk'!$AC$123),'Health Prem &amp; Reserve Risk'!$AC$123))</f>
        <v>0.14000000000000001</v>
      </c>
      <c r="AD169" s="81"/>
      <c r="AE169" s="53"/>
      <c r="AF169" s="53"/>
    </row>
    <row r="170" spans="1:32" ht="12.75" customHeight="1" x14ac:dyDescent="0.25">
      <c r="A170" s="53"/>
      <c r="B170" s="257">
        <v>46</v>
      </c>
      <c r="C170" s="652"/>
      <c r="D170" s="80"/>
      <c r="E170" s="80"/>
      <c r="F170" s="256">
        <f t="shared" ca="1" si="6"/>
        <v>0</v>
      </c>
      <c r="G170" s="624"/>
      <c r="H170" s="85"/>
      <c r="I170" s="624"/>
      <c r="J170" s="85"/>
      <c r="K170" s="624"/>
      <c r="L170" s="85"/>
      <c r="M170" s="624"/>
      <c r="N170" s="85"/>
      <c r="O170" s="624"/>
      <c r="P170" s="85"/>
      <c r="Q170" s="626">
        <f t="shared" si="5"/>
        <v>0</v>
      </c>
      <c r="R170" s="85"/>
      <c r="S170" s="624"/>
      <c r="T170" s="260" t="str">
        <f t="shared" si="7"/>
        <v/>
      </c>
      <c r="U170" s="624"/>
      <c r="V170" s="85"/>
      <c r="W170" s="624"/>
      <c r="X170" s="81"/>
      <c r="Y170" s="80"/>
      <c r="Z170" s="737">
        <f ca="1">MAX(0%,IF(Q170&lt;&gt;0,MIN((S170-Q170)/Q170/'NSLT Health Risk'!$E$27,'Health Prem &amp; Reserve Risk'!$Z$123),'Health Prem &amp; Reserve Risk'!$Z$123))</f>
        <v>8.5000000000000006E-2</v>
      </c>
      <c r="AA170" s="80"/>
      <c r="AB170" s="80"/>
      <c r="AC170" s="737">
        <f ca="1">MAX(0%,IF(U170&lt;&gt;0,MIN((W170-U170)/U170/'NSLT Health Risk'!$E$27,'Health Prem &amp; Reserve Risk'!$AC$123),'Health Prem &amp; Reserve Risk'!$AC$123))</f>
        <v>0.14000000000000001</v>
      </c>
      <c r="AD170" s="81"/>
      <c r="AE170" s="53"/>
      <c r="AF170" s="53"/>
    </row>
    <row r="171" spans="1:32" ht="12.75" customHeight="1" x14ac:dyDescent="0.25">
      <c r="A171" s="53"/>
      <c r="B171" s="257">
        <v>47</v>
      </c>
      <c r="C171" s="652"/>
      <c r="D171" s="80"/>
      <c r="E171" s="80"/>
      <c r="F171" s="256">
        <f t="shared" ca="1" si="6"/>
        <v>0</v>
      </c>
      <c r="G171" s="624"/>
      <c r="H171" s="85"/>
      <c r="I171" s="624"/>
      <c r="J171" s="85"/>
      <c r="K171" s="624"/>
      <c r="L171" s="85"/>
      <c r="M171" s="624"/>
      <c r="N171" s="85"/>
      <c r="O171" s="624"/>
      <c r="P171" s="85"/>
      <c r="Q171" s="626">
        <f t="shared" si="5"/>
        <v>0</v>
      </c>
      <c r="R171" s="85"/>
      <c r="S171" s="624"/>
      <c r="T171" s="260" t="str">
        <f t="shared" si="7"/>
        <v/>
      </c>
      <c r="U171" s="624"/>
      <c r="V171" s="85"/>
      <c r="W171" s="624"/>
      <c r="X171" s="81"/>
      <c r="Y171" s="80"/>
      <c r="Z171" s="737">
        <f ca="1">MAX(0%,IF(Q171&lt;&gt;0,MIN((S171-Q171)/Q171/'NSLT Health Risk'!$E$27,'Health Prem &amp; Reserve Risk'!$Z$123),'Health Prem &amp; Reserve Risk'!$Z$123))</f>
        <v>8.5000000000000006E-2</v>
      </c>
      <c r="AA171" s="80"/>
      <c r="AB171" s="80"/>
      <c r="AC171" s="737">
        <f ca="1">MAX(0%,IF(U171&lt;&gt;0,MIN((W171-U171)/U171/'NSLT Health Risk'!$E$27,'Health Prem &amp; Reserve Risk'!$AC$123),'Health Prem &amp; Reserve Risk'!$AC$123))</f>
        <v>0.14000000000000001</v>
      </c>
      <c r="AD171" s="81"/>
      <c r="AE171" s="53"/>
      <c r="AF171" s="53"/>
    </row>
    <row r="172" spans="1:32" ht="12.75" customHeight="1" x14ac:dyDescent="0.25">
      <c r="A172" s="53"/>
      <c r="B172" s="257">
        <v>48</v>
      </c>
      <c r="C172" s="652"/>
      <c r="D172" s="80"/>
      <c r="E172" s="80"/>
      <c r="F172" s="256">
        <f t="shared" ca="1" si="6"/>
        <v>0</v>
      </c>
      <c r="G172" s="624"/>
      <c r="H172" s="85"/>
      <c r="I172" s="624"/>
      <c r="J172" s="85"/>
      <c r="K172" s="624"/>
      <c r="L172" s="85"/>
      <c r="M172" s="624"/>
      <c r="N172" s="85"/>
      <c r="O172" s="624"/>
      <c r="P172" s="85"/>
      <c r="Q172" s="626">
        <f t="shared" si="5"/>
        <v>0</v>
      </c>
      <c r="R172" s="85"/>
      <c r="S172" s="624"/>
      <c r="T172" s="260" t="str">
        <f t="shared" si="7"/>
        <v/>
      </c>
      <c r="U172" s="624"/>
      <c r="V172" s="85"/>
      <c r="W172" s="624"/>
      <c r="X172" s="81"/>
      <c r="Y172" s="80"/>
      <c r="Z172" s="737">
        <f ca="1">MAX(0%,IF(Q172&lt;&gt;0,MIN((S172-Q172)/Q172/'NSLT Health Risk'!$E$27,'Health Prem &amp; Reserve Risk'!$Z$123),'Health Prem &amp; Reserve Risk'!$Z$123))</f>
        <v>8.5000000000000006E-2</v>
      </c>
      <c r="AA172" s="80"/>
      <c r="AB172" s="80"/>
      <c r="AC172" s="737">
        <f ca="1">MAX(0%,IF(U172&lt;&gt;0,MIN((W172-U172)/U172/'NSLT Health Risk'!$E$27,'Health Prem &amp; Reserve Risk'!$AC$123),'Health Prem &amp; Reserve Risk'!$AC$123))</f>
        <v>0.14000000000000001</v>
      </c>
      <c r="AD172" s="81"/>
      <c r="AE172" s="53"/>
      <c r="AF172" s="53"/>
    </row>
    <row r="173" spans="1:32" ht="12.75" customHeight="1" x14ac:dyDescent="0.25">
      <c r="A173" s="53"/>
      <c r="B173" s="257">
        <v>49</v>
      </c>
      <c r="C173" s="652"/>
      <c r="D173" s="80"/>
      <c r="E173" s="80"/>
      <c r="F173" s="256">
        <f t="shared" ca="1" si="6"/>
        <v>0</v>
      </c>
      <c r="G173" s="624"/>
      <c r="H173" s="85"/>
      <c r="I173" s="624"/>
      <c r="J173" s="85"/>
      <c r="K173" s="624"/>
      <c r="L173" s="85"/>
      <c r="M173" s="624"/>
      <c r="N173" s="85"/>
      <c r="O173" s="624"/>
      <c r="P173" s="85"/>
      <c r="Q173" s="626">
        <f t="shared" si="5"/>
        <v>0</v>
      </c>
      <c r="R173" s="85"/>
      <c r="S173" s="624"/>
      <c r="T173" s="260" t="str">
        <f t="shared" si="7"/>
        <v/>
      </c>
      <c r="U173" s="624"/>
      <c r="V173" s="85"/>
      <c r="W173" s="624"/>
      <c r="X173" s="81"/>
      <c r="Y173" s="80"/>
      <c r="Z173" s="737">
        <f ca="1">MAX(0%,IF(Q173&lt;&gt;0,MIN((S173-Q173)/Q173/'NSLT Health Risk'!$E$27,'Health Prem &amp; Reserve Risk'!$Z$123),'Health Prem &amp; Reserve Risk'!$Z$123))</f>
        <v>8.5000000000000006E-2</v>
      </c>
      <c r="AA173" s="80"/>
      <c r="AB173" s="80"/>
      <c r="AC173" s="737">
        <f ca="1">MAX(0%,IF(U173&lt;&gt;0,MIN((W173-U173)/U173/'NSLT Health Risk'!$E$27,'Health Prem &amp; Reserve Risk'!$AC$123),'Health Prem &amp; Reserve Risk'!$AC$123))</f>
        <v>0.14000000000000001</v>
      </c>
      <c r="AD173" s="81"/>
      <c r="AE173" s="53"/>
      <c r="AF173" s="53"/>
    </row>
    <row r="174" spans="1:32" ht="12.75" customHeight="1" x14ac:dyDescent="0.25">
      <c r="A174" s="53"/>
      <c r="B174" s="257">
        <v>50</v>
      </c>
      <c r="C174" s="652"/>
      <c r="D174" s="80"/>
      <c r="E174" s="80"/>
      <c r="F174" s="256">
        <f t="shared" ca="1" si="6"/>
        <v>0</v>
      </c>
      <c r="G174" s="624"/>
      <c r="H174" s="85"/>
      <c r="I174" s="624"/>
      <c r="J174" s="85"/>
      <c r="K174" s="624"/>
      <c r="L174" s="85"/>
      <c r="M174" s="624"/>
      <c r="N174" s="85"/>
      <c r="O174" s="624"/>
      <c r="P174" s="85"/>
      <c r="Q174" s="626">
        <f t="shared" si="5"/>
        <v>0</v>
      </c>
      <c r="R174" s="85"/>
      <c r="S174" s="624"/>
      <c r="T174" s="260" t="str">
        <f t="shared" si="7"/>
        <v/>
      </c>
      <c r="U174" s="624"/>
      <c r="V174" s="85"/>
      <c r="W174" s="624"/>
      <c r="X174" s="81"/>
      <c r="Y174" s="80"/>
      <c r="Z174" s="737">
        <f ca="1">MAX(0%,IF(Q174&lt;&gt;0,MIN((S174-Q174)/Q174/'NSLT Health Risk'!$E$27,'Health Prem &amp; Reserve Risk'!$Z$123),'Health Prem &amp; Reserve Risk'!$Z$123))</f>
        <v>8.5000000000000006E-2</v>
      </c>
      <c r="AA174" s="80"/>
      <c r="AB174" s="80"/>
      <c r="AC174" s="737">
        <f ca="1">MAX(0%,IF(U174&lt;&gt;0,MIN((W174-U174)/U174/'NSLT Health Risk'!$E$27,'Health Prem &amp; Reserve Risk'!$AC$123),'Health Prem &amp; Reserve Risk'!$AC$123))</f>
        <v>0.14000000000000001</v>
      </c>
      <c r="AD174" s="81"/>
      <c r="AE174" s="53"/>
      <c r="AF174" s="53"/>
    </row>
    <row r="175" spans="1:32" ht="12.75" customHeight="1" x14ac:dyDescent="0.25">
      <c r="A175" s="53"/>
      <c r="B175" s="257">
        <v>51</v>
      </c>
      <c r="C175" s="652"/>
      <c r="D175" s="80"/>
      <c r="E175" s="80"/>
      <c r="F175" s="256">
        <f t="shared" ca="1" si="6"/>
        <v>0</v>
      </c>
      <c r="G175" s="624"/>
      <c r="H175" s="85"/>
      <c r="I175" s="624"/>
      <c r="J175" s="85"/>
      <c r="K175" s="624"/>
      <c r="L175" s="85"/>
      <c r="M175" s="624"/>
      <c r="N175" s="85"/>
      <c r="O175" s="624"/>
      <c r="P175" s="85"/>
      <c r="Q175" s="626">
        <f t="shared" si="5"/>
        <v>0</v>
      </c>
      <c r="R175" s="85"/>
      <c r="S175" s="624"/>
      <c r="T175" s="260" t="str">
        <f t="shared" si="7"/>
        <v/>
      </c>
      <c r="U175" s="624"/>
      <c r="V175" s="85"/>
      <c r="W175" s="624"/>
      <c r="X175" s="81"/>
      <c r="Y175" s="80"/>
      <c r="Z175" s="737">
        <f ca="1">MAX(0%,IF(Q175&lt;&gt;0,MIN((S175-Q175)/Q175/'NSLT Health Risk'!$E$27,'Health Prem &amp; Reserve Risk'!$Z$123),'Health Prem &amp; Reserve Risk'!$Z$123))</f>
        <v>8.5000000000000006E-2</v>
      </c>
      <c r="AA175" s="80"/>
      <c r="AB175" s="80"/>
      <c r="AC175" s="737">
        <f ca="1">MAX(0%,IF(U175&lt;&gt;0,MIN((W175-U175)/U175/'NSLT Health Risk'!$E$27,'Health Prem &amp; Reserve Risk'!$AC$123),'Health Prem &amp; Reserve Risk'!$AC$123))</f>
        <v>0.14000000000000001</v>
      </c>
      <c r="AD175" s="81"/>
      <c r="AE175" s="53"/>
      <c r="AF175" s="53"/>
    </row>
    <row r="176" spans="1:32" ht="12.75" customHeight="1" x14ac:dyDescent="0.25">
      <c r="A176" s="53"/>
      <c r="B176" s="257">
        <v>52</v>
      </c>
      <c r="C176" s="652"/>
      <c r="D176" s="80"/>
      <c r="E176" s="80"/>
      <c r="F176" s="256">
        <f t="shared" ca="1" si="6"/>
        <v>0</v>
      </c>
      <c r="G176" s="624"/>
      <c r="H176" s="85"/>
      <c r="I176" s="624"/>
      <c r="J176" s="85"/>
      <c r="K176" s="624"/>
      <c r="L176" s="85"/>
      <c r="M176" s="624"/>
      <c r="N176" s="85"/>
      <c r="O176" s="624"/>
      <c r="P176" s="85"/>
      <c r="Q176" s="626">
        <f t="shared" si="5"/>
        <v>0</v>
      </c>
      <c r="R176" s="85"/>
      <c r="S176" s="624"/>
      <c r="T176" s="260" t="str">
        <f t="shared" si="7"/>
        <v/>
      </c>
      <c r="U176" s="624"/>
      <c r="V176" s="85"/>
      <c r="W176" s="624"/>
      <c r="X176" s="81"/>
      <c r="Y176" s="80"/>
      <c r="Z176" s="737">
        <f ca="1">MAX(0%,IF(Q176&lt;&gt;0,MIN((S176-Q176)/Q176/'NSLT Health Risk'!$E$27,'Health Prem &amp; Reserve Risk'!$Z$123),'Health Prem &amp; Reserve Risk'!$Z$123))</f>
        <v>8.5000000000000006E-2</v>
      </c>
      <c r="AA176" s="80"/>
      <c r="AB176" s="80"/>
      <c r="AC176" s="737">
        <f ca="1">MAX(0%,IF(U176&lt;&gt;0,MIN((W176-U176)/U176/'NSLT Health Risk'!$E$27,'Health Prem &amp; Reserve Risk'!$AC$123),'Health Prem &amp; Reserve Risk'!$AC$123))</f>
        <v>0.14000000000000001</v>
      </c>
      <c r="AD176" s="81"/>
      <c r="AE176" s="53"/>
      <c r="AF176" s="53"/>
    </row>
    <row r="177" spans="1:32" ht="12.75" customHeight="1" x14ac:dyDescent="0.25">
      <c r="A177" s="53"/>
      <c r="B177" s="257">
        <v>53</v>
      </c>
      <c r="C177" s="652"/>
      <c r="D177" s="80"/>
      <c r="E177" s="80"/>
      <c r="F177" s="256">
        <f t="shared" ca="1" si="6"/>
        <v>0</v>
      </c>
      <c r="G177" s="624"/>
      <c r="H177" s="85"/>
      <c r="I177" s="624"/>
      <c r="J177" s="85"/>
      <c r="K177" s="624"/>
      <c r="L177" s="85"/>
      <c r="M177" s="624"/>
      <c r="N177" s="85"/>
      <c r="O177" s="624"/>
      <c r="P177" s="85"/>
      <c r="Q177" s="626">
        <f t="shared" si="5"/>
        <v>0</v>
      </c>
      <c r="R177" s="85"/>
      <c r="S177" s="624"/>
      <c r="T177" s="260" t="str">
        <f t="shared" si="7"/>
        <v/>
      </c>
      <c r="U177" s="624"/>
      <c r="V177" s="85"/>
      <c r="W177" s="624"/>
      <c r="X177" s="81"/>
      <c r="Y177" s="80"/>
      <c r="Z177" s="737">
        <f ca="1">MAX(0%,IF(Q177&lt;&gt;0,MIN((S177-Q177)/Q177/'NSLT Health Risk'!$E$27,'Health Prem &amp; Reserve Risk'!$Z$123),'Health Prem &amp; Reserve Risk'!$Z$123))</f>
        <v>8.5000000000000006E-2</v>
      </c>
      <c r="AA177" s="80"/>
      <c r="AB177" s="80"/>
      <c r="AC177" s="737">
        <f ca="1">MAX(0%,IF(U177&lt;&gt;0,MIN((W177-U177)/U177/'NSLT Health Risk'!$E$27,'Health Prem &amp; Reserve Risk'!$AC$123),'Health Prem &amp; Reserve Risk'!$AC$123))</f>
        <v>0.14000000000000001</v>
      </c>
      <c r="AD177" s="81"/>
      <c r="AE177" s="53"/>
      <c r="AF177" s="53"/>
    </row>
    <row r="178" spans="1:32" ht="12.75" customHeight="1" x14ac:dyDescent="0.25">
      <c r="A178" s="53"/>
      <c r="B178" s="257">
        <v>54</v>
      </c>
      <c r="C178" s="652"/>
      <c r="D178" s="80"/>
      <c r="E178" s="80"/>
      <c r="F178" s="256">
        <f t="shared" ca="1" si="6"/>
        <v>0</v>
      </c>
      <c r="G178" s="624"/>
      <c r="H178" s="85"/>
      <c r="I178" s="624"/>
      <c r="J178" s="85"/>
      <c r="K178" s="624"/>
      <c r="L178" s="85"/>
      <c r="M178" s="624"/>
      <c r="N178" s="85"/>
      <c r="O178" s="624"/>
      <c r="P178" s="85"/>
      <c r="Q178" s="626">
        <f t="shared" si="5"/>
        <v>0</v>
      </c>
      <c r="R178" s="85"/>
      <c r="S178" s="624"/>
      <c r="T178" s="260" t="str">
        <f t="shared" si="7"/>
        <v/>
      </c>
      <c r="U178" s="624"/>
      <c r="V178" s="85"/>
      <c r="W178" s="624"/>
      <c r="X178" s="81"/>
      <c r="Y178" s="80"/>
      <c r="Z178" s="737">
        <f ca="1">MAX(0%,IF(Q178&lt;&gt;0,MIN((S178-Q178)/Q178/'NSLT Health Risk'!$E$27,'Health Prem &amp; Reserve Risk'!$Z$123),'Health Prem &amp; Reserve Risk'!$Z$123))</f>
        <v>8.5000000000000006E-2</v>
      </c>
      <c r="AA178" s="80"/>
      <c r="AB178" s="80"/>
      <c r="AC178" s="737">
        <f ca="1">MAX(0%,IF(U178&lt;&gt;0,MIN((W178-U178)/U178/'NSLT Health Risk'!$E$27,'Health Prem &amp; Reserve Risk'!$AC$123),'Health Prem &amp; Reserve Risk'!$AC$123))</f>
        <v>0.14000000000000001</v>
      </c>
      <c r="AD178" s="81"/>
      <c r="AE178" s="53"/>
      <c r="AF178" s="53"/>
    </row>
    <row r="179" spans="1:32" ht="12.75" customHeight="1" x14ac:dyDescent="0.25">
      <c r="A179" s="53"/>
      <c r="B179" s="257">
        <v>55</v>
      </c>
      <c r="C179" s="652"/>
      <c r="D179" s="80"/>
      <c r="E179" s="80"/>
      <c r="F179" s="256">
        <f t="shared" ca="1" si="6"/>
        <v>0</v>
      </c>
      <c r="G179" s="624"/>
      <c r="H179" s="85"/>
      <c r="I179" s="624"/>
      <c r="J179" s="85"/>
      <c r="K179" s="624"/>
      <c r="L179" s="85"/>
      <c r="M179" s="624"/>
      <c r="N179" s="85"/>
      <c r="O179" s="624"/>
      <c r="P179" s="85"/>
      <c r="Q179" s="626">
        <f t="shared" si="5"/>
        <v>0</v>
      </c>
      <c r="R179" s="85"/>
      <c r="S179" s="624"/>
      <c r="T179" s="260" t="str">
        <f t="shared" si="7"/>
        <v/>
      </c>
      <c r="U179" s="624"/>
      <c r="V179" s="85"/>
      <c r="W179" s="624"/>
      <c r="X179" s="81"/>
      <c r="Y179" s="80"/>
      <c r="Z179" s="737">
        <f ca="1">MAX(0%,IF(Q179&lt;&gt;0,MIN((S179-Q179)/Q179/'NSLT Health Risk'!$E$27,'Health Prem &amp; Reserve Risk'!$Z$123),'Health Prem &amp; Reserve Risk'!$Z$123))</f>
        <v>8.5000000000000006E-2</v>
      </c>
      <c r="AA179" s="80"/>
      <c r="AB179" s="80"/>
      <c r="AC179" s="737">
        <f ca="1">MAX(0%,IF(U179&lt;&gt;0,MIN((W179-U179)/U179/'NSLT Health Risk'!$E$27,'Health Prem &amp; Reserve Risk'!$AC$123),'Health Prem &amp; Reserve Risk'!$AC$123))</f>
        <v>0.14000000000000001</v>
      </c>
      <c r="AD179" s="81"/>
      <c r="AE179" s="53"/>
      <c r="AF179" s="53"/>
    </row>
    <row r="180" spans="1:32" ht="12.75" customHeight="1" x14ac:dyDescent="0.25">
      <c r="A180" s="53"/>
      <c r="B180" s="257">
        <v>56</v>
      </c>
      <c r="C180" s="652"/>
      <c r="D180" s="80"/>
      <c r="E180" s="80"/>
      <c r="F180" s="256">
        <f t="shared" ca="1" si="6"/>
        <v>0</v>
      </c>
      <c r="G180" s="624"/>
      <c r="H180" s="85"/>
      <c r="I180" s="624"/>
      <c r="J180" s="85"/>
      <c r="K180" s="624"/>
      <c r="L180" s="85"/>
      <c r="M180" s="624"/>
      <c r="N180" s="85"/>
      <c r="O180" s="624"/>
      <c r="P180" s="85"/>
      <c r="Q180" s="626">
        <f t="shared" si="5"/>
        <v>0</v>
      </c>
      <c r="R180" s="85"/>
      <c r="S180" s="624"/>
      <c r="T180" s="260" t="str">
        <f t="shared" si="7"/>
        <v/>
      </c>
      <c r="U180" s="624"/>
      <c r="V180" s="85"/>
      <c r="W180" s="624"/>
      <c r="X180" s="81"/>
      <c r="Y180" s="80"/>
      <c r="Z180" s="737">
        <f ca="1">MAX(0%,IF(Q180&lt;&gt;0,MIN((S180-Q180)/Q180/'NSLT Health Risk'!$E$27,'Health Prem &amp; Reserve Risk'!$Z$123),'Health Prem &amp; Reserve Risk'!$Z$123))</f>
        <v>8.5000000000000006E-2</v>
      </c>
      <c r="AA180" s="80"/>
      <c r="AB180" s="80"/>
      <c r="AC180" s="737">
        <f ca="1">MAX(0%,IF(U180&lt;&gt;0,MIN((W180-U180)/U180/'NSLT Health Risk'!$E$27,'Health Prem &amp; Reserve Risk'!$AC$123),'Health Prem &amp; Reserve Risk'!$AC$123))</f>
        <v>0.14000000000000001</v>
      </c>
      <c r="AD180" s="81"/>
      <c r="AE180" s="53"/>
      <c r="AF180" s="53"/>
    </row>
    <row r="181" spans="1:32" ht="12.75" customHeight="1" x14ac:dyDescent="0.25">
      <c r="A181" s="53"/>
      <c r="B181" s="257">
        <v>57</v>
      </c>
      <c r="C181" s="652"/>
      <c r="D181" s="80"/>
      <c r="E181" s="80"/>
      <c r="F181" s="256">
        <f t="shared" ca="1" si="6"/>
        <v>0</v>
      </c>
      <c r="G181" s="624"/>
      <c r="H181" s="85"/>
      <c r="I181" s="624"/>
      <c r="J181" s="85"/>
      <c r="K181" s="624"/>
      <c r="L181" s="85"/>
      <c r="M181" s="624"/>
      <c r="N181" s="85"/>
      <c r="O181" s="624"/>
      <c r="P181" s="85"/>
      <c r="Q181" s="626">
        <f t="shared" si="5"/>
        <v>0</v>
      </c>
      <c r="R181" s="85"/>
      <c r="S181" s="624"/>
      <c r="T181" s="260" t="str">
        <f t="shared" si="7"/>
        <v/>
      </c>
      <c r="U181" s="624"/>
      <c r="V181" s="85"/>
      <c r="W181" s="624"/>
      <c r="X181" s="81"/>
      <c r="Y181" s="80"/>
      <c r="Z181" s="737">
        <f ca="1">MAX(0%,IF(Q181&lt;&gt;0,MIN((S181-Q181)/Q181/'NSLT Health Risk'!$E$27,'Health Prem &amp; Reserve Risk'!$Z$123),'Health Prem &amp; Reserve Risk'!$Z$123))</f>
        <v>8.5000000000000006E-2</v>
      </c>
      <c r="AA181" s="80"/>
      <c r="AB181" s="80"/>
      <c r="AC181" s="737">
        <f ca="1">MAX(0%,IF(U181&lt;&gt;0,MIN((W181-U181)/U181/'NSLT Health Risk'!$E$27,'Health Prem &amp; Reserve Risk'!$AC$123),'Health Prem &amp; Reserve Risk'!$AC$123))</f>
        <v>0.14000000000000001</v>
      </c>
      <c r="AD181" s="81"/>
      <c r="AE181" s="53"/>
      <c r="AF181" s="53"/>
    </row>
    <row r="182" spans="1:32" ht="12.75" customHeight="1" x14ac:dyDescent="0.25">
      <c r="A182" s="53"/>
      <c r="B182" s="257">
        <v>58</v>
      </c>
      <c r="C182" s="652"/>
      <c r="D182" s="80"/>
      <c r="E182" s="80"/>
      <c r="F182" s="256">
        <f t="shared" ca="1" si="6"/>
        <v>0</v>
      </c>
      <c r="G182" s="624"/>
      <c r="H182" s="85"/>
      <c r="I182" s="624"/>
      <c r="J182" s="85"/>
      <c r="K182" s="624"/>
      <c r="L182" s="85"/>
      <c r="M182" s="624"/>
      <c r="N182" s="85"/>
      <c r="O182" s="624"/>
      <c r="P182" s="85"/>
      <c r="Q182" s="626">
        <f t="shared" si="5"/>
        <v>0</v>
      </c>
      <c r="R182" s="85"/>
      <c r="S182" s="624"/>
      <c r="T182" s="260" t="str">
        <f t="shared" si="7"/>
        <v/>
      </c>
      <c r="U182" s="624"/>
      <c r="V182" s="85"/>
      <c r="W182" s="624"/>
      <c r="X182" s="81"/>
      <c r="Y182" s="80"/>
      <c r="Z182" s="737">
        <f ca="1">MAX(0%,IF(Q182&lt;&gt;0,MIN((S182-Q182)/Q182/'NSLT Health Risk'!$E$27,'Health Prem &amp; Reserve Risk'!$Z$123),'Health Prem &amp; Reserve Risk'!$Z$123))</f>
        <v>8.5000000000000006E-2</v>
      </c>
      <c r="AA182" s="80"/>
      <c r="AB182" s="80"/>
      <c r="AC182" s="737">
        <f ca="1">MAX(0%,IF(U182&lt;&gt;0,MIN((W182-U182)/U182/'NSLT Health Risk'!$E$27,'Health Prem &amp; Reserve Risk'!$AC$123),'Health Prem &amp; Reserve Risk'!$AC$123))</f>
        <v>0.14000000000000001</v>
      </c>
      <c r="AD182" s="81"/>
      <c r="AE182" s="53"/>
      <c r="AF182" s="53"/>
    </row>
    <row r="183" spans="1:32" ht="12.75" customHeight="1" x14ac:dyDescent="0.25">
      <c r="A183" s="53"/>
      <c r="B183" s="257">
        <v>59</v>
      </c>
      <c r="C183" s="652"/>
      <c r="D183" s="80"/>
      <c r="E183" s="80"/>
      <c r="F183" s="256">
        <f t="shared" ca="1" si="6"/>
        <v>0</v>
      </c>
      <c r="G183" s="624"/>
      <c r="H183" s="85"/>
      <c r="I183" s="624"/>
      <c r="J183" s="85"/>
      <c r="K183" s="624"/>
      <c r="L183" s="85"/>
      <c r="M183" s="624"/>
      <c r="N183" s="85"/>
      <c r="O183" s="624"/>
      <c r="P183" s="85"/>
      <c r="Q183" s="626">
        <f t="shared" si="5"/>
        <v>0</v>
      </c>
      <c r="R183" s="85"/>
      <c r="S183" s="624"/>
      <c r="T183" s="260" t="str">
        <f t="shared" si="7"/>
        <v/>
      </c>
      <c r="U183" s="624"/>
      <c r="V183" s="85"/>
      <c r="W183" s="624"/>
      <c r="X183" s="81"/>
      <c r="Y183" s="80"/>
      <c r="Z183" s="737">
        <f ca="1">MAX(0%,IF(Q183&lt;&gt;0,MIN((S183-Q183)/Q183/'NSLT Health Risk'!$E$27,'Health Prem &amp; Reserve Risk'!$Z$123),'Health Prem &amp; Reserve Risk'!$Z$123))</f>
        <v>8.5000000000000006E-2</v>
      </c>
      <c r="AA183" s="80"/>
      <c r="AB183" s="80"/>
      <c r="AC183" s="737">
        <f ca="1">MAX(0%,IF(U183&lt;&gt;0,MIN((W183-U183)/U183/'NSLT Health Risk'!$E$27,'Health Prem &amp; Reserve Risk'!$AC$123),'Health Prem &amp; Reserve Risk'!$AC$123))</f>
        <v>0.14000000000000001</v>
      </c>
      <c r="AD183" s="81"/>
      <c r="AE183" s="53"/>
      <c r="AF183" s="53"/>
    </row>
    <row r="184" spans="1:32" ht="12.75" customHeight="1" x14ac:dyDescent="0.25">
      <c r="A184" s="53"/>
      <c r="B184" s="257">
        <v>60</v>
      </c>
      <c r="C184" s="652"/>
      <c r="D184" s="80"/>
      <c r="E184" s="80"/>
      <c r="F184" s="256">
        <f t="shared" ca="1" si="6"/>
        <v>0</v>
      </c>
      <c r="G184" s="624"/>
      <c r="H184" s="85"/>
      <c r="I184" s="624"/>
      <c r="J184" s="85"/>
      <c r="K184" s="624"/>
      <c r="L184" s="85"/>
      <c r="M184" s="624"/>
      <c r="N184" s="85"/>
      <c r="O184" s="624"/>
      <c r="P184" s="85"/>
      <c r="Q184" s="626">
        <f t="shared" si="5"/>
        <v>0</v>
      </c>
      <c r="R184" s="85"/>
      <c r="S184" s="624"/>
      <c r="T184" s="260" t="str">
        <f t="shared" si="7"/>
        <v/>
      </c>
      <c r="U184" s="624"/>
      <c r="V184" s="85"/>
      <c r="W184" s="624"/>
      <c r="X184" s="81"/>
      <c r="Y184" s="80"/>
      <c r="Z184" s="737">
        <f ca="1">MAX(0%,IF(Q184&lt;&gt;0,MIN((S184-Q184)/Q184/'NSLT Health Risk'!$E$27,'Health Prem &amp; Reserve Risk'!$Z$123),'Health Prem &amp; Reserve Risk'!$Z$123))</f>
        <v>8.5000000000000006E-2</v>
      </c>
      <c r="AA184" s="80"/>
      <c r="AB184" s="80"/>
      <c r="AC184" s="737">
        <f ca="1">MAX(0%,IF(U184&lt;&gt;0,MIN((W184-U184)/U184/'NSLT Health Risk'!$E$27,'Health Prem &amp; Reserve Risk'!$AC$123),'Health Prem &amp; Reserve Risk'!$AC$123))</f>
        <v>0.14000000000000001</v>
      </c>
      <c r="AD184" s="81"/>
      <c r="AE184" s="53"/>
      <c r="AF184" s="53"/>
    </row>
    <row r="185" spans="1:32" ht="12.75" customHeight="1" x14ac:dyDescent="0.25">
      <c r="A185" s="53"/>
      <c r="B185" s="257">
        <v>61</v>
      </c>
      <c r="C185" s="652"/>
      <c r="D185" s="80"/>
      <c r="E185" s="80"/>
      <c r="F185" s="256">
        <f t="shared" ca="1" si="6"/>
        <v>0</v>
      </c>
      <c r="G185" s="624"/>
      <c r="H185" s="85"/>
      <c r="I185" s="624"/>
      <c r="J185" s="85"/>
      <c r="K185" s="624"/>
      <c r="L185" s="85"/>
      <c r="M185" s="624"/>
      <c r="N185" s="85"/>
      <c r="O185" s="624"/>
      <c r="P185" s="85"/>
      <c r="Q185" s="626">
        <f t="shared" si="5"/>
        <v>0</v>
      </c>
      <c r="R185" s="85"/>
      <c r="S185" s="624"/>
      <c r="T185" s="260" t="str">
        <f t="shared" si="7"/>
        <v/>
      </c>
      <c r="U185" s="624"/>
      <c r="V185" s="85"/>
      <c r="W185" s="624"/>
      <c r="X185" s="81"/>
      <c r="Y185" s="80"/>
      <c r="Z185" s="737">
        <f ca="1">MAX(0%,IF(Q185&lt;&gt;0,MIN((S185-Q185)/Q185/'NSLT Health Risk'!$E$27,'Health Prem &amp; Reserve Risk'!$Z$123),'Health Prem &amp; Reserve Risk'!$Z$123))</f>
        <v>8.5000000000000006E-2</v>
      </c>
      <c r="AA185" s="80"/>
      <c r="AB185" s="80"/>
      <c r="AC185" s="737">
        <f ca="1">MAX(0%,IF(U185&lt;&gt;0,MIN((W185-U185)/U185/'NSLT Health Risk'!$E$27,'Health Prem &amp; Reserve Risk'!$AC$123),'Health Prem &amp; Reserve Risk'!$AC$123))</f>
        <v>0.14000000000000001</v>
      </c>
      <c r="AD185" s="81"/>
      <c r="AE185" s="53"/>
      <c r="AF185" s="53"/>
    </row>
    <row r="186" spans="1:32" ht="12.75" customHeight="1" x14ac:dyDescent="0.25">
      <c r="A186" s="53"/>
      <c r="B186" s="257">
        <v>62</v>
      </c>
      <c r="C186" s="652"/>
      <c r="D186" s="80"/>
      <c r="E186" s="80"/>
      <c r="F186" s="256">
        <f t="shared" ca="1" si="6"/>
        <v>0</v>
      </c>
      <c r="G186" s="624"/>
      <c r="H186" s="85"/>
      <c r="I186" s="624"/>
      <c r="J186" s="85"/>
      <c r="K186" s="624"/>
      <c r="L186" s="85"/>
      <c r="M186" s="624"/>
      <c r="N186" s="85"/>
      <c r="O186" s="624"/>
      <c r="P186" s="85"/>
      <c r="Q186" s="626">
        <f t="shared" si="5"/>
        <v>0</v>
      </c>
      <c r="R186" s="85"/>
      <c r="S186" s="624"/>
      <c r="T186" s="260" t="str">
        <f t="shared" si="7"/>
        <v/>
      </c>
      <c r="U186" s="624"/>
      <c r="V186" s="85"/>
      <c r="W186" s="624"/>
      <c r="X186" s="81"/>
      <c r="Y186" s="80"/>
      <c r="Z186" s="737">
        <f ca="1">MAX(0%,IF(Q186&lt;&gt;0,MIN((S186-Q186)/Q186/'NSLT Health Risk'!$E$27,'Health Prem &amp; Reserve Risk'!$Z$123),'Health Prem &amp; Reserve Risk'!$Z$123))</f>
        <v>8.5000000000000006E-2</v>
      </c>
      <c r="AA186" s="80"/>
      <c r="AB186" s="80"/>
      <c r="AC186" s="737">
        <f ca="1">MAX(0%,IF(U186&lt;&gt;0,MIN((W186-U186)/U186/'NSLT Health Risk'!$E$27,'Health Prem &amp; Reserve Risk'!$AC$123),'Health Prem &amp; Reserve Risk'!$AC$123))</f>
        <v>0.14000000000000001</v>
      </c>
      <c r="AD186" s="81"/>
      <c r="AE186" s="53"/>
      <c r="AF186" s="53"/>
    </row>
    <row r="187" spans="1:32" ht="12.75" customHeight="1" x14ac:dyDescent="0.25">
      <c r="A187" s="53"/>
      <c r="B187" s="257">
        <v>63</v>
      </c>
      <c r="C187" s="652"/>
      <c r="D187" s="80"/>
      <c r="E187" s="80"/>
      <c r="F187" s="256">
        <f t="shared" ca="1" si="6"/>
        <v>0</v>
      </c>
      <c r="G187" s="624"/>
      <c r="H187" s="85"/>
      <c r="I187" s="624"/>
      <c r="J187" s="85"/>
      <c r="K187" s="624"/>
      <c r="L187" s="85"/>
      <c r="M187" s="624"/>
      <c r="N187" s="85"/>
      <c r="O187" s="624"/>
      <c r="P187" s="85"/>
      <c r="Q187" s="626">
        <f t="shared" si="5"/>
        <v>0</v>
      </c>
      <c r="R187" s="85"/>
      <c r="S187" s="624"/>
      <c r="T187" s="260" t="str">
        <f t="shared" si="7"/>
        <v/>
      </c>
      <c r="U187" s="624"/>
      <c r="V187" s="85"/>
      <c r="W187" s="624"/>
      <c r="X187" s="81"/>
      <c r="Y187" s="80"/>
      <c r="Z187" s="737">
        <f ca="1">MAX(0%,IF(Q187&lt;&gt;0,MIN((S187-Q187)/Q187/'NSLT Health Risk'!$E$27,'Health Prem &amp; Reserve Risk'!$Z$123),'Health Prem &amp; Reserve Risk'!$Z$123))</f>
        <v>8.5000000000000006E-2</v>
      </c>
      <c r="AA187" s="80"/>
      <c r="AB187" s="80"/>
      <c r="AC187" s="737">
        <f ca="1">MAX(0%,IF(U187&lt;&gt;0,MIN((W187-U187)/U187/'NSLT Health Risk'!$E$27,'Health Prem &amp; Reserve Risk'!$AC$123),'Health Prem &amp; Reserve Risk'!$AC$123))</f>
        <v>0.14000000000000001</v>
      </c>
      <c r="AD187" s="81"/>
      <c r="AE187" s="53"/>
      <c r="AF187" s="53"/>
    </row>
    <row r="188" spans="1:32" ht="12.75" customHeight="1" x14ac:dyDescent="0.25">
      <c r="A188" s="53"/>
      <c r="B188" s="257">
        <v>64</v>
      </c>
      <c r="C188" s="652"/>
      <c r="D188" s="80"/>
      <c r="E188" s="80"/>
      <c r="F188" s="256">
        <f t="shared" ca="1" si="6"/>
        <v>0</v>
      </c>
      <c r="G188" s="624"/>
      <c r="H188" s="85"/>
      <c r="I188" s="624"/>
      <c r="J188" s="85"/>
      <c r="K188" s="624"/>
      <c r="L188" s="85"/>
      <c r="M188" s="624"/>
      <c r="N188" s="85"/>
      <c r="O188" s="624"/>
      <c r="P188" s="85"/>
      <c r="Q188" s="626">
        <f t="shared" si="5"/>
        <v>0</v>
      </c>
      <c r="R188" s="85"/>
      <c r="S188" s="624"/>
      <c r="T188" s="260" t="str">
        <f t="shared" si="7"/>
        <v/>
      </c>
      <c r="U188" s="624"/>
      <c r="V188" s="85"/>
      <c r="W188" s="624"/>
      <c r="X188" s="81"/>
      <c r="Y188" s="80"/>
      <c r="Z188" s="737">
        <f ca="1">MAX(0%,IF(Q188&lt;&gt;0,MIN((S188-Q188)/Q188/'NSLT Health Risk'!$E$27,'Health Prem &amp; Reserve Risk'!$Z$123),'Health Prem &amp; Reserve Risk'!$Z$123))</f>
        <v>8.5000000000000006E-2</v>
      </c>
      <c r="AA188" s="80"/>
      <c r="AB188" s="80"/>
      <c r="AC188" s="737">
        <f ca="1">MAX(0%,IF(U188&lt;&gt;0,MIN((W188-U188)/U188/'NSLT Health Risk'!$E$27,'Health Prem &amp; Reserve Risk'!$AC$123),'Health Prem &amp; Reserve Risk'!$AC$123))</f>
        <v>0.14000000000000001</v>
      </c>
      <c r="AD188" s="81"/>
      <c r="AE188" s="53"/>
      <c r="AF188" s="53"/>
    </row>
    <row r="189" spans="1:32" ht="12.75" customHeight="1" x14ac:dyDescent="0.25">
      <c r="A189" s="53"/>
      <c r="B189" s="257">
        <v>65</v>
      </c>
      <c r="C189" s="652"/>
      <c r="D189" s="80"/>
      <c r="E189" s="80"/>
      <c r="F189" s="256">
        <f t="shared" ca="1" si="6"/>
        <v>0</v>
      </c>
      <c r="G189" s="624"/>
      <c r="H189" s="85"/>
      <c r="I189" s="624"/>
      <c r="J189" s="85"/>
      <c r="K189" s="624"/>
      <c r="L189" s="85"/>
      <c r="M189" s="624"/>
      <c r="N189" s="85"/>
      <c r="O189" s="624"/>
      <c r="P189" s="85"/>
      <c r="Q189" s="626">
        <f t="shared" si="5"/>
        <v>0</v>
      </c>
      <c r="R189" s="85"/>
      <c r="S189" s="624"/>
      <c r="T189" s="260" t="str">
        <f t="shared" si="7"/>
        <v/>
      </c>
      <c r="U189" s="624"/>
      <c r="V189" s="85"/>
      <c r="W189" s="624"/>
      <c r="X189" s="81"/>
      <c r="Y189" s="80"/>
      <c r="Z189" s="737">
        <f ca="1">MAX(0%,IF(Q189&lt;&gt;0,MIN((S189-Q189)/Q189/'NSLT Health Risk'!$E$27,'Health Prem &amp; Reserve Risk'!$Z$123),'Health Prem &amp; Reserve Risk'!$Z$123))</f>
        <v>8.5000000000000006E-2</v>
      </c>
      <c r="AA189" s="80"/>
      <c r="AB189" s="80"/>
      <c r="AC189" s="737">
        <f ca="1">MAX(0%,IF(U189&lt;&gt;0,MIN((W189-U189)/U189/'NSLT Health Risk'!$E$27,'Health Prem &amp; Reserve Risk'!$AC$123),'Health Prem &amp; Reserve Risk'!$AC$123))</f>
        <v>0.14000000000000001</v>
      </c>
      <c r="AD189" s="81"/>
      <c r="AE189" s="53"/>
      <c r="AF189" s="53"/>
    </row>
    <row r="190" spans="1:32" ht="12.75" customHeight="1" x14ac:dyDescent="0.25">
      <c r="A190" s="53"/>
      <c r="B190" s="257">
        <v>66</v>
      </c>
      <c r="C190" s="652"/>
      <c r="D190" s="80"/>
      <c r="E190" s="80"/>
      <c r="F190" s="256">
        <f t="shared" ref="F190:F224" ca="1" si="8">IF(B190&lt;=OFFSET($Z$8,B$122-10,0),0,1)</f>
        <v>0</v>
      </c>
      <c r="G190" s="624"/>
      <c r="H190" s="85"/>
      <c r="I190" s="624"/>
      <c r="J190" s="85"/>
      <c r="K190" s="624"/>
      <c r="L190" s="85"/>
      <c r="M190" s="624"/>
      <c r="N190" s="85"/>
      <c r="O190" s="624"/>
      <c r="P190" s="85"/>
      <c r="Q190" s="626">
        <f t="shared" si="5"/>
        <v>0</v>
      </c>
      <c r="R190" s="85"/>
      <c r="S190" s="624"/>
      <c r="T190" s="260" t="str">
        <f t="shared" si="7"/>
        <v/>
      </c>
      <c r="U190" s="624"/>
      <c r="V190" s="85"/>
      <c r="W190" s="624"/>
      <c r="X190" s="81"/>
      <c r="Y190" s="80"/>
      <c r="Z190" s="737">
        <f ca="1">MAX(0%,IF(Q190&lt;&gt;0,MIN((S190-Q190)/Q190/'NSLT Health Risk'!$E$27,'Health Prem &amp; Reserve Risk'!$Z$123),'Health Prem &amp; Reserve Risk'!$Z$123))</f>
        <v>8.5000000000000006E-2</v>
      </c>
      <c r="AA190" s="80"/>
      <c r="AB190" s="80"/>
      <c r="AC190" s="737">
        <f ca="1">MAX(0%,IF(U190&lt;&gt;0,MIN((W190-U190)/U190/'NSLT Health Risk'!$E$27,'Health Prem &amp; Reserve Risk'!$AC$123),'Health Prem &amp; Reserve Risk'!$AC$123))</f>
        <v>0.14000000000000001</v>
      </c>
      <c r="AD190" s="81"/>
      <c r="AE190" s="53"/>
      <c r="AF190" s="53"/>
    </row>
    <row r="191" spans="1:32" ht="12.75" customHeight="1" x14ac:dyDescent="0.25">
      <c r="A191" s="53"/>
      <c r="B191" s="257">
        <v>67</v>
      </c>
      <c r="C191" s="652"/>
      <c r="D191" s="80"/>
      <c r="E191" s="80"/>
      <c r="F191" s="256">
        <f t="shared" ca="1" si="8"/>
        <v>0</v>
      </c>
      <c r="G191" s="624"/>
      <c r="H191" s="85"/>
      <c r="I191" s="624"/>
      <c r="J191" s="85"/>
      <c r="K191" s="624"/>
      <c r="L191" s="85"/>
      <c r="M191" s="624"/>
      <c r="N191" s="85"/>
      <c r="O191" s="624"/>
      <c r="P191" s="85"/>
      <c r="Q191" s="626">
        <f t="shared" si="5"/>
        <v>0</v>
      </c>
      <c r="R191" s="85"/>
      <c r="S191" s="624"/>
      <c r="T191" s="260" t="str">
        <f t="shared" si="7"/>
        <v/>
      </c>
      <c r="U191" s="624"/>
      <c r="V191" s="85"/>
      <c r="W191" s="624"/>
      <c r="X191" s="81"/>
      <c r="Y191" s="80"/>
      <c r="Z191" s="737">
        <f ca="1">MAX(0%,IF(Q191&lt;&gt;0,MIN((S191-Q191)/Q191/'NSLT Health Risk'!$E$27,'Health Prem &amp; Reserve Risk'!$Z$123),'Health Prem &amp; Reserve Risk'!$Z$123))</f>
        <v>8.5000000000000006E-2</v>
      </c>
      <c r="AA191" s="80"/>
      <c r="AB191" s="80"/>
      <c r="AC191" s="737">
        <f ca="1">MAX(0%,IF(U191&lt;&gt;0,MIN((W191-U191)/U191/'NSLT Health Risk'!$E$27,'Health Prem &amp; Reserve Risk'!$AC$123),'Health Prem &amp; Reserve Risk'!$AC$123))</f>
        <v>0.14000000000000001</v>
      </c>
      <c r="AD191" s="81"/>
      <c r="AE191" s="53"/>
      <c r="AF191" s="53"/>
    </row>
    <row r="192" spans="1:32" ht="12.75" customHeight="1" x14ac:dyDescent="0.25">
      <c r="A192" s="53"/>
      <c r="B192" s="257">
        <v>68</v>
      </c>
      <c r="C192" s="652"/>
      <c r="D192" s="80"/>
      <c r="E192" s="80"/>
      <c r="F192" s="256">
        <f t="shared" ca="1" si="8"/>
        <v>0</v>
      </c>
      <c r="G192" s="624"/>
      <c r="H192" s="85"/>
      <c r="I192" s="624"/>
      <c r="J192" s="85"/>
      <c r="K192" s="624"/>
      <c r="L192" s="85"/>
      <c r="M192" s="624"/>
      <c r="N192" s="85"/>
      <c r="O192" s="624"/>
      <c r="P192" s="85"/>
      <c r="Q192" s="626">
        <f t="shared" si="5"/>
        <v>0</v>
      </c>
      <c r="R192" s="85"/>
      <c r="S192" s="624"/>
      <c r="T192" s="260" t="str">
        <f t="shared" si="7"/>
        <v/>
      </c>
      <c r="U192" s="624"/>
      <c r="V192" s="85"/>
      <c r="W192" s="624"/>
      <c r="X192" s="81"/>
      <c r="Y192" s="80"/>
      <c r="Z192" s="737">
        <f ca="1">MAX(0%,IF(Q192&lt;&gt;0,MIN((S192-Q192)/Q192/'NSLT Health Risk'!$E$27,'Health Prem &amp; Reserve Risk'!$Z$123),'Health Prem &amp; Reserve Risk'!$Z$123))</f>
        <v>8.5000000000000006E-2</v>
      </c>
      <c r="AA192" s="80"/>
      <c r="AB192" s="80"/>
      <c r="AC192" s="737">
        <f ca="1">MAX(0%,IF(U192&lt;&gt;0,MIN((W192-U192)/U192/'NSLT Health Risk'!$E$27,'Health Prem &amp; Reserve Risk'!$AC$123),'Health Prem &amp; Reserve Risk'!$AC$123))</f>
        <v>0.14000000000000001</v>
      </c>
      <c r="AD192" s="81"/>
      <c r="AE192" s="53"/>
      <c r="AF192" s="53"/>
    </row>
    <row r="193" spans="1:32" ht="12.75" customHeight="1" x14ac:dyDescent="0.25">
      <c r="A193" s="53"/>
      <c r="B193" s="257">
        <v>69</v>
      </c>
      <c r="C193" s="652"/>
      <c r="D193" s="80"/>
      <c r="E193" s="80"/>
      <c r="F193" s="256">
        <f t="shared" ca="1" si="8"/>
        <v>0</v>
      </c>
      <c r="G193" s="624"/>
      <c r="H193" s="85"/>
      <c r="I193" s="624"/>
      <c r="J193" s="85"/>
      <c r="K193" s="624"/>
      <c r="L193" s="85"/>
      <c r="M193" s="624"/>
      <c r="N193" s="85"/>
      <c r="O193" s="624"/>
      <c r="P193" s="85"/>
      <c r="Q193" s="626">
        <f t="shared" si="5"/>
        <v>0</v>
      </c>
      <c r="R193" s="85"/>
      <c r="S193" s="624"/>
      <c r="T193" s="260" t="str">
        <f t="shared" si="7"/>
        <v/>
      </c>
      <c r="U193" s="624"/>
      <c r="V193" s="85"/>
      <c r="W193" s="624"/>
      <c r="X193" s="81"/>
      <c r="Y193" s="80"/>
      <c r="Z193" s="737">
        <f ca="1">MAX(0%,IF(Q193&lt;&gt;0,MIN((S193-Q193)/Q193/'NSLT Health Risk'!$E$27,'Health Prem &amp; Reserve Risk'!$Z$123),'Health Prem &amp; Reserve Risk'!$Z$123))</f>
        <v>8.5000000000000006E-2</v>
      </c>
      <c r="AA193" s="80"/>
      <c r="AB193" s="80"/>
      <c r="AC193" s="737">
        <f ca="1">MAX(0%,IF(U193&lt;&gt;0,MIN((W193-U193)/U193/'NSLT Health Risk'!$E$27,'Health Prem &amp; Reserve Risk'!$AC$123),'Health Prem &amp; Reserve Risk'!$AC$123))</f>
        <v>0.14000000000000001</v>
      </c>
      <c r="AD193" s="81"/>
      <c r="AE193" s="53"/>
      <c r="AF193" s="53"/>
    </row>
    <row r="194" spans="1:32" ht="12.75" customHeight="1" x14ac:dyDescent="0.25">
      <c r="A194" s="53"/>
      <c r="B194" s="257">
        <v>70</v>
      </c>
      <c r="C194" s="652"/>
      <c r="D194" s="80"/>
      <c r="E194" s="80"/>
      <c r="F194" s="256">
        <f t="shared" ca="1" si="8"/>
        <v>0</v>
      </c>
      <c r="G194" s="624"/>
      <c r="H194" s="85"/>
      <c r="I194" s="624"/>
      <c r="J194" s="85"/>
      <c r="K194" s="624"/>
      <c r="L194" s="85"/>
      <c r="M194" s="624"/>
      <c r="N194" s="85"/>
      <c r="O194" s="624"/>
      <c r="P194" s="85"/>
      <c r="Q194" s="626">
        <f t="shared" si="5"/>
        <v>0</v>
      </c>
      <c r="R194" s="85"/>
      <c r="S194" s="624"/>
      <c r="T194" s="260" t="str">
        <f t="shared" si="7"/>
        <v/>
      </c>
      <c r="U194" s="624"/>
      <c r="V194" s="85"/>
      <c r="W194" s="624"/>
      <c r="X194" s="81"/>
      <c r="Y194" s="80"/>
      <c r="Z194" s="737">
        <f ca="1">MAX(0%,IF(Q194&lt;&gt;0,MIN((S194-Q194)/Q194/'NSLT Health Risk'!$E$27,'Health Prem &amp; Reserve Risk'!$Z$123),'Health Prem &amp; Reserve Risk'!$Z$123))</f>
        <v>8.5000000000000006E-2</v>
      </c>
      <c r="AA194" s="80"/>
      <c r="AB194" s="80"/>
      <c r="AC194" s="737">
        <f ca="1">MAX(0%,IF(U194&lt;&gt;0,MIN((W194-U194)/U194/'NSLT Health Risk'!$E$27,'Health Prem &amp; Reserve Risk'!$AC$123),'Health Prem &amp; Reserve Risk'!$AC$123))</f>
        <v>0.14000000000000001</v>
      </c>
      <c r="AD194" s="81"/>
      <c r="AE194" s="53"/>
      <c r="AF194" s="53"/>
    </row>
    <row r="195" spans="1:32" ht="12.75" customHeight="1" x14ac:dyDescent="0.25">
      <c r="A195" s="53"/>
      <c r="B195" s="257">
        <v>71</v>
      </c>
      <c r="C195" s="652"/>
      <c r="D195" s="80"/>
      <c r="E195" s="80"/>
      <c r="F195" s="256">
        <f t="shared" ca="1" si="8"/>
        <v>0</v>
      </c>
      <c r="G195" s="624"/>
      <c r="H195" s="85"/>
      <c r="I195" s="624"/>
      <c r="J195" s="85"/>
      <c r="K195" s="624"/>
      <c r="L195" s="85"/>
      <c r="M195" s="624"/>
      <c r="N195" s="85"/>
      <c r="O195" s="624"/>
      <c r="P195" s="85"/>
      <c r="Q195" s="626">
        <f t="shared" si="5"/>
        <v>0</v>
      </c>
      <c r="R195" s="85"/>
      <c r="S195" s="624"/>
      <c r="T195" s="260" t="str">
        <f t="shared" si="7"/>
        <v/>
      </c>
      <c r="U195" s="624"/>
      <c r="V195" s="85"/>
      <c r="W195" s="624"/>
      <c r="X195" s="81"/>
      <c r="Y195" s="80"/>
      <c r="Z195" s="737">
        <f ca="1">MAX(0%,IF(Q195&lt;&gt;0,MIN((S195-Q195)/Q195/'NSLT Health Risk'!$E$27,'Health Prem &amp; Reserve Risk'!$Z$123),'Health Prem &amp; Reserve Risk'!$Z$123))</f>
        <v>8.5000000000000006E-2</v>
      </c>
      <c r="AA195" s="80"/>
      <c r="AB195" s="80"/>
      <c r="AC195" s="737">
        <f ca="1">MAX(0%,IF(U195&lt;&gt;0,MIN((W195-U195)/U195/'NSLT Health Risk'!$E$27,'Health Prem &amp; Reserve Risk'!$AC$123),'Health Prem &amp; Reserve Risk'!$AC$123))</f>
        <v>0.14000000000000001</v>
      </c>
      <c r="AD195" s="81"/>
      <c r="AE195" s="53"/>
      <c r="AF195" s="53"/>
    </row>
    <row r="196" spans="1:32" ht="12.75" customHeight="1" x14ac:dyDescent="0.25">
      <c r="A196" s="53"/>
      <c r="B196" s="257">
        <v>72</v>
      </c>
      <c r="C196" s="652"/>
      <c r="D196" s="80"/>
      <c r="E196" s="80"/>
      <c r="F196" s="256">
        <f t="shared" ca="1" si="8"/>
        <v>0</v>
      </c>
      <c r="G196" s="624"/>
      <c r="H196" s="85"/>
      <c r="I196" s="624"/>
      <c r="J196" s="85"/>
      <c r="K196" s="624"/>
      <c r="L196" s="85"/>
      <c r="M196" s="624"/>
      <c r="N196" s="85"/>
      <c r="O196" s="624"/>
      <c r="P196" s="85"/>
      <c r="Q196" s="626">
        <f t="shared" si="5"/>
        <v>0</v>
      </c>
      <c r="R196" s="85"/>
      <c r="S196" s="624"/>
      <c r="T196" s="260" t="str">
        <f t="shared" si="7"/>
        <v/>
      </c>
      <c r="U196" s="624"/>
      <c r="V196" s="85"/>
      <c r="W196" s="624"/>
      <c r="X196" s="81"/>
      <c r="Y196" s="80"/>
      <c r="Z196" s="737">
        <f ca="1">MAX(0%,IF(Q196&lt;&gt;0,MIN((S196-Q196)/Q196/'NSLT Health Risk'!$E$27,'Health Prem &amp; Reserve Risk'!$Z$123),'Health Prem &amp; Reserve Risk'!$Z$123))</f>
        <v>8.5000000000000006E-2</v>
      </c>
      <c r="AA196" s="80"/>
      <c r="AB196" s="80"/>
      <c r="AC196" s="737">
        <f ca="1">MAX(0%,IF(U196&lt;&gt;0,MIN((W196-U196)/U196/'NSLT Health Risk'!$E$27,'Health Prem &amp; Reserve Risk'!$AC$123),'Health Prem &amp; Reserve Risk'!$AC$123))</f>
        <v>0.14000000000000001</v>
      </c>
      <c r="AD196" s="81"/>
      <c r="AE196" s="53"/>
      <c r="AF196" s="53"/>
    </row>
    <row r="197" spans="1:32" ht="12.75" customHeight="1" x14ac:dyDescent="0.25">
      <c r="A197" s="53"/>
      <c r="B197" s="257">
        <v>73</v>
      </c>
      <c r="C197" s="652"/>
      <c r="D197" s="80"/>
      <c r="E197" s="80"/>
      <c r="F197" s="256">
        <f t="shared" ca="1" si="8"/>
        <v>0</v>
      </c>
      <c r="G197" s="624"/>
      <c r="H197" s="85"/>
      <c r="I197" s="624"/>
      <c r="J197" s="85"/>
      <c r="K197" s="624"/>
      <c r="L197" s="85"/>
      <c r="M197" s="624"/>
      <c r="N197" s="85"/>
      <c r="O197" s="624"/>
      <c r="P197" s="85"/>
      <c r="Q197" s="626">
        <f t="shared" si="5"/>
        <v>0</v>
      </c>
      <c r="R197" s="85"/>
      <c r="S197" s="624"/>
      <c r="T197" s="260" t="str">
        <f t="shared" si="7"/>
        <v/>
      </c>
      <c r="U197" s="624"/>
      <c r="V197" s="85"/>
      <c r="W197" s="624"/>
      <c r="X197" s="81"/>
      <c r="Y197" s="80"/>
      <c r="Z197" s="737">
        <f ca="1">MAX(0%,IF(Q197&lt;&gt;0,MIN((S197-Q197)/Q197/'NSLT Health Risk'!$E$27,'Health Prem &amp; Reserve Risk'!$Z$123),'Health Prem &amp; Reserve Risk'!$Z$123))</f>
        <v>8.5000000000000006E-2</v>
      </c>
      <c r="AA197" s="80"/>
      <c r="AB197" s="80"/>
      <c r="AC197" s="737">
        <f ca="1">MAX(0%,IF(U197&lt;&gt;0,MIN((W197-U197)/U197/'NSLT Health Risk'!$E$27,'Health Prem &amp; Reserve Risk'!$AC$123),'Health Prem &amp; Reserve Risk'!$AC$123))</f>
        <v>0.14000000000000001</v>
      </c>
      <c r="AD197" s="81"/>
      <c r="AE197" s="53"/>
      <c r="AF197" s="53"/>
    </row>
    <row r="198" spans="1:32" ht="12.75" customHeight="1" x14ac:dyDescent="0.25">
      <c r="A198" s="53"/>
      <c r="B198" s="257">
        <v>74</v>
      </c>
      <c r="C198" s="652"/>
      <c r="D198" s="80"/>
      <c r="E198" s="80"/>
      <c r="F198" s="256">
        <f t="shared" ca="1" si="8"/>
        <v>0</v>
      </c>
      <c r="G198" s="624"/>
      <c r="H198" s="85"/>
      <c r="I198" s="624"/>
      <c r="J198" s="85"/>
      <c r="K198" s="624"/>
      <c r="L198" s="85"/>
      <c r="M198" s="624"/>
      <c r="N198" s="85"/>
      <c r="O198" s="624"/>
      <c r="P198" s="85"/>
      <c r="Q198" s="626">
        <f t="shared" si="5"/>
        <v>0</v>
      </c>
      <c r="R198" s="85"/>
      <c r="S198" s="624"/>
      <c r="T198" s="260" t="str">
        <f t="shared" si="7"/>
        <v/>
      </c>
      <c r="U198" s="624"/>
      <c r="V198" s="85"/>
      <c r="W198" s="624"/>
      <c r="X198" s="81"/>
      <c r="Y198" s="80"/>
      <c r="Z198" s="737">
        <f ca="1">MAX(0%,IF(Q198&lt;&gt;0,MIN((S198-Q198)/Q198/'NSLT Health Risk'!$E$27,'Health Prem &amp; Reserve Risk'!$Z$123),'Health Prem &amp; Reserve Risk'!$Z$123))</f>
        <v>8.5000000000000006E-2</v>
      </c>
      <c r="AA198" s="80"/>
      <c r="AB198" s="80"/>
      <c r="AC198" s="737">
        <f ca="1">MAX(0%,IF(U198&lt;&gt;0,MIN((W198-U198)/U198/'NSLT Health Risk'!$E$27,'Health Prem &amp; Reserve Risk'!$AC$123),'Health Prem &amp; Reserve Risk'!$AC$123))</f>
        <v>0.14000000000000001</v>
      </c>
      <c r="AD198" s="81"/>
      <c r="AE198" s="53"/>
      <c r="AF198" s="53"/>
    </row>
    <row r="199" spans="1:32" ht="12.75" customHeight="1" x14ac:dyDescent="0.25">
      <c r="A199" s="53"/>
      <c r="B199" s="257">
        <v>75</v>
      </c>
      <c r="C199" s="652"/>
      <c r="D199" s="80"/>
      <c r="E199" s="80"/>
      <c r="F199" s="256">
        <f t="shared" ca="1" si="8"/>
        <v>0</v>
      </c>
      <c r="G199" s="624"/>
      <c r="H199" s="85"/>
      <c r="I199" s="624"/>
      <c r="J199" s="85"/>
      <c r="K199" s="624"/>
      <c r="L199" s="85"/>
      <c r="M199" s="624"/>
      <c r="N199" s="85"/>
      <c r="O199" s="624"/>
      <c r="P199" s="85"/>
      <c r="Q199" s="626">
        <f t="shared" si="5"/>
        <v>0</v>
      </c>
      <c r="R199" s="85"/>
      <c r="S199" s="624"/>
      <c r="T199" s="260" t="str">
        <f t="shared" si="7"/>
        <v/>
      </c>
      <c r="U199" s="624"/>
      <c r="V199" s="85"/>
      <c r="W199" s="624"/>
      <c r="X199" s="81"/>
      <c r="Y199" s="80"/>
      <c r="Z199" s="737">
        <f ca="1">MAX(0%,IF(Q199&lt;&gt;0,MIN((S199-Q199)/Q199/'NSLT Health Risk'!$E$27,'Health Prem &amp; Reserve Risk'!$Z$123),'Health Prem &amp; Reserve Risk'!$Z$123))</f>
        <v>8.5000000000000006E-2</v>
      </c>
      <c r="AA199" s="80"/>
      <c r="AB199" s="80"/>
      <c r="AC199" s="737">
        <f ca="1">MAX(0%,IF(U199&lt;&gt;0,MIN((W199-U199)/U199/'NSLT Health Risk'!$E$27,'Health Prem &amp; Reserve Risk'!$AC$123),'Health Prem &amp; Reserve Risk'!$AC$123))</f>
        <v>0.14000000000000001</v>
      </c>
      <c r="AD199" s="81"/>
      <c r="AE199" s="53"/>
      <c r="AF199" s="53"/>
    </row>
    <row r="200" spans="1:32" ht="12.75" customHeight="1" x14ac:dyDescent="0.25">
      <c r="A200" s="53"/>
      <c r="B200" s="257">
        <v>76</v>
      </c>
      <c r="C200" s="652"/>
      <c r="D200" s="80"/>
      <c r="E200" s="80"/>
      <c r="F200" s="256">
        <f t="shared" ca="1" si="8"/>
        <v>0</v>
      </c>
      <c r="G200" s="624"/>
      <c r="H200" s="85"/>
      <c r="I200" s="624"/>
      <c r="J200" s="85"/>
      <c r="K200" s="624"/>
      <c r="L200" s="85"/>
      <c r="M200" s="624"/>
      <c r="N200" s="85"/>
      <c r="O200" s="624"/>
      <c r="P200" s="85"/>
      <c r="Q200" s="626">
        <f t="shared" si="5"/>
        <v>0</v>
      </c>
      <c r="R200" s="85"/>
      <c r="S200" s="624"/>
      <c r="T200" s="260" t="str">
        <f t="shared" si="7"/>
        <v/>
      </c>
      <c r="U200" s="624"/>
      <c r="V200" s="85"/>
      <c r="W200" s="624"/>
      <c r="X200" s="81"/>
      <c r="Y200" s="80"/>
      <c r="Z200" s="737">
        <f ca="1">MAX(0%,IF(Q200&lt;&gt;0,MIN((S200-Q200)/Q200/'NSLT Health Risk'!$E$27,'Health Prem &amp; Reserve Risk'!$Z$123),'Health Prem &amp; Reserve Risk'!$Z$123))</f>
        <v>8.5000000000000006E-2</v>
      </c>
      <c r="AA200" s="80"/>
      <c r="AB200" s="80"/>
      <c r="AC200" s="737">
        <f ca="1">MAX(0%,IF(U200&lt;&gt;0,MIN((W200-U200)/U200/'NSLT Health Risk'!$E$27,'Health Prem &amp; Reserve Risk'!$AC$123),'Health Prem &amp; Reserve Risk'!$AC$123))</f>
        <v>0.14000000000000001</v>
      </c>
      <c r="AD200" s="81"/>
      <c r="AE200" s="53"/>
      <c r="AF200" s="53"/>
    </row>
    <row r="201" spans="1:32" ht="12.75" customHeight="1" x14ac:dyDescent="0.25">
      <c r="A201" s="53"/>
      <c r="B201" s="257">
        <v>77</v>
      </c>
      <c r="C201" s="652"/>
      <c r="D201" s="80"/>
      <c r="E201" s="80"/>
      <c r="F201" s="256">
        <f t="shared" ca="1" si="8"/>
        <v>0</v>
      </c>
      <c r="G201" s="624"/>
      <c r="H201" s="85"/>
      <c r="I201" s="624"/>
      <c r="J201" s="85"/>
      <c r="K201" s="624"/>
      <c r="L201" s="85"/>
      <c r="M201" s="624"/>
      <c r="N201" s="85"/>
      <c r="O201" s="624"/>
      <c r="P201" s="85"/>
      <c r="Q201" s="626">
        <f t="shared" si="5"/>
        <v>0</v>
      </c>
      <c r="R201" s="85"/>
      <c r="S201" s="624"/>
      <c r="T201" s="260" t="str">
        <f t="shared" si="7"/>
        <v/>
      </c>
      <c r="U201" s="624"/>
      <c r="V201" s="85"/>
      <c r="W201" s="624"/>
      <c r="X201" s="81"/>
      <c r="Y201" s="80"/>
      <c r="Z201" s="737">
        <f ca="1">MAX(0%,IF(Q201&lt;&gt;0,MIN((S201-Q201)/Q201/'NSLT Health Risk'!$E$27,'Health Prem &amp; Reserve Risk'!$Z$123),'Health Prem &amp; Reserve Risk'!$Z$123))</f>
        <v>8.5000000000000006E-2</v>
      </c>
      <c r="AA201" s="80"/>
      <c r="AB201" s="80"/>
      <c r="AC201" s="737">
        <f ca="1">MAX(0%,IF(U201&lt;&gt;0,MIN((W201-U201)/U201/'NSLT Health Risk'!$E$27,'Health Prem &amp; Reserve Risk'!$AC$123),'Health Prem &amp; Reserve Risk'!$AC$123))</f>
        <v>0.14000000000000001</v>
      </c>
      <c r="AD201" s="81"/>
      <c r="AE201" s="53"/>
      <c r="AF201" s="53"/>
    </row>
    <row r="202" spans="1:32" ht="12.75" customHeight="1" x14ac:dyDescent="0.25">
      <c r="A202" s="53"/>
      <c r="B202" s="257">
        <v>78</v>
      </c>
      <c r="C202" s="652"/>
      <c r="D202" s="80"/>
      <c r="E202" s="80"/>
      <c r="F202" s="256">
        <f t="shared" ca="1" si="8"/>
        <v>0</v>
      </c>
      <c r="G202" s="624"/>
      <c r="H202" s="85"/>
      <c r="I202" s="624"/>
      <c r="J202" s="85"/>
      <c r="K202" s="624"/>
      <c r="L202" s="85"/>
      <c r="M202" s="624"/>
      <c r="N202" s="85"/>
      <c r="O202" s="624"/>
      <c r="P202" s="85"/>
      <c r="Q202" s="626">
        <f t="shared" si="5"/>
        <v>0</v>
      </c>
      <c r="R202" s="85"/>
      <c r="S202" s="624"/>
      <c r="T202" s="260" t="str">
        <f t="shared" si="7"/>
        <v/>
      </c>
      <c r="U202" s="624"/>
      <c r="V202" s="85"/>
      <c r="W202" s="624"/>
      <c r="X202" s="81"/>
      <c r="Y202" s="80"/>
      <c r="Z202" s="737">
        <f ca="1">MAX(0%,IF(Q202&lt;&gt;0,MIN((S202-Q202)/Q202/'NSLT Health Risk'!$E$27,'Health Prem &amp; Reserve Risk'!$Z$123),'Health Prem &amp; Reserve Risk'!$Z$123))</f>
        <v>8.5000000000000006E-2</v>
      </c>
      <c r="AA202" s="80"/>
      <c r="AB202" s="80"/>
      <c r="AC202" s="737">
        <f ca="1">MAX(0%,IF(U202&lt;&gt;0,MIN((W202-U202)/U202/'NSLT Health Risk'!$E$27,'Health Prem &amp; Reserve Risk'!$AC$123),'Health Prem &amp; Reserve Risk'!$AC$123))</f>
        <v>0.14000000000000001</v>
      </c>
      <c r="AD202" s="81"/>
      <c r="AE202" s="53"/>
      <c r="AF202" s="53"/>
    </row>
    <row r="203" spans="1:32" ht="12.75" customHeight="1" x14ac:dyDescent="0.25">
      <c r="A203" s="53"/>
      <c r="B203" s="257">
        <v>79</v>
      </c>
      <c r="C203" s="652"/>
      <c r="D203" s="80"/>
      <c r="E203" s="80"/>
      <c r="F203" s="256">
        <f t="shared" ca="1" si="8"/>
        <v>0</v>
      </c>
      <c r="G203" s="624"/>
      <c r="H203" s="85"/>
      <c r="I203" s="624"/>
      <c r="J203" s="85"/>
      <c r="K203" s="624"/>
      <c r="L203" s="85"/>
      <c r="M203" s="624"/>
      <c r="N203" s="85"/>
      <c r="O203" s="624"/>
      <c r="P203" s="85"/>
      <c r="Q203" s="626">
        <f t="shared" si="5"/>
        <v>0</v>
      </c>
      <c r="R203" s="85"/>
      <c r="S203" s="624"/>
      <c r="T203" s="260" t="str">
        <f t="shared" si="7"/>
        <v/>
      </c>
      <c r="U203" s="624"/>
      <c r="V203" s="85"/>
      <c r="W203" s="624"/>
      <c r="X203" s="81"/>
      <c r="Y203" s="80"/>
      <c r="Z203" s="737">
        <f ca="1">MAX(0%,IF(Q203&lt;&gt;0,MIN((S203-Q203)/Q203/'NSLT Health Risk'!$E$27,'Health Prem &amp; Reserve Risk'!$Z$123),'Health Prem &amp; Reserve Risk'!$Z$123))</f>
        <v>8.5000000000000006E-2</v>
      </c>
      <c r="AA203" s="80"/>
      <c r="AB203" s="80"/>
      <c r="AC203" s="737">
        <f ca="1">MAX(0%,IF(U203&lt;&gt;0,MIN((W203-U203)/U203/'NSLT Health Risk'!$E$27,'Health Prem &amp; Reserve Risk'!$AC$123),'Health Prem &amp; Reserve Risk'!$AC$123))</f>
        <v>0.14000000000000001</v>
      </c>
      <c r="AD203" s="81"/>
      <c r="AE203" s="53"/>
      <c r="AF203" s="53"/>
    </row>
    <row r="204" spans="1:32" ht="12.75" customHeight="1" x14ac:dyDescent="0.25">
      <c r="A204" s="53"/>
      <c r="B204" s="257">
        <v>80</v>
      </c>
      <c r="C204" s="652"/>
      <c r="D204" s="80"/>
      <c r="E204" s="80"/>
      <c r="F204" s="256">
        <f t="shared" ca="1" si="8"/>
        <v>0</v>
      </c>
      <c r="G204" s="624"/>
      <c r="H204" s="85"/>
      <c r="I204" s="624"/>
      <c r="J204" s="85"/>
      <c r="K204" s="624"/>
      <c r="L204" s="85"/>
      <c r="M204" s="624"/>
      <c r="N204" s="85"/>
      <c r="O204" s="624"/>
      <c r="P204" s="85"/>
      <c r="Q204" s="626">
        <f t="shared" si="5"/>
        <v>0</v>
      </c>
      <c r="R204" s="85"/>
      <c r="S204" s="624"/>
      <c r="T204" s="260" t="str">
        <f t="shared" si="7"/>
        <v/>
      </c>
      <c r="U204" s="624"/>
      <c r="V204" s="85"/>
      <c r="W204" s="624"/>
      <c r="X204" s="81"/>
      <c r="Y204" s="80"/>
      <c r="Z204" s="737">
        <f ca="1">MAX(0%,IF(Q204&lt;&gt;0,MIN((S204-Q204)/Q204/'NSLT Health Risk'!$E$27,'Health Prem &amp; Reserve Risk'!$Z$123),'Health Prem &amp; Reserve Risk'!$Z$123))</f>
        <v>8.5000000000000006E-2</v>
      </c>
      <c r="AA204" s="80"/>
      <c r="AB204" s="80"/>
      <c r="AC204" s="737">
        <f ca="1">MAX(0%,IF(U204&lt;&gt;0,MIN((W204-U204)/U204/'NSLT Health Risk'!$E$27,'Health Prem &amp; Reserve Risk'!$AC$123),'Health Prem &amp; Reserve Risk'!$AC$123))</f>
        <v>0.14000000000000001</v>
      </c>
      <c r="AD204" s="81"/>
      <c r="AE204" s="53"/>
      <c r="AF204" s="53"/>
    </row>
    <row r="205" spans="1:32" ht="12.75" customHeight="1" x14ac:dyDescent="0.25">
      <c r="A205" s="53"/>
      <c r="B205" s="257">
        <v>81</v>
      </c>
      <c r="C205" s="652"/>
      <c r="D205" s="80"/>
      <c r="E205" s="80"/>
      <c r="F205" s="256">
        <f t="shared" ca="1" si="8"/>
        <v>0</v>
      </c>
      <c r="G205" s="624"/>
      <c r="H205" s="85"/>
      <c r="I205" s="624"/>
      <c r="J205" s="85"/>
      <c r="K205" s="624"/>
      <c r="L205" s="85"/>
      <c r="M205" s="624"/>
      <c r="N205" s="85"/>
      <c r="O205" s="624"/>
      <c r="P205" s="85"/>
      <c r="Q205" s="626">
        <f t="shared" si="5"/>
        <v>0</v>
      </c>
      <c r="R205" s="85"/>
      <c r="S205" s="624"/>
      <c r="T205" s="260" t="str">
        <f t="shared" si="7"/>
        <v/>
      </c>
      <c r="U205" s="624"/>
      <c r="V205" s="85"/>
      <c r="W205" s="624"/>
      <c r="X205" s="81"/>
      <c r="Y205" s="80"/>
      <c r="Z205" s="737">
        <f ca="1">MAX(0%,IF(Q205&lt;&gt;0,MIN((S205-Q205)/Q205/'NSLT Health Risk'!$E$27,'Health Prem &amp; Reserve Risk'!$Z$123),'Health Prem &amp; Reserve Risk'!$Z$123))</f>
        <v>8.5000000000000006E-2</v>
      </c>
      <c r="AA205" s="80"/>
      <c r="AB205" s="80"/>
      <c r="AC205" s="737">
        <f ca="1">MAX(0%,IF(U205&lt;&gt;0,MIN((W205-U205)/U205/'NSLT Health Risk'!$E$27,'Health Prem &amp; Reserve Risk'!$AC$123),'Health Prem &amp; Reserve Risk'!$AC$123))</f>
        <v>0.14000000000000001</v>
      </c>
      <c r="AD205" s="81"/>
      <c r="AE205" s="53"/>
      <c r="AF205" s="53"/>
    </row>
    <row r="206" spans="1:32" ht="12.75" customHeight="1" x14ac:dyDescent="0.25">
      <c r="A206" s="53"/>
      <c r="B206" s="257">
        <v>82</v>
      </c>
      <c r="C206" s="652"/>
      <c r="D206" s="80"/>
      <c r="E206" s="80"/>
      <c r="F206" s="256">
        <f t="shared" ca="1" si="8"/>
        <v>0</v>
      </c>
      <c r="G206" s="624"/>
      <c r="H206" s="85"/>
      <c r="I206" s="624"/>
      <c r="J206" s="85"/>
      <c r="K206" s="624"/>
      <c r="L206" s="85"/>
      <c r="M206" s="624"/>
      <c r="N206" s="85"/>
      <c r="O206" s="624"/>
      <c r="P206" s="85"/>
      <c r="Q206" s="626">
        <f t="shared" si="5"/>
        <v>0</v>
      </c>
      <c r="R206" s="85"/>
      <c r="S206" s="624"/>
      <c r="T206" s="260" t="str">
        <f t="shared" si="7"/>
        <v/>
      </c>
      <c r="U206" s="624"/>
      <c r="V206" s="85"/>
      <c r="W206" s="624"/>
      <c r="X206" s="81"/>
      <c r="Y206" s="80"/>
      <c r="Z206" s="737">
        <f ca="1">MAX(0%,IF(Q206&lt;&gt;0,MIN((S206-Q206)/Q206/'NSLT Health Risk'!$E$27,'Health Prem &amp; Reserve Risk'!$Z$123),'Health Prem &amp; Reserve Risk'!$Z$123))</f>
        <v>8.5000000000000006E-2</v>
      </c>
      <c r="AA206" s="80"/>
      <c r="AB206" s="80"/>
      <c r="AC206" s="737">
        <f ca="1">MAX(0%,IF(U206&lt;&gt;0,MIN((W206-U206)/U206/'NSLT Health Risk'!$E$27,'Health Prem &amp; Reserve Risk'!$AC$123),'Health Prem &amp; Reserve Risk'!$AC$123))</f>
        <v>0.14000000000000001</v>
      </c>
      <c r="AD206" s="81"/>
      <c r="AE206" s="53"/>
      <c r="AF206" s="53"/>
    </row>
    <row r="207" spans="1:32" ht="12.75" customHeight="1" x14ac:dyDescent="0.25">
      <c r="A207" s="53"/>
      <c r="B207" s="257">
        <v>83</v>
      </c>
      <c r="C207" s="652"/>
      <c r="D207" s="80"/>
      <c r="E207" s="80"/>
      <c r="F207" s="256">
        <f t="shared" ca="1" si="8"/>
        <v>0</v>
      </c>
      <c r="G207" s="624"/>
      <c r="H207" s="85"/>
      <c r="I207" s="624"/>
      <c r="J207" s="85"/>
      <c r="K207" s="624"/>
      <c r="L207" s="85"/>
      <c r="M207" s="624"/>
      <c r="N207" s="85"/>
      <c r="O207" s="624"/>
      <c r="P207" s="85"/>
      <c r="Q207" s="626">
        <f t="shared" si="5"/>
        <v>0</v>
      </c>
      <c r="R207" s="85"/>
      <c r="S207" s="624"/>
      <c r="T207" s="260" t="str">
        <f t="shared" si="7"/>
        <v/>
      </c>
      <c r="U207" s="624"/>
      <c r="V207" s="85"/>
      <c r="W207" s="624"/>
      <c r="X207" s="81"/>
      <c r="Y207" s="80"/>
      <c r="Z207" s="737">
        <f ca="1">MAX(0%,IF(Q207&lt;&gt;0,MIN((S207-Q207)/Q207/'NSLT Health Risk'!$E$27,'Health Prem &amp; Reserve Risk'!$Z$123),'Health Prem &amp; Reserve Risk'!$Z$123))</f>
        <v>8.5000000000000006E-2</v>
      </c>
      <c r="AA207" s="80"/>
      <c r="AB207" s="80"/>
      <c r="AC207" s="737">
        <f ca="1">MAX(0%,IF(U207&lt;&gt;0,MIN((W207-U207)/U207/'NSLT Health Risk'!$E$27,'Health Prem &amp; Reserve Risk'!$AC$123),'Health Prem &amp; Reserve Risk'!$AC$123))</f>
        <v>0.14000000000000001</v>
      </c>
      <c r="AD207" s="81"/>
      <c r="AE207" s="53"/>
      <c r="AF207" s="53"/>
    </row>
    <row r="208" spans="1:32" ht="12.75" customHeight="1" x14ac:dyDescent="0.25">
      <c r="A208" s="53"/>
      <c r="B208" s="257">
        <v>84</v>
      </c>
      <c r="C208" s="652"/>
      <c r="D208" s="80"/>
      <c r="E208" s="80"/>
      <c r="F208" s="256">
        <f t="shared" ca="1" si="8"/>
        <v>0</v>
      </c>
      <c r="G208" s="624"/>
      <c r="H208" s="85"/>
      <c r="I208" s="624"/>
      <c r="J208" s="85"/>
      <c r="K208" s="624"/>
      <c r="L208" s="85"/>
      <c r="M208" s="624"/>
      <c r="N208" s="85"/>
      <c r="O208" s="624"/>
      <c r="P208" s="85"/>
      <c r="Q208" s="626">
        <f t="shared" si="5"/>
        <v>0</v>
      </c>
      <c r="R208" s="85"/>
      <c r="S208" s="624"/>
      <c r="T208" s="260" t="str">
        <f t="shared" si="7"/>
        <v/>
      </c>
      <c r="U208" s="624"/>
      <c r="V208" s="85"/>
      <c r="W208" s="624"/>
      <c r="X208" s="81"/>
      <c r="Y208" s="80"/>
      <c r="Z208" s="737">
        <f ca="1">MAX(0%,IF(Q208&lt;&gt;0,MIN((S208-Q208)/Q208/'NSLT Health Risk'!$E$27,'Health Prem &amp; Reserve Risk'!$Z$123),'Health Prem &amp; Reserve Risk'!$Z$123))</f>
        <v>8.5000000000000006E-2</v>
      </c>
      <c r="AA208" s="80"/>
      <c r="AB208" s="80"/>
      <c r="AC208" s="737">
        <f ca="1">MAX(0%,IF(U208&lt;&gt;0,MIN((W208-U208)/U208/'NSLT Health Risk'!$E$27,'Health Prem &amp; Reserve Risk'!$AC$123),'Health Prem &amp; Reserve Risk'!$AC$123))</f>
        <v>0.14000000000000001</v>
      </c>
      <c r="AD208" s="81"/>
      <c r="AE208" s="53"/>
      <c r="AF208" s="53"/>
    </row>
    <row r="209" spans="1:32" ht="12.75" customHeight="1" x14ac:dyDescent="0.25">
      <c r="A209" s="53"/>
      <c r="B209" s="257">
        <v>85</v>
      </c>
      <c r="C209" s="652"/>
      <c r="D209" s="80"/>
      <c r="E209" s="80"/>
      <c r="F209" s="256">
        <f t="shared" ca="1" si="8"/>
        <v>0</v>
      </c>
      <c r="G209" s="624"/>
      <c r="H209" s="85"/>
      <c r="I209" s="624"/>
      <c r="J209" s="85"/>
      <c r="K209" s="624"/>
      <c r="L209" s="85"/>
      <c r="M209" s="624"/>
      <c r="N209" s="85"/>
      <c r="O209" s="624"/>
      <c r="P209" s="85"/>
      <c r="Q209" s="626">
        <f t="shared" si="5"/>
        <v>0</v>
      </c>
      <c r="R209" s="85"/>
      <c r="S209" s="624"/>
      <c r="T209" s="260" t="str">
        <f t="shared" si="7"/>
        <v/>
      </c>
      <c r="U209" s="624"/>
      <c r="V209" s="85"/>
      <c r="W209" s="624"/>
      <c r="X209" s="81"/>
      <c r="Y209" s="80"/>
      <c r="Z209" s="737">
        <f ca="1">MAX(0%,IF(Q209&lt;&gt;0,MIN((S209-Q209)/Q209/'NSLT Health Risk'!$E$27,'Health Prem &amp; Reserve Risk'!$Z$123),'Health Prem &amp; Reserve Risk'!$Z$123))</f>
        <v>8.5000000000000006E-2</v>
      </c>
      <c r="AA209" s="80"/>
      <c r="AB209" s="80"/>
      <c r="AC209" s="737">
        <f ca="1">MAX(0%,IF(U209&lt;&gt;0,MIN((W209-U209)/U209/'NSLT Health Risk'!$E$27,'Health Prem &amp; Reserve Risk'!$AC$123),'Health Prem &amp; Reserve Risk'!$AC$123))</f>
        <v>0.14000000000000001</v>
      </c>
      <c r="AD209" s="81"/>
      <c r="AE209" s="53"/>
      <c r="AF209" s="53"/>
    </row>
    <row r="210" spans="1:32" ht="12.75" customHeight="1" x14ac:dyDescent="0.25">
      <c r="A210" s="53"/>
      <c r="B210" s="257">
        <v>86</v>
      </c>
      <c r="C210" s="652"/>
      <c r="D210" s="80"/>
      <c r="E210" s="80"/>
      <c r="F210" s="256">
        <f t="shared" ca="1" si="8"/>
        <v>0</v>
      </c>
      <c r="G210" s="624"/>
      <c r="H210" s="85"/>
      <c r="I210" s="624"/>
      <c r="J210" s="85"/>
      <c r="K210" s="624"/>
      <c r="L210" s="85"/>
      <c r="M210" s="624"/>
      <c r="N210" s="85"/>
      <c r="O210" s="624"/>
      <c r="P210" s="85"/>
      <c r="Q210" s="626">
        <f t="shared" si="5"/>
        <v>0</v>
      </c>
      <c r="R210" s="85"/>
      <c r="S210" s="624"/>
      <c r="T210" s="260" t="str">
        <f t="shared" si="7"/>
        <v/>
      </c>
      <c r="U210" s="624"/>
      <c r="V210" s="85"/>
      <c r="W210" s="624"/>
      <c r="X210" s="81"/>
      <c r="Y210" s="80"/>
      <c r="Z210" s="737">
        <f ca="1">MAX(0%,IF(Q210&lt;&gt;0,MIN((S210-Q210)/Q210/'NSLT Health Risk'!$E$27,'Health Prem &amp; Reserve Risk'!$Z$123),'Health Prem &amp; Reserve Risk'!$Z$123))</f>
        <v>8.5000000000000006E-2</v>
      </c>
      <c r="AA210" s="80"/>
      <c r="AB210" s="80"/>
      <c r="AC210" s="737">
        <f ca="1">MAX(0%,IF(U210&lt;&gt;0,MIN((W210-U210)/U210/'NSLT Health Risk'!$E$27,'Health Prem &amp; Reserve Risk'!$AC$123),'Health Prem &amp; Reserve Risk'!$AC$123))</f>
        <v>0.14000000000000001</v>
      </c>
      <c r="AD210" s="81"/>
      <c r="AE210" s="53"/>
      <c r="AF210" s="53"/>
    </row>
    <row r="211" spans="1:32" ht="12.75" customHeight="1" x14ac:dyDescent="0.25">
      <c r="A211" s="53"/>
      <c r="B211" s="257">
        <v>87</v>
      </c>
      <c r="C211" s="652"/>
      <c r="D211" s="80"/>
      <c r="E211" s="80"/>
      <c r="F211" s="256">
        <f t="shared" ca="1" si="8"/>
        <v>0</v>
      </c>
      <c r="G211" s="624"/>
      <c r="H211" s="85"/>
      <c r="I211" s="624"/>
      <c r="J211" s="85"/>
      <c r="K211" s="624"/>
      <c r="L211" s="85"/>
      <c r="M211" s="624"/>
      <c r="N211" s="85"/>
      <c r="O211" s="624"/>
      <c r="P211" s="85"/>
      <c r="Q211" s="626">
        <f t="shared" si="5"/>
        <v>0</v>
      </c>
      <c r="R211" s="85"/>
      <c r="S211" s="624"/>
      <c r="T211" s="260" t="str">
        <f t="shared" si="7"/>
        <v/>
      </c>
      <c r="U211" s="624"/>
      <c r="V211" s="85"/>
      <c r="W211" s="624"/>
      <c r="X211" s="81"/>
      <c r="Y211" s="80"/>
      <c r="Z211" s="737">
        <f ca="1">MAX(0%,IF(Q211&lt;&gt;0,MIN((S211-Q211)/Q211/'NSLT Health Risk'!$E$27,'Health Prem &amp; Reserve Risk'!$Z$123),'Health Prem &amp; Reserve Risk'!$Z$123))</f>
        <v>8.5000000000000006E-2</v>
      </c>
      <c r="AA211" s="80"/>
      <c r="AB211" s="80"/>
      <c r="AC211" s="737">
        <f ca="1">MAX(0%,IF(U211&lt;&gt;0,MIN((W211-U211)/U211/'NSLT Health Risk'!$E$27,'Health Prem &amp; Reserve Risk'!$AC$123),'Health Prem &amp; Reserve Risk'!$AC$123))</f>
        <v>0.14000000000000001</v>
      </c>
      <c r="AD211" s="81"/>
      <c r="AE211" s="53"/>
      <c r="AF211" s="53"/>
    </row>
    <row r="212" spans="1:32" ht="12.75" customHeight="1" x14ac:dyDescent="0.25">
      <c r="A212" s="53"/>
      <c r="B212" s="257">
        <v>88</v>
      </c>
      <c r="C212" s="652"/>
      <c r="D212" s="80"/>
      <c r="E212" s="80"/>
      <c r="F212" s="256">
        <f t="shared" ca="1" si="8"/>
        <v>0</v>
      </c>
      <c r="G212" s="624"/>
      <c r="H212" s="85"/>
      <c r="I212" s="624"/>
      <c r="J212" s="85"/>
      <c r="K212" s="624"/>
      <c r="L212" s="85"/>
      <c r="M212" s="624"/>
      <c r="N212" s="85"/>
      <c r="O212" s="624"/>
      <c r="P212" s="85"/>
      <c r="Q212" s="626">
        <f t="shared" si="5"/>
        <v>0</v>
      </c>
      <c r="R212" s="85"/>
      <c r="S212" s="624"/>
      <c r="T212" s="260" t="str">
        <f t="shared" si="7"/>
        <v/>
      </c>
      <c r="U212" s="624"/>
      <c r="V212" s="85"/>
      <c r="W212" s="624"/>
      <c r="X212" s="81"/>
      <c r="Y212" s="80"/>
      <c r="Z212" s="737">
        <f ca="1">MAX(0%,IF(Q212&lt;&gt;0,MIN((S212-Q212)/Q212/'NSLT Health Risk'!$E$27,'Health Prem &amp; Reserve Risk'!$Z$123),'Health Prem &amp; Reserve Risk'!$Z$123))</f>
        <v>8.5000000000000006E-2</v>
      </c>
      <c r="AA212" s="80"/>
      <c r="AB212" s="80"/>
      <c r="AC212" s="737">
        <f ca="1">MAX(0%,IF(U212&lt;&gt;0,MIN((W212-U212)/U212/'NSLT Health Risk'!$E$27,'Health Prem &amp; Reserve Risk'!$AC$123),'Health Prem &amp; Reserve Risk'!$AC$123))</f>
        <v>0.14000000000000001</v>
      </c>
      <c r="AD212" s="81"/>
      <c r="AE212" s="53"/>
      <c r="AF212" s="53"/>
    </row>
    <row r="213" spans="1:32" ht="12.75" customHeight="1" x14ac:dyDescent="0.25">
      <c r="A213" s="53"/>
      <c r="B213" s="257">
        <v>89</v>
      </c>
      <c r="C213" s="652"/>
      <c r="D213" s="80"/>
      <c r="E213" s="80"/>
      <c r="F213" s="256">
        <f t="shared" ca="1" si="8"/>
        <v>0</v>
      </c>
      <c r="G213" s="624"/>
      <c r="H213" s="85"/>
      <c r="I213" s="624"/>
      <c r="J213" s="85"/>
      <c r="K213" s="624"/>
      <c r="L213" s="85"/>
      <c r="M213" s="624"/>
      <c r="N213" s="85"/>
      <c r="O213" s="624"/>
      <c r="P213" s="85"/>
      <c r="Q213" s="626">
        <f t="shared" si="5"/>
        <v>0</v>
      </c>
      <c r="R213" s="85"/>
      <c r="S213" s="624"/>
      <c r="T213" s="260" t="str">
        <f t="shared" si="7"/>
        <v/>
      </c>
      <c r="U213" s="624"/>
      <c r="V213" s="85"/>
      <c r="W213" s="624"/>
      <c r="X213" s="81"/>
      <c r="Y213" s="80"/>
      <c r="Z213" s="737">
        <f ca="1">MAX(0%,IF(Q213&lt;&gt;0,MIN((S213-Q213)/Q213/'NSLT Health Risk'!$E$27,'Health Prem &amp; Reserve Risk'!$Z$123),'Health Prem &amp; Reserve Risk'!$Z$123))</f>
        <v>8.5000000000000006E-2</v>
      </c>
      <c r="AA213" s="80"/>
      <c r="AB213" s="80"/>
      <c r="AC213" s="737">
        <f ca="1">MAX(0%,IF(U213&lt;&gt;0,MIN((W213-U213)/U213/'NSLT Health Risk'!$E$27,'Health Prem &amp; Reserve Risk'!$AC$123),'Health Prem &amp; Reserve Risk'!$AC$123))</f>
        <v>0.14000000000000001</v>
      </c>
      <c r="AD213" s="81"/>
      <c r="AE213" s="53"/>
      <c r="AF213" s="53"/>
    </row>
    <row r="214" spans="1:32" ht="12.75" customHeight="1" x14ac:dyDescent="0.25">
      <c r="A214" s="53"/>
      <c r="B214" s="257">
        <v>90</v>
      </c>
      <c r="C214" s="652"/>
      <c r="D214" s="80"/>
      <c r="E214" s="80"/>
      <c r="F214" s="256">
        <f t="shared" ca="1" si="8"/>
        <v>0</v>
      </c>
      <c r="G214" s="624"/>
      <c r="H214" s="85"/>
      <c r="I214" s="624"/>
      <c r="J214" s="85"/>
      <c r="K214" s="624"/>
      <c r="L214" s="85"/>
      <c r="M214" s="624"/>
      <c r="N214" s="85"/>
      <c r="O214" s="624"/>
      <c r="P214" s="85"/>
      <c r="Q214" s="626">
        <f t="shared" si="5"/>
        <v>0</v>
      </c>
      <c r="R214" s="85"/>
      <c r="S214" s="624"/>
      <c r="T214" s="260" t="str">
        <f t="shared" si="7"/>
        <v/>
      </c>
      <c r="U214" s="624"/>
      <c r="V214" s="85"/>
      <c r="W214" s="624"/>
      <c r="X214" s="81"/>
      <c r="Y214" s="80"/>
      <c r="Z214" s="737">
        <f ca="1">MAX(0%,IF(Q214&lt;&gt;0,MIN((S214-Q214)/Q214/'NSLT Health Risk'!$E$27,'Health Prem &amp; Reserve Risk'!$Z$123),'Health Prem &amp; Reserve Risk'!$Z$123))</f>
        <v>8.5000000000000006E-2</v>
      </c>
      <c r="AA214" s="80"/>
      <c r="AB214" s="80"/>
      <c r="AC214" s="737">
        <f ca="1">MAX(0%,IF(U214&lt;&gt;0,MIN((W214-U214)/U214/'NSLT Health Risk'!$E$27,'Health Prem &amp; Reserve Risk'!$AC$123),'Health Prem &amp; Reserve Risk'!$AC$123))</f>
        <v>0.14000000000000001</v>
      </c>
      <c r="AD214" s="81"/>
      <c r="AE214" s="53"/>
      <c r="AF214" s="53"/>
    </row>
    <row r="215" spans="1:32" ht="12.75" customHeight="1" x14ac:dyDescent="0.25">
      <c r="A215" s="53"/>
      <c r="B215" s="257">
        <v>91</v>
      </c>
      <c r="C215" s="652"/>
      <c r="D215" s="80"/>
      <c r="E215" s="80"/>
      <c r="F215" s="256">
        <f t="shared" ca="1" si="8"/>
        <v>0</v>
      </c>
      <c r="G215" s="624"/>
      <c r="H215" s="85"/>
      <c r="I215" s="624"/>
      <c r="J215" s="85"/>
      <c r="K215" s="624"/>
      <c r="L215" s="85"/>
      <c r="M215" s="624"/>
      <c r="N215" s="85"/>
      <c r="O215" s="624"/>
      <c r="P215" s="85"/>
      <c r="Q215" s="626">
        <f t="shared" si="5"/>
        <v>0</v>
      </c>
      <c r="R215" s="85"/>
      <c r="S215" s="624"/>
      <c r="T215" s="260" t="str">
        <f t="shared" si="7"/>
        <v/>
      </c>
      <c r="U215" s="624"/>
      <c r="V215" s="85"/>
      <c r="W215" s="624"/>
      <c r="X215" s="81"/>
      <c r="Y215" s="80"/>
      <c r="Z215" s="737">
        <f ca="1">MAX(0%,IF(Q215&lt;&gt;0,MIN((S215-Q215)/Q215/'NSLT Health Risk'!$E$27,'Health Prem &amp; Reserve Risk'!$Z$123),'Health Prem &amp; Reserve Risk'!$Z$123))</f>
        <v>8.5000000000000006E-2</v>
      </c>
      <c r="AA215" s="80"/>
      <c r="AB215" s="80"/>
      <c r="AC215" s="737">
        <f ca="1">MAX(0%,IF(U215&lt;&gt;0,MIN((W215-U215)/U215/'NSLT Health Risk'!$E$27,'Health Prem &amp; Reserve Risk'!$AC$123),'Health Prem &amp; Reserve Risk'!$AC$123))</f>
        <v>0.14000000000000001</v>
      </c>
      <c r="AD215" s="81"/>
      <c r="AE215" s="53"/>
      <c r="AF215" s="53"/>
    </row>
    <row r="216" spans="1:32" ht="12.75" customHeight="1" x14ac:dyDescent="0.25">
      <c r="A216" s="53"/>
      <c r="B216" s="257">
        <v>92</v>
      </c>
      <c r="C216" s="652"/>
      <c r="D216" s="80"/>
      <c r="E216" s="80"/>
      <c r="F216" s="256">
        <f t="shared" ca="1" si="8"/>
        <v>0</v>
      </c>
      <c r="G216" s="624"/>
      <c r="H216" s="85"/>
      <c r="I216" s="624"/>
      <c r="J216" s="85"/>
      <c r="K216" s="624"/>
      <c r="L216" s="85"/>
      <c r="M216" s="624"/>
      <c r="N216" s="85"/>
      <c r="O216" s="624"/>
      <c r="P216" s="85"/>
      <c r="Q216" s="626">
        <f t="shared" si="5"/>
        <v>0</v>
      </c>
      <c r="R216" s="85"/>
      <c r="S216" s="624"/>
      <c r="T216" s="260" t="str">
        <f t="shared" si="7"/>
        <v/>
      </c>
      <c r="U216" s="624"/>
      <c r="V216" s="85"/>
      <c r="W216" s="624"/>
      <c r="X216" s="81"/>
      <c r="Y216" s="80"/>
      <c r="Z216" s="737">
        <f ca="1">MAX(0%,IF(Q216&lt;&gt;0,MIN((S216-Q216)/Q216/'NSLT Health Risk'!$E$27,'Health Prem &amp; Reserve Risk'!$Z$123),'Health Prem &amp; Reserve Risk'!$Z$123))</f>
        <v>8.5000000000000006E-2</v>
      </c>
      <c r="AA216" s="80"/>
      <c r="AB216" s="80"/>
      <c r="AC216" s="737">
        <f ca="1">MAX(0%,IF(U216&lt;&gt;0,MIN((W216-U216)/U216/'NSLT Health Risk'!$E$27,'Health Prem &amp; Reserve Risk'!$AC$123),'Health Prem &amp; Reserve Risk'!$AC$123))</f>
        <v>0.14000000000000001</v>
      </c>
      <c r="AD216" s="81"/>
      <c r="AE216" s="53"/>
      <c r="AF216" s="53"/>
    </row>
    <row r="217" spans="1:32" ht="12.75" customHeight="1" x14ac:dyDescent="0.25">
      <c r="A217" s="53"/>
      <c r="B217" s="257">
        <v>93</v>
      </c>
      <c r="C217" s="652"/>
      <c r="D217" s="80"/>
      <c r="E217" s="80"/>
      <c r="F217" s="256">
        <f t="shared" ca="1" si="8"/>
        <v>0</v>
      </c>
      <c r="G217" s="624"/>
      <c r="H217" s="85"/>
      <c r="I217" s="624"/>
      <c r="J217" s="85"/>
      <c r="K217" s="624"/>
      <c r="L217" s="85"/>
      <c r="M217" s="624"/>
      <c r="N217" s="85"/>
      <c r="O217" s="624"/>
      <c r="P217" s="85"/>
      <c r="Q217" s="626">
        <f t="shared" si="5"/>
        <v>0</v>
      </c>
      <c r="R217" s="85"/>
      <c r="S217" s="624"/>
      <c r="T217" s="260" t="str">
        <f t="shared" si="7"/>
        <v/>
      </c>
      <c r="U217" s="624"/>
      <c r="V217" s="85"/>
      <c r="W217" s="624"/>
      <c r="X217" s="81"/>
      <c r="Y217" s="80"/>
      <c r="Z217" s="737">
        <f ca="1">MAX(0%,IF(Q217&lt;&gt;0,MIN((S217-Q217)/Q217/'NSLT Health Risk'!$E$27,'Health Prem &amp; Reserve Risk'!$Z$123),'Health Prem &amp; Reserve Risk'!$Z$123))</f>
        <v>8.5000000000000006E-2</v>
      </c>
      <c r="AA217" s="80"/>
      <c r="AB217" s="80"/>
      <c r="AC217" s="737">
        <f ca="1">MAX(0%,IF(U217&lt;&gt;0,MIN((W217-U217)/U217/'NSLT Health Risk'!$E$27,'Health Prem &amp; Reserve Risk'!$AC$123),'Health Prem &amp; Reserve Risk'!$AC$123))</f>
        <v>0.14000000000000001</v>
      </c>
      <c r="AD217" s="81"/>
      <c r="AE217" s="53"/>
      <c r="AF217" s="53"/>
    </row>
    <row r="218" spans="1:32" ht="12.75" customHeight="1" x14ac:dyDescent="0.25">
      <c r="A218" s="53"/>
      <c r="B218" s="257">
        <v>94</v>
      </c>
      <c r="C218" s="652"/>
      <c r="D218" s="80"/>
      <c r="E218" s="80"/>
      <c r="F218" s="256">
        <f t="shared" ca="1" si="8"/>
        <v>0</v>
      </c>
      <c r="G218" s="624"/>
      <c r="H218" s="85"/>
      <c r="I218" s="624"/>
      <c r="J218" s="85"/>
      <c r="K218" s="624"/>
      <c r="L218" s="85"/>
      <c r="M218" s="624"/>
      <c r="N218" s="85"/>
      <c r="O218" s="624"/>
      <c r="P218" s="85"/>
      <c r="Q218" s="626">
        <f t="shared" si="5"/>
        <v>0</v>
      </c>
      <c r="R218" s="85"/>
      <c r="S218" s="624"/>
      <c r="T218" s="260" t="str">
        <f t="shared" si="7"/>
        <v/>
      </c>
      <c r="U218" s="624"/>
      <c r="V218" s="85"/>
      <c r="W218" s="624"/>
      <c r="X218" s="81"/>
      <c r="Y218" s="80"/>
      <c r="Z218" s="737">
        <f ca="1">MAX(0%,IF(Q218&lt;&gt;0,MIN((S218-Q218)/Q218/'NSLT Health Risk'!$E$27,'Health Prem &amp; Reserve Risk'!$Z$123),'Health Prem &amp; Reserve Risk'!$Z$123))</f>
        <v>8.5000000000000006E-2</v>
      </c>
      <c r="AA218" s="80"/>
      <c r="AB218" s="80"/>
      <c r="AC218" s="737">
        <f ca="1">MAX(0%,IF(U218&lt;&gt;0,MIN((W218-U218)/U218/'NSLT Health Risk'!$E$27,'Health Prem &amp; Reserve Risk'!$AC$123),'Health Prem &amp; Reserve Risk'!$AC$123))</f>
        <v>0.14000000000000001</v>
      </c>
      <c r="AD218" s="81"/>
      <c r="AE218" s="53"/>
      <c r="AF218" s="53"/>
    </row>
    <row r="219" spans="1:32" ht="12.75" customHeight="1" x14ac:dyDescent="0.25">
      <c r="A219" s="53"/>
      <c r="B219" s="257">
        <v>95</v>
      </c>
      <c r="C219" s="652"/>
      <c r="D219" s="80"/>
      <c r="E219" s="80"/>
      <c r="F219" s="256">
        <f t="shared" ca="1" si="8"/>
        <v>0</v>
      </c>
      <c r="G219" s="624"/>
      <c r="H219" s="85"/>
      <c r="I219" s="624"/>
      <c r="J219" s="85"/>
      <c r="K219" s="624"/>
      <c r="L219" s="85"/>
      <c r="M219" s="624"/>
      <c r="N219" s="85"/>
      <c r="O219" s="624"/>
      <c r="P219" s="85"/>
      <c r="Q219" s="626">
        <f t="shared" si="5"/>
        <v>0</v>
      </c>
      <c r="R219" s="85"/>
      <c r="S219" s="624"/>
      <c r="T219" s="260" t="str">
        <f t="shared" si="7"/>
        <v/>
      </c>
      <c r="U219" s="624"/>
      <c r="V219" s="85"/>
      <c r="W219" s="624"/>
      <c r="X219" s="81"/>
      <c r="Y219" s="80"/>
      <c r="Z219" s="737">
        <f ca="1">MAX(0%,IF(Q219&lt;&gt;0,MIN((S219-Q219)/Q219/'NSLT Health Risk'!$E$27,'Health Prem &amp; Reserve Risk'!$Z$123),'Health Prem &amp; Reserve Risk'!$Z$123))</f>
        <v>8.5000000000000006E-2</v>
      </c>
      <c r="AA219" s="80"/>
      <c r="AB219" s="80"/>
      <c r="AC219" s="737">
        <f ca="1">MAX(0%,IF(U219&lt;&gt;0,MIN((W219-U219)/U219/'NSLT Health Risk'!$E$27,'Health Prem &amp; Reserve Risk'!$AC$123),'Health Prem &amp; Reserve Risk'!$AC$123))</f>
        <v>0.14000000000000001</v>
      </c>
      <c r="AD219" s="81"/>
      <c r="AE219" s="53"/>
      <c r="AF219" s="53"/>
    </row>
    <row r="220" spans="1:32" ht="12.75" customHeight="1" x14ac:dyDescent="0.25">
      <c r="A220" s="53"/>
      <c r="B220" s="257">
        <v>96</v>
      </c>
      <c r="C220" s="652"/>
      <c r="D220" s="80"/>
      <c r="E220" s="80"/>
      <c r="F220" s="256">
        <f t="shared" ca="1" si="8"/>
        <v>0</v>
      </c>
      <c r="G220" s="624"/>
      <c r="H220" s="85"/>
      <c r="I220" s="624"/>
      <c r="J220" s="85"/>
      <c r="K220" s="624"/>
      <c r="L220" s="85"/>
      <c r="M220" s="624"/>
      <c r="N220" s="85"/>
      <c r="O220" s="624"/>
      <c r="P220" s="85"/>
      <c r="Q220" s="626">
        <f t="shared" si="5"/>
        <v>0</v>
      </c>
      <c r="R220" s="85"/>
      <c r="S220" s="624"/>
      <c r="T220" s="260" t="str">
        <f t="shared" si="7"/>
        <v/>
      </c>
      <c r="U220" s="624"/>
      <c r="V220" s="85"/>
      <c r="W220" s="624"/>
      <c r="X220" s="81"/>
      <c r="Y220" s="80"/>
      <c r="Z220" s="737">
        <f ca="1">MAX(0%,IF(Q220&lt;&gt;0,MIN((S220-Q220)/Q220/'NSLT Health Risk'!$E$27,'Health Prem &amp; Reserve Risk'!$Z$123),'Health Prem &amp; Reserve Risk'!$Z$123))</f>
        <v>8.5000000000000006E-2</v>
      </c>
      <c r="AA220" s="80"/>
      <c r="AB220" s="80"/>
      <c r="AC220" s="737">
        <f ca="1">MAX(0%,IF(U220&lt;&gt;0,MIN((W220-U220)/U220/'NSLT Health Risk'!$E$27,'Health Prem &amp; Reserve Risk'!$AC$123),'Health Prem &amp; Reserve Risk'!$AC$123))</f>
        <v>0.14000000000000001</v>
      </c>
      <c r="AD220" s="81"/>
      <c r="AE220" s="53"/>
      <c r="AF220" s="53"/>
    </row>
    <row r="221" spans="1:32" ht="12.75" customHeight="1" x14ac:dyDescent="0.25">
      <c r="A221" s="53"/>
      <c r="B221" s="257">
        <v>97</v>
      </c>
      <c r="C221" s="652"/>
      <c r="D221" s="80"/>
      <c r="E221" s="80"/>
      <c r="F221" s="256">
        <f t="shared" ca="1" si="8"/>
        <v>0</v>
      </c>
      <c r="G221" s="624"/>
      <c r="H221" s="85"/>
      <c r="I221" s="624"/>
      <c r="J221" s="85"/>
      <c r="K221" s="624"/>
      <c r="L221" s="85"/>
      <c r="M221" s="624"/>
      <c r="N221" s="85"/>
      <c r="O221" s="624"/>
      <c r="P221" s="85"/>
      <c r="Q221" s="626">
        <f t="shared" si="5"/>
        <v>0</v>
      </c>
      <c r="R221" s="85"/>
      <c r="S221" s="624"/>
      <c r="T221" s="260" t="str">
        <f t="shared" si="7"/>
        <v/>
      </c>
      <c r="U221" s="624"/>
      <c r="V221" s="85"/>
      <c r="W221" s="624"/>
      <c r="X221" s="81"/>
      <c r="Y221" s="80"/>
      <c r="Z221" s="737">
        <f ca="1">MAX(0%,IF(Q221&lt;&gt;0,MIN((S221-Q221)/Q221/'NSLT Health Risk'!$E$27,'Health Prem &amp; Reserve Risk'!$Z$123),'Health Prem &amp; Reserve Risk'!$Z$123))</f>
        <v>8.5000000000000006E-2</v>
      </c>
      <c r="AA221" s="80"/>
      <c r="AB221" s="80"/>
      <c r="AC221" s="737">
        <f ca="1">MAX(0%,IF(U221&lt;&gt;0,MIN((W221-U221)/U221/'NSLT Health Risk'!$E$27,'Health Prem &amp; Reserve Risk'!$AC$123),'Health Prem &amp; Reserve Risk'!$AC$123))</f>
        <v>0.14000000000000001</v>
      </c>
      <c r="AD221" s="81"/>
      <c r="AE221" s="53"/>
      <c r="AF221" s="53"/>
    </row>
    <row r="222" spans="1:32" ht="12.75" customHeight="1" x14ac:dyDescent="0.25">
      <c r="A222" s="53"/>
      <c r="B222" s="257">
        <v>98</v>
      </c>
      <c r="C222" s="652"/>
      <c r="D222" s="80"/>
      <c r="E222" s="80"/>
      <c r="F222" s="256">
        <f t="shared" ca="1" si="8"/>
        <v>0</v>
      </c>
      <c r="G222" s="624"/>
      <c r="H222" s="85"/>
      <c r="I222" s="624"/>
      <c r="J222" s="85"/>
      <c r="K222" s="624"/>
      <c r="L222" s="85"/>
      <c r="M222" s="624"/>
      <c r="N222" s="85"/>
      <c r="O222" s="624"/>
      <c r="P222" s="85"/>
      <c r="Q222" s="626">
        <f t="shared" si="5"/>
        <v>0</v>
      </c>
      <c r="R222" s="85"/>
      <c r="S222" s="624"/>
      <c r="T222" s="260" t="str">
        <f t="shared" si="7"/>
        <v/>
      </c>
      <c r="U222" s="624"/>
      <c r="V222" s="85"/>
      <c r="W222" s="624"/>
      <c r="X222" s="81"/>
      <c r="Y222" s="80"/>
      <c r="Z222" s="737">
        <f ca="1">MAX(0%,IF(Q222&lt;&gt;0,MIN((S222-Q222)/Q222/'NSLT Health Risk'!$E$27,'Health Prem &amp; Reserve Risk'!$Z$123),'Health Prem &amp; Reserve Risk'!$Z$123))</f>
        <v>8.5000000000000006E-2</v>
      </c>
      <c r="AA222" s="80"/>
      <c r="AB222" s="80"/>
      <c r="AC222" s="737">
        <f ca="1">MAX(0%,IF(U222&lt;&gt;0,MIN((W222-U222)/U222/'NSLT Health Risk'!$E$27,'Health Prem &amp; Reserve Risk'!$AC$123),'Health Prem &amp; Reserve Risk'!$AC$123))</f>
        <v>0.14000000000000001</v>
      </c>
      <c r="AD222" s="81"/>
      <c r="AE222" s="53"/>
      <c r="AF222" s="53"/>
    </row>
    <row r="223" spans="1:32" ht="12.75" customHeight="1" x14ac:dyDescent="0.25">
      <c r="A223" s="53"/>
      <c r="B223" s="257">
        <v>99</v>
      </c>
      <c r="C223" s="652"/>
      <c r="D223" s="80"/>
      <c r="E223" s="80"/>
      <c r="F223" s="256">
        <f t="shared" ca="1" si="8"/>
        <v>0</v>
      </c>
      <c r="G223" s="624"/>
      <c r="H223" s="85"/>
      <c r="I223" s="624"/>
      <c r="J223" s="85"/>
      <c r="K223" s="624"/>
      <c r="L223" s="85"/>
      <c r="M223" s="624"/>
      <c r="N223" s="85"/>
      <c r="O223" s="624"/>
      <c r="P223" s="85"/>
      <c r="Q223" s="626">
        <f t="shared" si="5"/>
        <v>0</v>
      </c>
      <c r="R223" s="85"/>
      <c r="S223" s="624"/>
      <c r="T223" s="260" t="str">
        <f t="shared" si="7"/>
        <v/>
      </c>
      <c r="U223" s="624"/>
      <c r="V223" s="85"/>
      <c r="W223" s="624"/>
      <c r="X223" s="81"/>
      <c r="Y223" s="80"/>
      <c r="Z223" s="737">
        <f ca="1">MAX(0%,IF(Q223&lt;&gt;0,MIN((S223-Q223)/Q223/'NSLT Health Risk'!$E$27,'Health Prem &amp; Reserve Risk'!$Z$123),'Health Prem &amp; Reserve Risk'!$Z$123))</f>
        <v>8.5000000000000006E-2</v>
      </c>
      <c r="AA223" s="80"/>
      <c r="AB223" s="80"/>
      <c r="AC223" s="737">
        <f ca="1">MAX(0%,IF(U223&lt;&gt;0,MIN((W223-U223)/U223/'NSLT Health Risk'!$E$27,'Health Prem &amp; Reserve Risk'!$AC$123),'Health Prem &amp; Reserve Risk'!$AC$123))</f>
        <v>0.14000000000000001</v>
      </c>
      <c r="AD223" s="81"/>
      <c r="AE223" s="53"/>
      <c r="AF223" s="53"/>
    </row>
    <row r="224" spans="1:32" ht="12.75" customHeight="1" x14ac:dyDescent="0.25">
      <c r="A224" s="53"/>
      <c r="B224" s="257">
        <v>100</v>
      </c>
      <c r="C224" s="652"/>
      <c r="D224" s="80"/>
      <c r="E224" s="80"/>
      <c r="F224" s="256">
        <f t="shared" ca="1" si="8"/>
        <v>0</v>
      </c>
      <c r="G224" s="624"/>
      <c r="H224" s="85"/>
      <c r="I224" s="624"/>
      <c r="J224" s="85"/>
      <c r="K224" s="624"/>
      <c r="L224" s="85"/>
      <c r="M224" s="624"/>
      <c r="N224" s="85"/>
      <c r="O224" s="624"/>
      <c r="P224" s="85"/>
      <c r="Q224" s="626">
        <f t="shared" si="5"/>
        <v>0</v>
      </c>
      <c r="R224" s="85"/>
      <c r="S224" s="624"/>
      <c r="T224" s="260" t="str">
        <f t="shared" si="7"/>
        <v/>
      </c>
      <c r="U224" s="624"/>
      <c r="V224" s="85"/>
      <c r="W224" s="624"/>
      <c r="X224" s="81"/>
      <c r="Y224" s="80"/>
      <c r="Z224" s="737">
        <f ca="1">MAX(0%,IF(Q224&lt;&gt;0,MIN((S224-Q224)/Q224/'NSLT Health Risk'!$E$27,'Health Prem &amp; Reserve Risk'!$Z$123),'Health Prem &amp; Reserve Risk'!$Z$123))</f>
        <v>8.5000000000000006E-2</v>
      </c>
      <c r="AA224" s="80"/>
      <c r="AB224" s="80"/>
      <c r="AC224" s="737">
        <f ca="1">MAX(0%,IF(U224&lt;&gt;0,MIN((W224-U224)/U224/'NSLT Health Risk'!$E$27,'Health Prem &amp; Reserve Risk'!$AC$123),'Health Prem &amp; Reserve Risk'!$AC$123))</f>
        <v>0.14000000000000001</v>
      </c>
      <c r="AD224" s="81"/>
      <c r="AE224" s="53"/>
      <c r="AF224" s="53"/>
    </row>
    <row r="225" spans="1:32" ht="6" customHeight="1" thickBot="1" x14ac:dyDescent="0.3">
      <c r="A225" s="53"/>
      <c r="B225" s="110"/>
      <c r="C225" s="93"/>
      <c r="D225" s="93"/>
      <c r="E225" s="93"/>
      <c r="F225" s="272">
        <f ca="1">IF(OFFSET($Z$8,$B$122-10,0)=0,1,0)</f>
        <v>0</v>
      </c>
      <c r="G225" s="134"/>
      <c r="H225" s="134"/>
      <c r="I225" s="134"/>
      <c r="J225" s="134"/>
      <c r="K225" s="134"/>
      <c r="L225" s="134"/>
      <c r="M225" s="134"/>
      <c r="N225" s="134"/>
      <c r="O225" s="134"/>
      <c r="P225" s="134"/>
      <c r="Q225" s="134"/>
      <c r="R225" s="134"/>
      <c r="S225" s="134"/>
      <c r="T225" s="134"/>
      <c r="U225" s="134"/>
      <c r="V225" s="134"/>
      <c r="W225" s="134"/>
      <c r="X225" s="94"/>
      <c r="Y225" s="93"/>
      <c r="Z225" s="93"/>
      <c r="AA225" s="93"/>
      <c r="AB225" s="93"/>
      <c r="AC225" s="93"/>
      <c r="AD225" s="94"/>
      <c r="AE225" s="53"/>
      <c r="AF225" s="53"/>
    </row>
    <row r="226" spans="1:32" ht="16.5" thickBot="1" x14ac:dyDescent="0.3">
      <c r="A226" s="53"/>
      <c r="B226" s="53"/>
      <c r="C226" s="53"/>
      <c r="D226" s="53"/>
      <c r="E226" s="53"/>
      <c r="F226" s="53"/>
      <c r="G226" s="109"/>
      <c r="H226" s="109"/>
      <c r="I226" s="109"/>
      <c r="J226" s="109"/>
      <c r="K226" s="109"/>
      <c r="L226" s="109"/>
      <c r="M226" s="109"/>
      <c r="N226" s="109"/>
      <c r="O226" s="109"/>
      <c r="P226" s="109"/>
      <c r="Q226" s="109"/>
      <c r="R226" s="109"/>
      <c r="S226" s="109"/>
      <c r="T226" s="109"/>
      <c r="U226" s="109"/>
      <c r="V226" s="109"/>
      <c r="W226" s="109"/>
      <c r="X226" s="53"/>
      <c r="Y226" s="53"/>
      <c r="Z226" s="53"/>
      <c r="AA226" s="53"/>
      <c r="AB226" s="53"/>
      <c r="AC226" s="53"/>
      <c r="AD226" s="53"/>
      <c r="AE226" s="53"/>
      <c r="AF226" s="53"/>
    </row>
    <row r="227" spans="1:32" ht="48" thickBot="1" x14ac:dyDescent="0.3">
      <c r="A227" s="53"/>
      <c r="B227" s="126">
        <v>12</v>
      </c>
      <c r="C227" s="126" t="str">
        <f ca="1">RIGHT(OFFSET($B$8,B227-10,0),LEN(OFFSET($B$8,B227-10,0))-5)</f>
        <v>- Workers' compensation &amp; 24 Prop. Reins.</v>
      </c>
      <c r="D227" s="127"/>
      <c r="E227" s="127"/>
      <c r="F227" s="127"/>
      <c r="G227" s="127"/>
      <c r="H227" s="127"/>
      <c r="I227" s="127"/>
      <c r="J227" s="127"/>
      <c r="K227" s="127"/>
      <c r="L227" s="127"/>
      <c r="M227" s="127"/>
      <c r="N227" s="127"/>
      <c r="O227" s="127"/>
      <c r="P227" s="127"/>
      <c r="Q227" s="127"/>
      <c r="R227" s="127"/>
      <c r="S227" s="127"/>
      <c r="T227" s="127"/>
      <c r="U227" s="127"/>
      <c r="V227" s="127"/>
      <c r="W227" s="127"/>
      <c r="X227" s="128"/>
      <c r="Y227" s="127"/>
      <c r="Z227" s="745" t="s">
        <v>458</v>
      </c>
      <c r="AA227" s="250"/>
      <c r="AB227" s="250"/>
      <c r="AC227" s="250" t="s">
        <v>459</v>
      </c>
      <c r="AD227" s="177"/>
      <c r="AE227" s="53"/>
      <c r="AF227" s="53"/>
    </row>
    <row r="228" spans="1:32" ht="129.75" thickBot="1" x14ac:dyDescent="0.3">
      <c r="A228" s="53"/>
      <c r="B228" s="147"/>
      <c r="C228" s="253" t="s">
        <v>517</v>
      </c>
      <c r="D228" s="237"/>
      <c r="E228" s="237"/>
      <c r="F228" s="254">
        <f ca="1">IF(OFFSET($Z$8,B227-10,0)=0,1,0)</f>
        <v>0</v>
      </c>
      <c r="G228" s="794" t="s">
        <v>1130</v>
      </c>
      <c r="H228" s="270"/>
      <c r="I228" s="271" t="s">
        <v>438</v>
      </c>
      <c r="J228" s="271"/>
      <c r="K228" s="271" t="s">
        <v>439</v>
      </c>
      <c r="L228" s="271"/>
      <c r="M228" s="271" t="s">
        <v>1131</v>
      </c>
      <c r="N228" s="271"/>
      <c r="O228" s="271" t="s">
        <v>1132</v>
      </c>
      <c r="P228" s="237"/>
      <c r="Q228" s="237" t="s">
        <v>440</v>
      </c>
      <c r="R228" s="237"/>
      <c r="S228" s="237" t="s">
        <v>461</v>
      </c>
      <c r="T228" s="237"/>
      <c r="U228" s="237" t="s">
        <v>463</v>
      </c>
      <c r="V228" s="237"/>
      <c r="W228" s="237" t="s">
        <v>464</v>
      </c>
      <c r="X228" s="238"/>
      <c r="Y228" s="237"/>
      <c r="Z228" s="255">
        <f ca="1">OFFSET('NSLT Health Risk'!J54,'Health Prem &amp; Reserve Risk'!B227-10,0)</f>
        <v>9.6000000000000002E-2</v>
      </c>
      <c r="AA228" s="237"/>
      <c r="AB228" s="237"/>
      <c r="AC228" s="255">
        <f ca="1">OFFSET('NSLT Health Risk'!L54,'Health Prem &amp; Reserve Risk'!B227-10,0)</f>
        <v>0.11</v>
      </c>
      <c r="AD228" s="744"/>
      <c r="AE228" s="53"/>
      <c r="AF228" s="53"/>
    </row>
    <row r="229" spans="1:32" ht="6" customHeight="1" x14ac:dyDescent="0.25">
      <c r="A229" s="53"/>
      <c r="B229" s="106"/>
      <c r="C229" s="80"/>
      <c r="D229" s="80"/>
      <c r="E229" s="80"/>
      <c r="F229" s="256">
        <f ca="1">IF(OFFSET($Z$8,$B$227-10,0)=0,1,0)</f>
        <v>0</v>
      </c>
      <c r="G229" s="85"/>
      <c r="H229" s="85"/>
      <c r="I229" s="85"/>
      <c r="J229" s="85"/>
      <c r="K229" s="85"/>
      <c r="L229" s="85"/>
      <c r="M229" s="85"/>
      <c r="N229" s="85"/>
      <c r="O229" s="85"/>
      <c r="P229" s="85"/>
      <c r="Q229" s="85"/>
      <c r="R229" s="85"/>
      <c r="S229" s="85"/>
      <c r="T229" s="85"/>
      <c r="U229" s="85"/>
      <c r="V229" s="85"/>
      <c r="W229" s="85"/>
      <c r="X229" s="81"/>
      <c r="Y229" s="80"/>
      <c r="Z229" s="80"/>
      <c r="AA229" s="80"/>
      <c r="AB229" s="80"/>
      <c r="AC229" s="80"/>
      <c r="AD229" s="81"/>
      <c r="AE229" s="53"/>
      <c r="AF229" s="53"/>
    </row>
    <row r="230" spans="1:32" ht="13.5" customHeight="1" x14ac:dyDescent="0.25">
      <c r="A230" s="53"/>
      <c r="B230" s="257">
        <v>1</v>
      </c>
      <c r="C230" s="652"/>
      <c r="D230" s="80"/>
      <c r="E230" s="80"/>
      <c r="F230" s="256">
        <f ca="1">IF(B230&lt;=OFFSET($Z$8,B$227-10,0),0,1)</f>
        <v>0</v>
      </c>
      <c r="G230" s="624"/>
      <c r="H230" s="85"/>
      <c r="I230" s="624"/>
      <c r="J230" s="85"/>
      <c r="K230" s="624"/>
      <c r="L230" s="85"/>
      <c r="M230" s="624"/>
      <c r="N230" s="85"/>
      <c r="O230" s="624"/>
      <c r="P230" s="85"/>
      <c r="Q230" s="626">
        <f t="shared" ref="Q230:Q329" si="9">MAX(G230,I230)+K230+M230+0.3*O230</f>
        <v>0</v>
      </c>
      <c r="R230" s="85"/>
      <c r="S230" s="624"/>
      <c r="T230" s="260"/>
      <c r="U230" s="624"/>
      <c r="V230" s="85"/>
      <c r="W230" s="624"/>
      <c r="X230" s="81"/>
      <c r="Y230" s="80"/>
      <c r="Z230" s="737">
        <f ca="1">MAX(0%,IF(Q230&lt;&gt;0,MIN((S230-Q230)/Q230/'NSLT Health Risk'!$E$27,'Health Prem &amp; Reserve Risk'!$Z$228),'Health Prem &amp; Reserve Risk'!$Z$228))</f>
        <v>9.6000000000000002E-2</v>
      </c>
      <c r="AA230" s="80"/>
      <c r="AB230" s="80"/>
      <c r="AC230" s="737">
        <f ca="1">MAX(0%,IF(U230&lt;&gt;0,MIN((W230-U230)/U230/'NSLT Health Risk'!$E$27,'Health Prem &amp; Reserve Risk'!$AC$228),'Health Prem &amp; Reserve Risk'!$AC$228))</f>
        <v>0.11</v>
      </c>
      <c r="AD230" s="81"/>
      <c r="AE230" s="53"/>
      <c r="AF230" s="53"/>
    </row>
    <row r="231" spans="1:32" ht="12.75" customHeight="1" x14ac:dyDescent="0.25">
      <c r="A231" s="53"/>
      <c r="B231" s="257">
        <v>2</v>
      </c>
      <c r="C231" s="652"/>
      <c r="D231" s="80"/>
      <c r="E231" s="80"/>
      <c r="F231" s="256">
        <f t="shared" ref="F231:F294" ca="1" si="10">IF(B231&lt;=OFFSET($Z$8,B$227-10,0),0,1)</f>
        <v>0</v>
      </c>
      <c r="G231" s="624"/>
      <c r="H231" s="85"/>
      <c r="I231" s="624"/>
      <c r="J231" s="85"/>
      <c r="K231" s="624"/>
      <c r="L231" s="85"/>
      <c r="M231" s="624"/>
      <c r="N231" s="85"/>
      <c r="O231" s="624"/>
      <c r="P231" s="85"/>
      <c r="Q231" s="626">
        <f t="shared" si="9"/>
        <v>0</v>
      </c>
      <c r="R231" s="85"/>
      <c r="S231" s="624"/>
      <c r="T231" s="260" t="str">
        <f t="shared" ref="T231:T329" si="11">IF(Q231&gt;0,IF(S231&lt;&gt;0,"","CAP MUST NOT BE 0"),"")</f>
        <v/>
      </c>
      <c r="U231" s="624"/>
      <c r="V231" s="85"/>
      <c r="W231" s="624"/>
      <c r="X231" s="81"/>
      <c r="Y231" s="80"/>
      <c r="Z231" s="737">
        <f ca="1">MAX(0%,IF(Q231&lt;&gt;0,MIN((S231-Q231)/Q231/'NSLT Health Risk'!$E$27,'Health Prem &amp; Reserve Risk'!$Z$228),'Health Prem &amp; Reserve Risk'!$Z$228))</f>
        <v>9.6000000000000002E-2</v>
      </c>
      <c r="AA231" s="80"/>
      <c r="AB231" s="80"/>
      <c r="AC231" s="737">
        <f ca="1">MAX(0%,IF(U231&lt;&gt;0,MIN((W231-U231)/U231/'NSLT Health Risk'!$E$27,'Health Prem &amp; Reserve Risk'!$AC$228),'Health Prem &amp; Reserve Risk'!$AC$228))</f>
        <v>0.11</v>
      </c>
      <c r="AD231" s="81"/>
      <c r="AE231" s="53"/>
      <c r="AF231" s="53"/>
    </row>
    <row r="232" spans="1:32" ht="12.75" customHeight="1" x14ac:dyDescent="0.25">
      <c r="A232" s="53"/>
      <c r="B232" s="257">
        <v>3</v>
      </c>
      <c r="C232" s="652"/>
      <c r="D232" s="80"/>
      <c r="E232" s="80"/>
      <c r="F232" s="256">
        <f t="shared" ca="1" si="10"/>
        <v>0</v>
      </c>
      <c r="G232" s="624"/>
      <c r="H232" s="85"/>
      <c r="I232" s="624"/>
      <c r="J232" s="85"/>
      <c r="K232" s="624"/>
      <c r="L232" s="85"/>
      <c r="M232" s="624"/>
      <c r="N232" s="85"/>
      <c r="O232" s="624"/>
      <c r="P232" s="85"/>
      <c r="Q232" s="626">
        <f t="shared" si="9"/>
        <v>0</v>
      </c>
      <c r="R232" s="85"/>
      <c r="S232" s="624"/>
      <c r="T232" s="260" t="str">
        <f t="shared" si="11"/>
        <v/>
      </c>
      <c r="U232" s="624"/>
      <c r="V232" s="85"/>
      <c r="W232" s="624"/>
      <c r="X232" s="81"/>
      <c r="Y232" s="80"/>
      <c r="Z232" s="737">
        <f ca="1">MAX(0%,IF(Q232&lt;&gt;0,MIN((S232-Q232)/Q232/'NSLT Health Risk'!$E$27,'Health Prem &amp; Reserve Risk'!$Z$228),'Health Prem &amp; Reserve Risk'!$Z$228))</f>
        <v>9.6000000000000002E-2</v>
      </c>
      <c r="AA232" s="80"/>
      <c r="AB232" s="80"/>
      <c r="AC232" s="737">
        <f ca="1">MAX(0%,IF(U232&lt;&gt;0,MIN((W232-U232)/U232/'NSLT Health Risk'!$E$27,'Health Prem &amp; Reserve Risk'!$AC$228),'Health Prem &amp; Reserve Risk'!$AC$228))</f>
        <v>0.11</v>
      </c>
      <c r="AD232" s="81"/>
      <c r="AE232" s="53"/>
      <c r="AF232" s="53"/>
    </row>
    <row r="233" spans="1:32" ht="12.75" customHeight="1" x14ac:dyDescent="0.25">
      <c r="A233" s="53"/>
      <c r="B233" s="257">
        <v>4</v>
      </c>
      <c r="C233" s="652"/>
      <c r="D233" s="80"/>
      <c r="E233" s="80"/>
      <c r="F233" s="256">
        <f t="shared" ca="1" si="10"/>
        <v>0</v>
      </c>
      <c r="G233" s="624"/>
      <c r="H233" s="85"/>
      <c r="I233" s="624"/>
      <c r="J233" s="85"/>
      <c r="K233" s="624"/>
      <c r="L233" s="85"/>
      <c r="M233" s="624"/>
      <c r="N233" s="85"/>
      <c r="O233" s="624"/>
      <c r="P233" s="85"/>
      <c r="Q233" s="626">
        <f t="shared" si="9"/>
        <v>0</v>
      </c>
      <c r="R233" s="85"/>
      <c r="S233" s="624"/>
      <c r="T233" s="260" t="str">
        <f t="shared" si="11"/>
        <v/>
      </c>
      <c r="U233" s="624"/>
      <c r="V233" s="85"/>
      <c r="W233" s="624"/>
      <c r="X233" s="81"/>
      <c r="Y233" s="80"/>
      <c r="Z233" s="737">
        <f ca="1">MAX(0%,IF(Q233&lt;&gt;0,MIN((S233-Q233)/Q233/'NSLT Health Risk'!$E$27,'Health Prem &amp; Reserve Risk'!$Z$228),'Health Prem &amp; Reserve Risk'!$Z$228))</f>
        <v>9.6000000000000002E-2</v>
      </c>
      <c r="AA233" s="80"/>
      <c r="AB233" s="80"/>
      <c r="AC233" s="737">
        <f ca="1">MAX(0%,IF(U233&lt;&gt;0,MIN((W233-U233)/U233/'NSLT Health Risk'!$E$27,'Health Prem &amp; Reserve Risk'!$AC$228),'Health Prem &amp; Reserve Risk'!$AC$228))</f>
        <v>0.11</v>
      </c>
      <c r="AD233" s="81"/>
      <c r="AE233" s="53"/>
      <c r="AF233" s="53"/>
    </row>
    <row r="234" spans="1:32" ht="12.75" customHeight="1" x14ac:dyDescent="0.25">
      <c r="A234" s="53"/>
      <c r="B234" s="257">
        <v>5</v>
      </c>
      <c r="C234" s="652"/>
      <c r="D234" s="80"/>
      <c r="E234" s="80"/>
      <c r="F234" s="256">
        <f t="shared" ca="1" si="10"/>
        <v>0</v>
      </c>
      <c r="G234" s="624"/>
      <c r="H234" s="85"/>
      <c r="I234" s="624"/>
      <c r="J234" s="85"/>
      <c r="K234" s="624"/>
      <c r="L234" s="85"/>
      <c r="M234" s="624"/>
      <c r="N234" s="85"/>
      <c r="O234" s="624"/>
      <c r="P234" s="85"/>
      <c r="Q234" s="626">
        <f t="shared" si="9"/>
        <v>0</v>
      </c>
      <c r="R234" s="85"/>
      <c r="S234" s="624"/>
      <c r="T234" s="260" t="str">
        <f t="shared" si="11"/>
        <v/>
      </c>
      <c r="U234" s="624"/>
      <c r="V234" s="85"/>
      <c r="W234" s="624"/>
      <c r="X234" s="81"/>
      <c r="Y234" s="80"/>
      <c r="Z234" s="737">
        <f ca="1">MAX(0%,IF(Q234&lt;&gt;0,MIN((S234-Q234)/Q234/'NSLT Health Risk'!$E$27,'Health Prem &amp; Reserve Risk'!$Z$228),'Health Prem &amp; Reserve Risk'!$Z$228))</f>
        <v>9.6000000000000002E-2</v>
      </c>
      <c r="AA234" s="80"/>
      <c r="AB234" s="80"/>
      <c r="AC234" s="737">
        <f ca="1">MAX(0%,IF(U234&lt;&gt;0,MIN((W234-U234)/U234/'NSLT Health Risk'!$E$27,'Health Prem &amp; Reserve Risk'!$AC$228),'Health Prem &amp; Reserve Risk'!$AC$228))</f>
        <v>0.11</v>
      </c>
      <c r="AD234" s="81"/>
      <c r="AE234" s="53"/>
      <c r="AF234" s="53"/>
    </row>
    <row r="235" spans="1:32" ht="12.75" customHeight="1" x14ac:dyDescent="0.25">
      <c r="A235" s="53"/>
      <c r="B235" s="257">
        <v>6</v>
      </c>
      <c r="C235" s="652"/>
      <c r="D235" s="80"/>
      <c r="E235" s="80"/>
      <c r="F235" s="256">
        <f t="shared" ca="1" si="10"/>
        <v>0</v>
      </c>
      <c r="G235" s="624"/>
      <c r="H235" s="85"/>
      <c r="I235" s="624"/>
      <c r="J235" s="85"/>
      <c r="K235" s="624"/>
      <c r="L235" s="85"/>
      <c r="M235" s="624"/>
      <c r="N235" s="85"/>
      <c r="O235" s="624"/>
      <c r="P235" s="85"/>
      <c r="Q235" s="626">
        <f t="shared" si="9"/>
        <v>0</v>
      </c>
      <c r="R235" s="85"/>
      <c r="S235" s="624"/>
      <c r="T235" s="260" t="str">
        <f t="shared" si="11"/>
        <v/>
      </c>
      <c r="U235" s="624"/>
      <c r="V235" s="85"/>
      <c r="W235" s="624"/>
      <c r="X235" s="81"/>
      <c r="Y235" s="80"/>
      <c r="Z235" s="737">
        <f ca="1">MAX(0%,IF(Q235&lt;&gt;0,MIN((S235-Q235)/Q235/'NSLT Health Risk'!$E$27,'Health Prem &amp; Reserve Risk'!$Z$228),'Health Prem &amp; Reserve Risk'!$Z$228))</f>
        <v>9.6000000000000002E-2</v>
      </c>
      <c r="AA235" s="80"/>
      <c r="AB235" s="80"/>
      <c r="AC235" s="737">
        <f ca="1">MAX(0%,IF(U235&lt;&gt;0,MIN((W235-U235)/U235/'NSLT Health Risk'!$E$27,'Health Prem &amp; Reserve Risk'!$AC$228),'Health Prem &amp; Reserve Risk'!$AC$228))</f>
        <v>0.11</v>
      </c>
      <c r="AD235" s="81"/>
      <c r="AE235" s="53"/>
      <c r="AF235" s="53"/>
    </row>
    <row r="236" spans="1:32" ht="12.75" customHeight="1" x14ac:dyDescent="0.25">
      <c r="A236" s="53"/>
      <c r="B236" s="257">
        <v>7</v>
      </c>
      <c r="C236" s="652"/>
      <c r="D236" s="80"/>
      <c r="E236" s="80"/>
      <c r="F236" s="256">
        <f t="shared" ca="1" si="10"/>
        <v>0</v>
      </c>
      <c r="G236" s="624"/>
      <c r="H236" s="85"/>
      <c r="I236" s="624"/>
      <c r="J236" s="85"/>
      <c r="K236" s="624"/>
      <c r="L236" s="85"/>
      <c r="M236" s="624"/>
      <c r="N236" s="85"/>
      <c r="O236" s="624"/>
      <c r="P236" s="85"/>
      <c r="Q236" s="626">
        <f t="shared" si="9"/>
        <v>0</v>
      </c>
      <c r="R236" s="85"/>
      <c r="S236" s="624"/>
      <c r="T236" s="260" t="str">
        <f t="shared" si="11"/>
        <v/>
      </c>
      <c r="U236" s="624"/>
      <c r="V236" s="85"/>
      <c r="W236" s="624"/>
      <c r="X236" s="81"/>
      <c r="Y236" s="80"/>
      <c r="Z236" s="737">
        <f ca="1">MAX(0%,IF(Q236&lt;&gt;0,MIN((S236-Q236)/Q236/'NSLT Health Risk'!$E$27,'Health Prem &amp; Reserve Risk'!$Z$228),'Health Prem &amp; Reserve Risk'!$Z$228))</f>
        <v>9.6000000000000002E-2</v>
      </c>
      <c r="AA236" s="80"/>
      <c r="AB236" s="80"/>
      <c r="AC236" s="737">
        <f ca="1">MAX(0%,IF(U236&lt;&gt;0,MIN((W236-U236)/U236/'NSLT Health Risk'!$E$27,'Health Prem &amp; Reserve Risk'!$AC$228),'Health Prem &amp; Reserve Risk'!$AC$228))</f>
        <v>0.11</v>
      </c>
      <c r="AD236" s="81"/>
      <c r="AE236" s="53"/>
      <c r="AF236" s="53"/>
    </row>
    <row r="237" spans="1:32" ht="12.75" customHeight="1" x14ac:dyDescent="0.25">
      <c r="A237" s="53"/>
      <c r="B237" s="257">
        <v>8</v>
      </c>
      <c r="C237" s="652"/>
      <c r="D237" s="80"/>
      <c r="E237" s="80"/>
      <c r="F237" s="256">
        <f t="shared" ca="1" si="10"/>
        <v>0</v>
      </c>
      <c r="G237" s="624"/>
      <c r="H237" s="85"/>
      <c r="I237" s="624"/>
      <c r="J237" s="85"/>
      <c r="K237" s="624"/>
      <c r="L237" s="85"/>
      <c r="M237" s="624"/>
      <c r="N237" s="85"/>
      <c r="O237" s="624"/>
      <c r="P237" s="85"/>
      <c r="Q237" s="626">
        <f t="shared" si="9"/>
        <v>0</v>
      </c>
      <c r="R237" s="85"/>
      <c r="S237" s="624"/>
      <c r="T237" s="260" t="str">
        <f t="shared" si="11"/>
        <v/>
      </c>
      <c r="U237" s="624"/>
      <c r="V237" s="85"/>
      <c r="W237" s="624"/>
      <c r="X237" s="81"/>
      <c r="Y237" s="80"/>
      <c r="Z237" s="737">
        <f ca="1">MAX(0%,IF(Q237&lt;&gt;0,MIN((S237-Q237)/Q237/'NSLT Health Risk'!$E$27,'Health Prem &amp; Reserve Risk'!$Z$228),'Health Prem &amp; Reserve Risk'!$Z$228))</f>
        <v>9.6000000000000002E-2</v>
      </c>
      <c r="AA237" s="80"/>
      <c r="AB237" s="80"/>
      <c r="AC237" s="737">
        <f ca="1">MAX(0%,IF(U237&lt;&gt;0,MIN((W237-U237)/U237/'NSLT Health Risk'!$E$27,'Health Prem &amp; Reserve Risk'!$AC$228),'Health Prem &amp; Reserve Risk'!$AC$228))</f>
        <v>0.11</v>
      </c>
      <c r="AD237" s="81"/>
      <c r="AE237" s="53"/>
      <c r="AF237" s="53"/>
    </row>
    <row r="238" spans="1:32" ht="12.75" customHeight="1" x14ac:dyDescent="0.25">
      <c r="A238" s="53"/>
      <c r="B238" s="257">
        <v>9</v>
      </c>
      <c r="C238" s="652"/>
      <c r="D238" s="80"/>
      <c r="E238" s="80"/>
      <c r="F238" s="256">
        <f t="shared" ca="1" si="10"/>
        <v>0</v>
      </c>
      <c r="G238" s="624"/>
      <c r="H238" s="85"/>
      <c r="I238" s="624"/>
      <c r="J238" s="85"/>
      <c r="K238" s="624"/>
      <c r="L238" s="85"/>
      <c r="M238" s="624"/>
      <c r="N238" s="85"/>
      <c r="O238" s="624"/>
      <c r="P238" s="85"/>
      <c r="Q238" s="626">
        <f t="shared" si="9"/>
        <v>0</v>
      </c>
      <c r="R238" s="85"/>
      <c r="S238" s="624"/>
      <c r="T238" s="260" t="str">
        <f t="shared" si="11"/>
        <v/>
      </c>
      <c r="U238" s="624"/>
      <c r="V238" s="85"/>
      <c r="W238" s="624"/>
      <c r="X238" s="81"/>
      <c r="Y238" s="80"/>
      <c r="Z238" s="737">
        <f ca="1">MAX(0%,IF(Q238&lt;&gt;0,MIN((S238-Q238)/Q238/'NSLT Health Risk'!$E$27,'Health Prem &amp; Reserve Risk'!$Z$228),'Health Prem &amp; Reserve Risk'!$Z$228))</f>
        <v>9.6000000000000002E-2</v>
      </c>
      <c r="AA238" s="80"/>
      <c r="AB238" s="80"/>
      <c r="AC238" s="737">
        <f ca="1">MAX(0%,IF(U238&lt;&gt;0,MIN((W238-U238)/U238/'NSLT Health Risk'!$E$27,'Health Prem &amp; Reserve Risk'!$AC$228),'Health Prem &amp; Reserve Risk'!$AC$228))</f>
        <v>0.11</v>
      </c>
      <c r="AD238" s="81"/>
      <c r="AE238" s="53"/>
      <c r="AF238" s="53"/>
    </row>
    <row r="239" spans="1:32" ht="12.75" customHeight="1" x14ac:dyDescent="0.25">
      <c r="A239" s="53"/>
      <c r="B239" s="257">
        <v>10</v>
      </c>
      <c r="C239" s="652"/>
      <c r="D239" s="80"/>
      <c r="E239" s="80"/>
      <c r="F239" s="256">
        <f t="shared" ca="1" si="10"/>
        <v>0</v>
      </c>
      <c r="G239" s="624"/>
      <c r="H239" s="85"/>
      <c r="I239" s="624"/>
      <c r="J239" s="85"/>
      <c r="K239" s="624"/>
      <c r="L239" s="85"/>
      <c r="M239" s="624"/>
      <c r="N239" s="85"/>
      <c r="O239" s="624"/>
      <c r="P239" s="85"/>
      <c r="Q239" s="626">
        <f t="shared" si="9"/>
        <v>0</v>
      </c>
      <c r="R239" s="85"/>
      <c r="S239" s="624"/>
      <c r="T239" s="260" t="str">
        <f t="shared" si="11"/>
        <v/>
      </c>
      <c r="U239" s="624"/>
      <c r="V239" s="85"/>
      <c r="W239" s="624"/>
      <c r="X239" s="81"/>
      <c r="Y239" s="80"/>
      <c r="Z239" s="737">
        <f ca="1">MAX(0%,IF(Q239&lt;&gt;0,MIN((S239-Q239)/Q239/'NSLT Health Risk'!$E$27,'Health Prem &amp; Reserve Risk'!$Z$228),'Health Prem &amp; Reserve Risk'!$Z$228))</f>
        <v>9.6000000000000002E-2</v>
      </c>
      <c r="AA239" s="80"/>
      <c r="AB239" s="80"/>
      <c r="AC239" s="737">
        <f ca="1">MAX(0%,IF(U239&lt;&gt;0,MIN((W239-U239)/U239/'NSLT Health Risk'!$E$27,'Health Prem &amp; Reserve Risk'!$AC$228),'Health Prem &amp; Reserve Risk'!$AC$228))</f>
        <v>0.11</v>
      </c>
      <c r="AD239" s="81"/>
      <c r="AE239" s="53"/>
      <c r="AF239" s="53"/>
    </row>
    <row r="240" spans="1:32" ht="12.75" customHeight="1" x14ac:dyDescent="0.25">
      <c r="A240" s="53"/>
      <c r="B240" s="257">
        <v>11</v>
      </c>
      <c r="C240" s="652"/>
      <c r="D240" s="80"/>
      <c r="E240" s="80"/>
      <c r="F240" s="256">
        <f t="shared" ca="1" si="10"/>
        <v>0</v>
      </c>
      <c r="G240" s="624"/>
      <c r="H240" s="85"/>
      <c r="I240" s="624"/>
      <c r="J240" s="85"/>
      <c r="K240" s="624"/>
      <c r="L240" s="85"/>
      <c r="M240" s="624"/>
      <c r="N240" s="85"/>
      <c r="O240" s="624"/>
      <c r="P240" s="85"/>
      <c r="Q240" s="626">
        <f t="shared" si="9"/>
        <v>0</v>
      </c>
      <c r="R240" s="85"/>
      <c r="S240" s="624"/>
      <c r="T240" s="260" t="str">
        <f t="shared" si="11"/>
        <v/>
      </c>
      <c r="U240" s="624"/>
      <c r="V240" s="85"/>
      <c r="W240" s="624"/>
      <c r="X240" s="81"/>
      <c r="Y240" s="80"/>
      <c r="Z240" s="737">
        <f ca="1">MAX(0%,IF(Q240&lt;&gt;0,MIN((S240-Q240)/Q240/'NSLT Health Risk'!$E$27,'Health Prem &amp; Reserve Risk'!$Z$228),'Health Prem &amp; Reserve Risk'!$Z$228))</f>
        <v>9.6000000000000002E-2</v>
      </c>
      <c r="AA240" s="80"/>
      <c r="AB240" s="80"/>
      <c r="AC240" s="737">
        <f ca="1">MAX(0%,IF(U240&lt;&gt;0,MIN((W240-U240)/U240/'NSLT Health Risk'!$E$27,'Health Prem &amp; Reserve Risk'!$AC$228),'Health Prem &amp; Reserve Risk'!$AC$228))</f>
        <v>0.11</v>
      </c>
      <c r="AD240" s="81"/>
      <c r="AE240" s="53"/>
      <c r="AF240" s="53"/>
    </row>
    <row r="241" spans="1:32" ht="12.75" customHeight="1" x14ac:dyDescent="0.25">
      <c r="A241" s="53"/>
      <c r="B241" s="257">
        <v>12</v>
      </c>
      <c r="C241" s="652"/>
      <c r="D241" s="80"/>
      <c r="E241" s="80"/>
      <c r="F241" s="256">
        <f t="shared" ca="1" si="10"/>
        <v>0</v>
      </c>
      <c r="G241" s="624"/>
      <c r="H241" s="85"/>
      <c r="I241" s="624"/>
      <c r="J241" s="85"/>
      <c r="K241" s="624"/>
      <c r="L241" s="85"/>
      <c r="M241" s="624"/>
      <c r="N241" s="85"/>
      <c r="O241" s="624"/>
      <c r="P241" s="85"/>
      <c r="Q241" s="626">
        <f t="shared" si="9"/>
        <v>0</v>
      </c>
      <c r="R241" s="85"/>
      <c r="S241" s="624"/>
      <c r="T241" s="260" t="str">
        <f t="shared" si="11"/>
        <v/>
      </c>
      <c r="U241" s="624"/>
      <c r="V241" s="85"/>
      <c r="W241" s="624"/>
      <c r="X241" s="81"/>
      <c r="Y241" s="80"/>
      <c r="Z241" s="737">
        <f ca="1">MAX(0%,IF(Q241&lt;&gt;0,MIN((S241-Q241)/Q241/'NSLT Health Risk'!$E$27,'Health Prem &amp; Reserve Risk'!$Z$228),'Health Prem &amp; Reserve Risk'!$Z$228))</f>
        <v>9.6000000000000002E-2</v>
      </c>
      <c r="AA241" s="80"/>
      <c r="AB241" s="80"/>
      <c r="AC241" s="737">
        <f ca="1">MAX(0%,IF(U241&lt;&gt;0,MIN((W241-U241)/U241/'NSLT Health Risk'!$E$27,'Health Prem &amp; Reserve Risk'!$AC$228),'Health Prem &amp; Reserve Risk'!$AC$228))</f>
        <v>0.11</v>
      </c>
      <c r="AD241" s="81"/>
      <c r="AE241" s="53"/>
      <c r="AF241" s="53"/>
    </row>
    <row r="242" spans="1:32" ht="12.75" customHeight="1" x14ac:dyDescent="0.25">
      <c r="A242" s="53"/>
      <c r="B242" s="257">
        <v>13</v>
      </c>
      <c r="C242" s="652"/>
      <c r="D242" s="80"/>
      <c r="E242" s="80"/>
      <c r="F242" s="256">
        <f t="shared" ca="1" si="10"/>
        <v>0</v>
      </c>
      <c r="G242" s="624"/>
      <c r="H242" s="85"/>
      <c r="I242" s="624"/>
      <c r="J242" s="85"/>
      <c r="K242" s="624"/>
      <c r="L242" s="85"/>
      <c r="M242" s="624"/>
      <c r="N242" s="85"/>
      <c r="O242" s="624"/>
      <c r="P242" s="85"/>
      <c r="Q242" s="626">
        <f t="shared" si="9"/>
        <v>0</v>
      </c>
      <c r="R242" s="85"/>
      <c r="S242" s="624"/>
      <c r="T242" s="260" t="str">
        <f t="shared" si="11"/>
        <v/>
      </c>
      <c r="U242" s="624"/>
      <c r="V242" s="85"/>
      <c r="W242" s="624"/>
      <c r="X242" s="81"/>
      <c r="Y242" s="80"/>
      <c r="Z242" s="737">
        <f ca="1">MAX(0%,IF(Q242&lt;&gt;0,MIN((S242-Q242)/Q242/'NSLT Health Risk'!$E$27,'Health Prem &amp; Reserve Risk'!$Z$228),'Health Prem &amp; Reserve Risk'!$Z$228))</f>
        <v>9.6000000000000002E-2</v>
      </c>
      <c r="AA242" s="80"/>
      <c r="AB242" s="80"/>
      <c r="AC242" s="737">
        <f ca="1">MAX(0%,IF(U242&lt;&gt;0,MIN((W242-U242)/U242/'NSLT Health Risk'!$E$27,'Health Prem &amp; Reserve Risk'!$AC$228),'Health Prem &amp; Reserve Risk'!$AC$228))</f>
        <v>0.11</v>
      </c>
      <c r="AD242" s="81"/>
      <c r="AE242" s="53"/>
      <c r="AF242" s="53"/>
    </row>
    <row r="243" spans="1:32" ht="12.75" customHeight="1" x14ac:dyDescent="0.25">
      <c r="A243" s="53"/>
      <c r="B243" s="257">
        <v>14</v>
      </c>
      <c r="C243" s="652"/>
      <c r="D243" s="80"/>
      <c r="E243" s="80"/>
      <c r="F243" s="256">
        <f t="shared" ca="1" si="10"/>
        <v>0</v>
      </c>
      <c r="G243" s="624"/>
      <c r="H243" s="85"/>
      <c r="I243" s="624"/>
      <c r="J243" s="85"/>
      <c r="K243" s="624"/>
      <c r="L243" s="85"/>
      <c r="M243" s="624"/>
      <c r="N243" s="85"/>
      <c r="O243" s="624"/>
      <c r="P243" s="85"/>
      <c r="Q243" s="626">
        <f t="shared" si="9"/>
        <v>0</v>
      </c>
      <c r="R243" s="85"/>
      <c r="S243" s="624"/>
      <c r="T243" s="260" t="str">
        <f t="shared" si="11"/>
        <v/>
      </c>
      <c r="U243" s="624"/>
      <c r="V243" s="85"/>
      <c r="W243" s="624"/>
      <c r="X243" s="81"/>
      <c r="Y243" s="80"/>
      <c r="Z243" s="737">
        <f ca="1">MAX(0%,IF(Q243&lt;&gt;0,MIN((S243-Q243)/Q243/'NSLT Health Risk'!$E$27,'Health Prem &amp; Reserve Risk'!$Z$228),'Health Prem &amp; Reserve Risk'!$Z$228))</f>
        <v>9.6000000000000002E-2</v>
      </c>
      <c r="AA243" s="80"/>
      <c r="AB243" s="80"/>
      <c r="AC243" s="737">
        <f ca="1">MAX(0%,IF(U243&lt;&gt;0,MIN((W243-U243)/U243/'NSLT Health Risk'!$E$27,'Health Prem &amp; Reserve Risk'!$AC$228),'Health Prem &amp; Reserve Risk'!$AC$228))</f>
        <v>0.11</v>
      </c>
      <c r="AD243" s="81"/>
      <c r="AE243" s="53"/>
      <c r="AF243" s="53"/>
    </row>
    <row r="244" spans="1:32" ht="12.75" customHeight="1" x14ac:dyDescent="0.25">
      <c r="A244" s="53"/>
      <c r="B244" s="257">
        <v>15</v>
      </c>
      <c r="C244" s="652"/>
      <c r="D244" s="80"/>
      <c r="E244" s="80"/>
      <c r="F244" s="256">
        <f t="shared" ca="1" si="10"/>
        <v>0</v>
      </c>
      <c r="G244" s="624"/>
      <c r="H244" s="85"/>
      <c r="I244" s="624"/>
      <c r="J244" s="85"/>
      <c r="K244" s="624"/>
      <c r="L244" s="85"/>
      <c r="M244" s="624"/>
      <c r="N244" s="85"/>
      <c r="O244" s="624"/>
      <c r="P244" s="85"/>
      <c r="Q244" s="626">
        <f t="shared" si="9"/>
        <v>0</v>
      </c>
      <c r="R244" s="85"/>
      <c r="S244" s="624"/>
      <c r="T244" s="260" t="str">
        <f t="shared" si="11"/>
        <v/>
      </c>
      <c r="U244" s="624"/>
      <c r="V244" s="85"/>
      <c r="W244" s="624"/>
      <c r="X244" s="81"/>
      <c r="Y244" s="80"/>
      <c r="Z244" s="737">
        <f ca="1">MAX(0%,IF(Q244&lt;&gt;0,MIN((S244-Q244)/Q244/'NSLT Health Risk'!$E$27,'Health Prem &amp; Reserve Risk'!$Z$228),'Health Prem &amp; Reserve Risk'!$Z$228))</f>
        <v>9.6000000000000002E-2</v>
      </c>
      <c r="AA244" s="80"/>
      <c r="AB244" s="80"/>
      <c r="AC244" s="737">
        <f ca="1">MAX(0%,IF(U244&lt;&gt;0,MIN((W244-U244)/U244/'NSLT Health Risk'!$E$27,'Health Prem &amp; Reserve Risk'!$AC$228),'Health Prem &amp; Reserve Risk'!$AC$228))</f>
        <v>0.11</v>
      </c>
      <c r="AD244" s="81"/>
      <c r="AE244" s="53"/>
      <c r="AF244" s="53"/>
    </row>
    <row r="245" spans="1:32" ht="12.75" customHeight="1" x14ac:dyDescent="0.25">
      <c r="A245" s="53"/>
      <c r="B245" s="257">
        <v>16</v>
      </c>
      <c r="C245" s="652"/>
      <c r="D245" s="80"/>
      <c r="E245" s="80"/>
      <c r="F245" s="256">
        <f t="shared" ca="1" si="10"/>
        <v>0</v>
      </c>
      <c r="G245" s="624"/>
      <c r="H245" s="85"/>
      <c r="I245" s="624"/>
      <c r="J245" s="85"/>
      <c r="K245" s="624"/>
      <c r="L245" s="85"/>
      <c r="M245" s="624"/>
      <c r="N245" s="85"/>
      <c r="O245" s="624"/>
      <c r="P245" s="85"/>
      <c r="Q245" s="626">
        <f t="shared" si="9"/>
        <v>0</v>
      </c>
      <c r="R245" s="85"/>
      <c r="S245" s="624"/>
      <c r="T245" s="260" t="str">
        <f t="shared" si="11"/>
        <v/>
      </c>
      <c r="U245" s="624"/>
      <c r="V245" s="85"/>
      <c r="W245" s="624"/>
      <c r="X245" s="81"/>
      <c r="Y245" s="80"/>
      <c r="Z245" s="737">
        <f ca="1">MAX(0%,IF(Q245&lt;&gt;0,MIN((S245-Q245)/Q245/'NSLT Health Risk'!$E$27,'Health Prem &amp; Reserve Risk'!$Z$228),'Health Prem &amp; Reserve Risk'!$Z$228))</f>
        <v>9.6000000000000002E-2</v>
      </c>
      <c r="AA245" s="80"/>
      <c r="AB245" s="80"/>
      <c r="AC245" s="737">
        <f ca="1">MAX(0%,IF(U245&lt;&gt;0,MIN((W245-U245)/U245/'NSLT Health Risk'!$E$27,'Health Prem &amp; Reserve Risk'!$AC$228),'Health Prem &amp; Reserve Risk'!$AC$228))</f>
        <v>0.11</v>
      </c>
      <c r="AD245" s="81"/>
      <c r="AE245" s="53"/>
      <c r="AF245" s="53"/>
    </row>
    <row r="246" spans="1:32" ht="12.75" customHeight="1" x14ac:dyDescent="0.25">
      <c r="A246" s="53"/>
      <c r="B246" s="257">
        <v>17</v>
      </c>
      <c r="C246" s="652"/>
      <c r="D246" s="80"/>
      <c r="E246" s="80"/>
      <c r="F246" s="256">
        <f t="shared" ca="1" si="10"/>
        <v>0</v>
      </c>
      <c r="G246" s="624"/>
      <c r="H246" s="85"/>
      <c r="I246" s="624"/>
      <c r="J246" s="85"/>
      <c r="K246" s="624"/>
      <c r="L246" s="85"/>
      <c r="M246" s="624"/>
      <c r="N246" s="85"/>
      <c r="O246" s="624"/>
      <c r="P246" s="85"/>
      <c r="Q246" s="626">
        <f t="shared" si="9"/>
        <v>0</v>
      </c>
      <c r="R246" s="85"/>
      <c r="S246" s="624"/>
      <c r="T246" s="260" t="str">
        <f t="shared" si="11"/>
        <v/>
      </c>
      <c r="U246" s="624"/>
      <c r="V246" s="85"/>
      <c r="W246" s="624"/>
      <c r="X246" s="81"/>
      <c r="Y246" s="80"/>
      <c r="Z246" s="737">
        <f ca="1">MAX(0%,IF(Q246&lt;&gt;0,MIN((S246-Q246)/Q246/'NSLT Health Risk'!$E$27,'Health Prem &amp; Reserve Risk'!$Z$228),'Health Prem &amp; Reserve Risk'!$Z$228))</f>
        <v>9.6000000000000002E-2</v>
      </c>
      <c r="AA246" s="80"/>
      <c r="AB246" s="80"/>
      <c r="AC246" s="737">
        <f ca="1">MAX(0%,IF(U246&lt;&gt;0,MIN((W246-U246)/U246/'NSLT Health Risk'!$E$27,'Health Prem &amp; Reserve Risk'!$AC$228),'Health Prem &amp; Reserve Risk'!$AC$228))</f>
        <v>0.11</v>
      </c>
      <c r="AD246" s="81"/>
      <c r="AE246" s="53"/>
      <c r="AF246" s="53"/>
    </row>
    <row r="247" spans="1:32" ht="12.75" customHeight="1" x14ac:dyDescent="0.25">
      <c r="A247" s="53"/>
      <c r="B247" s="257">
        <v>18</v>
      </c>
      <c r="C247" s="652"/>
      <c r="D247" s="80"/>
      <c r="E247" s="80"/>
      <c r="F247" s="256">
        <f t="shared" ca="1" si="10"/>
        <v>0</v>
      </c>
      <c r="G247" s="624"/>
      <c r="H247" s="85"/>
      <c r="I247" s="624"/>
      <c r="J247" s="85"/>
      <c r="K247" s="624"/>
      <c r="L247" s="85"/>
      <c r="M247" s="624"/>
      <c r="N247" s="85"/>
      <c r="O247" s="624"/>
      <c r="P247" s="85"/>
      <c r="Q247" s="626">
        <f t="shared" si="9"/>
        <v>0</v>
      </c>
      <c r="R247" s="85"/>
      <c r="S247" s="624"/>
      <c r="T247" s="260" t="str">
        <f t="shared" si="11"/>
        <v/>
      </c>
      <c r="U247" s="624"/>
      <c r="V247" s="85"/>
      <c r="W247" s="624"/>
      <c r="X247" s="81"/>
      <c r="Y247" s="80"/>
      <c r="Z247" s="737">
        <f ca="1">MAX(0%,IF(Q247&lt;&gt;0,MIN((S247-Q247)/Q247/'NSLT Health Risk'!$E$27,'Health Prem &amp; Reserve Risk'!$Z$228),'Health Prem &amp; Reserve Risk'!$Z$228))</f>
        <v>9.6000000000000002E-2</v>
      </c>
      <c r="AA247" s="80"/>
      <c r="AB247" s="80"/>
      <c r="AC247" s="737">
        <f ca="1">MAX(0%,IF(U247&lt;&gt;0,MIN((W247-U247)/U247/'NSLT Health Risk'!$E$27,'Health Prem &amp; Reserve Risk'!$AC$228),'Health Prem &amp; Reserve Risk'!$AC$228))</f>
        <v>0.11</v>
      </c>
      <c r="AD247" s="81"/>
      <c r="AE247" s="53"/>
      <c r="AF247" s="53"/>
    </row>
    <row r="248" spans="1:32" ht="12.75" customHeight="1" x14ac:dyDescent="0.25">
      <c r="A248" s="53"/>
      <c r="B248" s="257">
        <v>19</v>
      </c>
      <c r="C248" s="652"/>
      <c r="D248" s="80"/>
      <c r="E248" s="80"/>
      <c r="F248" s="256">
        <f t="shared" ca="1" si="10"/>
        <v>0</v>
      </c>
      <c r="G248" s="624"/>
      <c r="H248" s="85"/>
      <c r="I248" s="624"/>
      <c r="J248" s="85"/>
      <c r="K248" s="624"/>
      <c r="L248" s="85"/>
      <c r="M248" s="624"/>
      <c r="N248" s="85"/>
      <c r="O248" s="624"/>
      <c r="P248" s="85"/>
      <c r="Q248" s="626">
        <f t="shared" si="9"/>
        <v>0</v>
      </c>
      <c r="R248" s="85"/>
      <c r="S248" s="624"/>
      <c r="T248" s="260" t="str">
        <f t="shared" si="11"/>
        <v/>
      </c>
      <c r="U248" s="624"/>
      <c r="V248" s="85"/>
      <c r="W248" s="624"/>
      <c r="X248" s="81"/>
      <c r="Y248" s="80"/>
      <c r="Z248" s="737">
        <f ca="1">MAX(0%,IF(Q248&lt;&gt;0,MIN((S248-Q248)/Q248/'NSLT Health Risk'!$E$27,'Health Prem &amp; Reserve Risk'!$Z$228),'Health Prem &amp; Reserve Risk'!$Z$228))</f>
        <v>9.6000000000000002E-2</v>
      </c>
      <c r="AA248" s="80"/>
      <c r="AB248" s="80"/>
      <c r="AC248" s="737">
        <f ca="1">MAX(0%,IF(U248&lt;&gt;0,MIN((W248-U248)/U248/'NSLT Health Risk'!$E$27,'Health Prem &amp; Reserve Risk'!$AC$228),'Health Prem &amp; Reserve Risk'!$AC$228))</f>
        <v>0.11</v>
      </c>
      <c r="AD248" s="81"/>
      <c r="AE248" s="53"/>
      <c r="AF248" s="53"/>
    </row>
    <row r="249" spans="1:32" ht="12.75" customHeight="1" x14ac:dyDescent="0.25">
      <c r="A249" s="53"/>
      <c r="B249" s="257">
        <v>20</v>
      </c>
      <c r="C249" s="652"/>
      <c r="D249" s="80"/>
      <c r="E249" s="80"/>
      <c r="F249" s="256">
        <f t="shared" ca="1" si="10"/>
        <v>0</v>
      </c>
      <c r="G249" s="624"/>
      <c r="H249" s="85"/>
      <c r="I249" s="624"/>
      <c r="J249" s="85"/>
      <c r="K249" s="624"/>
      <c r="L249" s="85"/>
      <c r="M249" s="624"/>
      <c r="N249" s="85"/>
      <c r="O249" s="624"/>
      <c r="P249" s="85"/>
      <c r="Q249" s="626">
        <f t="shared" si="9"/>
        <v>0</v>
      </c>
      <c r="R249" s="85"/>
      <c r="S249" s="624"/>
      <c r="T249" s="260" t="str">
        <f t="shared" si="11"/>
        <v/>
      </c>
      <c r="U249" s="624"/>
      <c r="V249" s="85"/>
      <c r="W249" s="624"/>
      <c r="X249" s="81"/>
      <c r="Y249" s="80"/>
      <c r="Z249" s="737">
        <f ca="1">MAX(0%,IF(Q249&lt;&gt;0,MIN((S249-Q249)/Q249/'NSLT Health Risk'!$E$27,'Health Prem &amp; Reserve Risk'!$Z$228),'Health Prem &amp; Reserve Risk'!$Z$228))</f>
        <v>9.6000000000000002E-2</v>
      </c>
      <c r="AA249" s="80"/>
      <c r="AB249" s="80"/>
      <c r="AC249" s="737">
        <f ca="1">MAX(0%,IF(U249&lt;&gt;0,MIN((W249-U249)/U249/'NSLT Health Risk'!$E$27,'Health Prem &amp; Reserve Risk'!$AC$228),'Health Prem &amp; Reserve Risk'!$AC$228))</f>
        <v>0.11</v>
      </c>
      <c r="AD249" s="81"/>
      <c r="AE249" s="53"/>
      <c r="AF249" s="53"/>
    </row>
    <row r="250" spans="1:32" ht="12.75" customHeight="1" x14ac:dyDescent="0.25">
      <c r="A250" s="53"/>
      <c r="B250" s="257">
        <v>21</v>
      </c>
      <c r="C250" s="652"/>
      <c r="D250" s="80"/>
      <c r="E250" s="80"/>
      <c r="F250" s="256">
        <f t="shared" ca="1" si="10"/>
        <v>0</v>
      </c>
      <c r="G250" s="624"/>
      <c r="H250" s="85"/>
      <c r="I250" s="624"/>
      <c r="J250" s="85"/>
      <c r="K250" s="624"/>
      <c r="L250" s="85"/>
      <c r="M250" s="624"/>
      <c r="N250" s="85"/>
      <c r="O250" s="624"/>
      <c r="P250" s="85"/>
      <c r="Q250" s="626">
        <f t="shared" si="9"/>
        <v>0</v>
      </c>
      <c r="R250" s="85"/>
      <c r="S250" s="624"/>
      <c r="T250" s="260" t="str">
        <f t="shared" si="11"/>
        <v/>
      </c>
      <c r="U250" s="624"/>
      <c r="V250" s="85"/>
      <c r="W250" s="624"/>
      <c r="X250" s="81"/>
      <c r="Y250" s="80"/>
      <c r="Z250" s="737">
        <f ca="1">MAX(0%,IF(Q250&lt;&gt;0,MIN((S250-Q250)/Q250/'NSLT Health Risk'!$E$27,'Health Prem &amp; Reserve Risk'!$Z$228),'Health Prem &amp; Reserve Risk'!$Z$228))</f>
        <v>9.6000000000000002E-2</v>
      </c>
      <c r="AA250" s="80"/>
      <c r="AB250" s="80"/>
      <c r="AC250" s="737">
        <f ca="1">MAX(0%,IF(U250&lt;&gt;0,MIN((W250-U250)/U250/'NSLT Health Risk'!$E$27,'Health Prem &amp; Reserve Risk'!$AC$228),'Health Prem &amp; Reserve Risk'!$AC$228))</f>
        <v>0.11</v>
      </c>
      <c r="AD250" s="81"/>
      <c r="AE250" s="53"/>
      <c r="AF250" s="53"/>
    </row>
    <row r="251" spans="1:32" ht="12.75" customHeight="1" x14ac:dyDescent="0.25">
      <c r="A251" s="53"/>
      <c r="B251" s="257">
        <v>22</v>
      </c>
      <c r="C251" s="652"/>
      <c r="D251" s="80"/>
      <c r="E251" s="80"/>
      <c r="F251" s="256">
        <f t="shared" ca="1" si="10"/>
        <v>0</v>
      </c>
      <c r="G251" s="624"/>
      <c r="H251" s="85"/>
      <c r="I251" s="624"/>
      <c r="J251" s="85"/>
      <c r="K251" s="624"/>
      <c r="L251" s="85"/>
      <c r="M251" s="624"/>
      <c r="N251" s="85"/>
      <c r="O251" s="624"/>
      <c r="P251" s="85"/>
      <c r="Q251" s="626">
        <f t="shared" si="9"/>
        <v>0</v>
      </c>
      <c r="R251" s="85"/>
      <c r="S251" s="624"/>
      <c r="T251" s="260" t="str">
        <f t="shared" si="11"/>
        <v/>
      </c>
      <c r="U251" s="624"/>
      <c r="V251" s="85"/>
      <c r="W251" s="624"/>
      <c r="X251" s="81"/>
      <c r="Y251" s="80"/>
      <c r="Z251" s="737">
        <f ca="1">MAX(0%,IF(Q251&lt;&gt;0,MIN((S251-Q251)/Q251/'NSLT Health Risk'!$E$27,'Health Prem &amp; Reserve Risk'!$Z$228),'Health Prem &amp; Reserve Risk'!$Z$228))</f>
        <v>9.6000000000000002E-2</v>
      </c>
      <c r="AA251" s="80"/>
      <c r="AB251" s="80"/>
      <c r="AC251" s="737">
        <f ca="1">MAX(0%,IF(U251&lt;&gt;0,MIN((W251-U251)/U251/'NSLT Health Risk'!$E$27,'Health Prem &amp; Reserve Risk'!$AC$228),'Health Prem &amp; Reserve Risk'!$AC$228))</f>
        <v>0.11</v>
      </c>
      <c r="AD251" s="81"/>
      <c r="AE251" s="53"/>
      <c r="AF251" s="53"/>
    </row>
    <row r="252" spans="1:32" ht="12.75" customHeight="1" x14ac:dyDescent="0.25">
      <c r="A252" s="53"/>
      <c r="B252" s="257">
        <v>23</v>
      </c>
      <c r="C252" s="652"/>
      <c r="D252" s="80"/>
      <c r="E252" s="80"/>
      <c r="F252" s="256">
        <f t="shared" ca="1" si="10"/>
        <v>0</v>
      </c>
      <c r="G252" s="624"/>
      <c r="H252" s="85"/>
      <c r="I252" s="624"/>
      <c r="J252" s="85"/>
      <c r="K252" s="624"/>
      <c r="L252" s="85"/>
      <c r="M252" s="624"/>
      <c r="N252" s="85"/>
      <c r="O252" s="624"/>
      <c r="P252" s="85"/>
      <c r="Q252" s="626">
        <f t="shared" si="9"/>
        <v>0</v>
      </c>
      <c r="R252" s="85"/>
      <c r="S252" s="624"/>
      <c r="T252" s="260" t="str">
        <f t="shared" si="11"/>
        <v/>
      </c>
      <c r="U252" s="624"/>
      <c r="V252" s="85"/>
      <c r="W252" s="624"/>
      <c r="X252" s="81"/>
      <c r="Y252" s="80"/>
      <c r="Z252" s="737">
        <f ca="1">MAX(0%,IF(Q252&lt;&gt;0,MIN((S252-Q252)/Q252/'NSLT Health Risk'!$E$27,'Health Prem &amp; Reserve Risk'!$Z$228),'Health Prem &amp; Reserve Risk'!$Z$228))</f>
        <v>9.6000000000000002E-2</v>
      </c>
      <c r="AA252" s="80"/>
      <c r="AB252" s="80"/>
      <c r="AC252" s="737">
        <f ca="1">MAX(0%,IF(U252&lt;&gt;0,MIN((W252-U252)/U252/'NSLT Health Risk'!$E$27,'Health Prem &amp; Reserve Risk'!$AC$228),'Health Prem &amp; Reserve Risk'!$AC$228))</f>
        <v>0.11</v>
      </c>
      <c r="AD252" s="81"/>
      <c r="AE252" s="53"/>
      <c r="AF252" s="53"/>
    </row>
    <row r="253" spans="1:32" ht="12.75" customHeight="1" x14ac:dyDescent="0.25">
      <c r="A253" s="53"/>
      <c r="B253" s="257">
        <v>24</v>
      </c>
      <c r="C253" s="652"/>
      <c r="D253" s="80"/>
      <c r="E253" s="80"/>
      <c r="F253" s="256">
        <f t="shared" ca="1" si="10"/>
        <v>0</v>
      </c>
      <c r="G253" s="624"/>
      <c r="H253" s="85"/>
      <c r="I253" s="624"/>
      <c r="J253" s="85"/>
      <c r="K253" s="624"/>
      <c r="L253" s="85"/>
      <c r="M253" s="624"/>
      <c r="N253" s="85"/>
      <c r="O253" s="624"/>
      <c r="P253" s="85"/>
      <c r="Q253" s="626">
        <f t="shared" si="9"/>
        <v>0</v>
      </c>
      <c r="R253" s="85"/>
      <c r="S253" s="624"/>
      <c r="T253" s="260" t="str">
        <f t="shared" si="11"/>
        <v/>
      </c>
      <c r="U253" s="624"/>
      <c r="V253" s="85"/>
      <c r="W253" s="624"/>
      <c r="X253" s="81"/>
      <c r="Y253" s="80"/>
      <c r="Z253" s="737">
        <f ca="1">MAX(0%,IF(Q253&lt;&gt;0,MIN((S253-Q253)/Q253/'NSLT Health Risk'!$E$27,'Health Prem &amp; Reserve Risk'!$Z$228),'Health Prem &amp; Reserve Risk'!$Z$228))</f>
        <v>9.6000000000000002E-2</v>
      </c>
      <c r="AA253" s="80"/>
      <c r="AB253" s="80"/>
      <c r="AC253" s="737">
        <f ca="1">MAX(0%,IF(U253&lt;&gt;0,MIN((W253-U253)/U253/'NSLT Health Risk'!$E$27,'Health Prem &amp; Reserve Risk'!$AC$228),'Health Prem &amp; Reserve Risk'!$AC$228))</f>
        <v>0.11</v>
      </c>
      <c r="AD253" s="81"/>
      <c r="AE253" s="53"/>
      <c r="AF253" s="53"/>
    </row>
    <row r="254" spans="1:32" ht="12.75" customHeight="1" x14ac:dyDescent="0.25">
      <c r="A254" s="53"/>
      <c r="B254" s="257">
        <v>25</v>
      </c>
      <c r="C254" s="652"/>
      <c r="D254" s="80"/>
      <c r="E254" s="80"/>
      <c r="F254" s="256">
        <f t="shared" ca="1" si="10"/>
        <v>0</v>
      </c>
      <c r="G254" s="624"/>
      <c r="H254" s="85"/>
      <c r="I254" s="624"/>
      <c r="J254" s="85"/>
      <c r="K254" s="624"/>
      <c r="L254" s="85"/>
      <c r="M254" s="624"/>
      <c r="N254" s="85"/>
      <c r="O254" s="624"/>
      <c r="P254" s="85"/>
      <c r="Q254" s="626">
        <f t="shared" si="9"/>
        <v>0</v>
      </c>
      <c r="R254" s="85"/>
      <c r="S254" s="624"/>
      <c r="T254" s="260" t="str">
        <f t="shared" si="11"/>
        <v/>
      </c>
      <c r="U254" s="624"/>
      <c r="V254" s="85"/>
      <c r="W254" s="624"/>
      <c r="X254" s="81"/>
      <c r="Y254" s="80"/>
      <c r="Z254" s="737">
        <f ca="1">MAX(0%,IF(Q254&lt;&gt;0,MIN((S254-Q254)/Q254/'NSLT Health Risk'!$E$27,'Health Prem &amp; Reserve Risk'!$Z$228),'Health Prem &amp; Reserve Risk'!$Z$228))</f>
        <v>9.6000000000000002E-2</v>
      </c>
      <c r="AA254" s="80"/>
      <c r="AB254" s="80"/>
      <c r="AC254" s="737">
        <f ca="1">MAX(0%,IF(U254&lt;&gt;0,MIN((W254-U254)/U254/'NSLT Health Risk'!$E$27,'Health Prem &amp; Reserve Risk'!$AC$228),'Health Prem &amp; Reserve Risk'!$AC$228))</f>
        <v>0.11</v>
      </c>
      <c r="AD254" s="81"/>
      <c r="AE254" s="53"/>
      <c r="AF254" s="53"/>
    </row>
    <row r="255" spans="1:32" ht="12.75" customHeight="1" x14ac:dyDescent="0.25">
      <c r="A255" s="53"/>
      <c r="B255" s="257">
        <v>26</v>
      </c>
      <c r="C255" s="652"/>
      <c r="D255" s="80"/>
      <c r="E255" s="80"/>
      <c r="F255" s="256">
        <f t="shared" ca="1" si="10"/>
        <v>0</v>
      </c>
      <c r="G255" s="624"/>
      <c r="H255" s="85"/>
      <c r="I255" s="624"/>
      <c r="J255" s="85"/>
      <c r="K255" s="624"/>
      <c r="L255" s="85"/>
      <c r="M255" s="624"/>
      <c r="N255" s="85"/>
      <c r="O255" s="624"/>
      <c r="P255" s="85"/>
      <c r="Q255" s="626">
        <f t="shared" si="9"/>
        <v>0</v>
      </c>
      <c r="R255" s="85"/>
      <c r="S255" s="624"/>
      <c r="T255" s="260" t="str">
        <f t="shared" si="11"/>
        <v/>
      </c>
      <c r="U255" s="624"/>
      <c r="V255" s="85"/>
      <c r="W255" s="624"/>
      <c r="X255" s="81"/>
      <c r="Y255" s="80"/>
      <c r="Z255" s="737">
        <f ca="1">MAX(0%,IF(Q255&lt;&gt;0,MIN((S255-Q255)/Q255/'NSLT Health Risk'!$E$27,'Health Prem &amp; Reserve Risk'!$Z$228),'Health Prem &amp; Reserve Risk'!$Z$228))</f>
        <v>9.6000000000000002E-2</v>
      </c>
      <c r="AA255" s="80"/>
      <c r="AB255" s="80"/>
      <c r="AC255" s="737">
        <f ca="1">MAX(0%,IF(U255&lt;&gt;0,MIN((W255-U255)/U255/'NSLT Health Risk'!$E$27,'Health Prem &amp; Reserve Risk'!$AC$228),'Health Prem &amp; Reserve Risk'!$AC$228))</f>
        <v>0.11</v>
      </c>
      <c r="AD255" s="81"/>
      <c r="AE255" s="53"/>
      <c r="AF255" s="53"/>
    </row>
    <row r="256" spans="1:32" ht="12.75" customHeight="1" x14ac:dyDescent="0.25">
      <c r="A256" s="53"/>
      <c r="B256" s="257">
        <v>27</v>
      </c>
      <c r="C256" s="652"/>
      <c r="D256" s="80"/>
      <c r="E256" s="80"/>
      <c r="F256" s="256">
        <f t="shared" ca="1" si="10"/>
        <v>0</v>
      </c>
      <c r="G256" s="624"/>
      <c r="H256" s="85"/>
      <c r="I256" s="624"/>
      <c r="J256" s="85"/>
      <c r="K256" s="624"/>
      <c r="L256" s="85"/>
      <c r="M256" s="624"/>
      <c r="N256" s="85"/>
      <c r="O256" s="624"/>
      <c r="P256" s="85"/>
      <c r="Q256" s="626">
        <f t="shared" si="9"/>
        <v>0</v>
      </c>
      <c r="R256" s="85"/>
      <c r="S256" s="624"/>
      <c r="T256" s="260" t="str">
        <f t="shared" si="11"/>
        <v/>
      </c>
      <c r="U256" s="624"/>
      <c r="V256" s="85"/>
      <c r="W256" s="624"/>
      <c r="X256" s="81"/>
      <c r="Y256" s="80"/>
      <c r="Z256" s="737">
        <f ca="1">MAX(0%,IF(Q256&lt;&gt;0,MIN((S256-Q256)/Q256/'NSLT Health Risk'!$E$27,'Health Prem &amp; Reserve Risk'!$Z$228),'Health Prem &amp; Reserve Risk'!$Z$228))</f>
        <v>9.6000000000000002E-2</v>
      </c>
      <c r="AA256" s="80"/>
      <c r="AB256" s="80"/>
      <c r="AC256" s="737">
        <f ca="1">MAX(0%,IF(U256&lt;&gt;0,MIN((W256-U256)/U256/'NSLT Health Risk'!$E$27,'Health Prem &amp; Reserve Risk'!$AC$228),'Health Prem &amp; Reserve Risk'!$AC$228))</f>
        <v>0.11</v>
      </c>
      <c r="AD256" s="81"/>
      <c r="AE256" s="53"/>
      <c r="AF256" s="53"/>
    </row>
    <row r="257" spans="1:32" ht="12.75" customHeight="1" x14ac:dyDescent="0.25">
      <c r="A257" s="53"/>
      <c r="B257" s="257">
        <v>28</v>
      </c>
      <c r="C257" s="652"/>
      <c r="D257" s="80"/>
      <c r="E257" s="80"/>
      <c r="F257" s="256">
        <f t="shared" ca="1" si="10"/>
        <v>0</v>
      </c>
      <c r="G257" s="624"/>
      <c r="H257" s="85"/>
      <c r="I257" s="624"/>
      <c r="J257" s="85"/>
      <c r="K257" s="624"/>
      <c r="L257" s="85"/>
      <c r="M257" s="624"/>
      <c r="N257" s="85"/>
      <c r="O257" s="624"/>
      <c r="P257" s="85"/>
      <c r="Q257" s="626">
        <f t="shared" si="9"/>
        <v>0</v>
      </c>
      <c r="R257" s="85"/>
      <c r="S257" s="624"/>
      <c r="T257" s="260" t="str">
        <f t="shared" si="11"/>
        <v/>
      </c>
      <c r="U257" s="624"/>
      <c r="V257" s="85"/>
      <c r="W257" s="624"/>
      <c r="X257" s="81"/>
      <c r="Y257" s="80"/>
      <c r="Z257" s="737">
        <f ca="1">MAX(0%,IF(Q257&lt;&gt;0,MIN((S257-Q257)/Q257/'NSLT Health Risk'!$E$27,'Health Prem &amp; Reserve Risk'!$Z$228),'Health Prem &amp; Reserve Risk'!$Z$228))</f>
        <v>9.6000000000000002E-2</v>
      </c>
      <c r="AA257" s="80"/>
      <c r="AB257" s="80"/>
      <c r="AC257" s="737">
        <f ca="1">MAX(0%,IF(U257&lt;&gt;0,MIN((W257-U257)/U257/'NSLT Health Risk'!$E$27,'Health Prem &amp; Reserve Risk'!$AC$228),'Health Prem &amp; Reserve Risk'!$AC$228))</f>
        <v>0.11</v>
      </c>
      <c r="AD257" s="81"/>
      <c r="AE257" s="53"/>
      <c r="AF257" s="53"/>
    </row>
    <row r="258" spans="1:32" ht="12.75" customHeight="1" x14ac:dyDescent="0.25">
      <c r="A258" s="53"/>
      <c r="B258" s="257">
        <v>29</v>
      </c>
      <c r="C258" s="652"/>
      <c r="D258" s="80"/>
      <c r="E258" s="80"/>
      <c r="F258" s="256">
        <f t="shared" ca="1" si="10"/>
        <v>0</v>
      </c>
      <c r="G258" s="624"/>
      <c r="H258" s="85"/>
      <c r="I258" s="624"/>
      <c r="J258" s="85"/>
      <c r="K258" s="624"/>
      <c r="L258" s="85"/>
      <c r="M258" s="624"/>
      <c r="N258" s="85"/>
      <c r="O258" s="624"/>
      <c r="P258" s="85"/>
      <c r="Q258" s="626">
        <f t="shared" si="9"/>
        <v>0</v>
      </c>
      <c r="R258" s="85"/>
      <c r="S258" s="624"/>
      <c r="T258" s="260" t="str">
        <f t="shared" si="11"/>
        <v/>
      </c>
      <c r="U258" s="624"/>
      <c r="V258" s="85"/>
      <c r="W258" s="624"/>
      <c r="X258" s="81"/>
      <c r="Y258" s="80"/>
      <c r="Z258" s="737">
        <f ca="1">MAX(0%,IF(Q258&lt;&gt;0,MIN((S258-Q258)/Q258/'NSLT Health Risk'!$E$27,'Health Prem &amp; Reserve Risk'!$Z$228),'Health Prem &amp; Reserve Risk'!$Z$228))</f>
        <v>9.6000000000000002E-2</v>
      </c>
      <c r="AA258" s="80"/>
      <c r="AB258" s="80"/>
      <c r="AC258" s="737">
        <f ca="1">MAX(0%,IF(U258&lt;&gt;0,MIN((W258-U258)/U258/'NSLT Health Risk'!$E$27,'Health Prem &amp; Reserve Risk'!$AC$228),'Health Prem &amp; Reserve Risk'!$AC$228))</f>
        <v>0.11</v>
      </c>
      <c r="AD258" s="81"/>
      <c r="AE258" s="53"/>
      <c r="AF258" s="53"/>
    </row>
    <row r="259" spans="1:32" ht="12.75" customHeight="1" x14ac:dyDescent="0.25">
      <c r="A259" s="53"/>
      <c r="B259" s="257">
        <v>30</v>
      </c>
      <c r="C259" s="652"/>
      <c r="D259" s="80"/>
      <c r="E259" s="80"/>
      <c r="F259" s="256">
        <f t="shared" ca="1" si="10"/>
        <v>0</v>
      </c>
      <c r="G259" s="624"/>
      <c r="H259" s="85"/>
      <c r="I259" s="624"/>
      <c r="J259" s="85"/>
      <c r="K259" s="624"/>
      <c r="L259" s="85"/>
      <c r="M259" s="624"/>
      <c r="N259" s="85"/>
      <c r="O259" s="624"/>
      <c r="P259" s="85"/>
      <c r="Q259" s="626">
        <f t="shared" si="9"/>
        <v>0</v>
      </c>
      <c r="R259" s="85"/>
      <c r="S259" s="624"/>
      <c r="T259" s="260" t="str">
        <f t="shared" si="11"/>
        <v/>
      </c>
      <c r="U259" s="624"/>
      <c r="V259" s="85"/>
      <c r="W259" s="624"/>
      <c r="X259" s="81"/>
      <c r="Y259" s="80"/>
      <c r="Z259" s="737">
        <f ca="1">MAX(0%,IF(Q259&lt;&gt;0,MIN((S259-Q259)/Q259/'NSLT Health Risk'!$E$27,'Health Prem &amp; Reserve Risk'!$Z$228),'Health Prem &amp; Reserve Risk'!$Z$228))</f>
        <v>9.6000000000000002E-2</v>
      </c>
      <c r="AA259" s="80"/>
      <c r="AB259" s="80"/>
      <c r="AC259" s="737">
        <f ca="1">MAX(0%,IF(U259&lt;&gt;0,MIN((W259-U259)/U259/'NSLT Health Risk'!$E$27,'Health Prem &amp; Reserve Risk'!$AC$228),'Health Prem &amp; Reserve Risk'!$AC$228))</f>
        <v>0.11</v>
      </c>
      <c r="AD259" s="81"/>
      <c r="AE259" s="53"/>
      <c r="AF259" s="53"/>
    </row>
    <row r="260" spans="1:32" ht="12.75" customHeight="1" x14ac:dyDescent="0.25">
      <c r="A260" s="53"/>
      <c r="B260" s="257">
        <v>31</v>
      </c>
      <c r="C260" s="652"/>
      <c r="D260" s="80"/>
      <c r="E260" s="80"/>
      <c r="F260" s="256">
        <f t="shared" ca="1" si="10"/>
        <v>0</v>
      </c>
      <c r="G260" s="624"/>
      <c r="H260" s="85"/>
      <c r="I260" s="624"/>
      <c r="J260" s="85"/>
      <c r="K260" s="624"/>
      <c r="L260" s="85"/>
      <c r="M260" s="624"/>
      <c r="N260" s="85"/>
      <c r="O260" s="624"/>
      <c r="P260" s="85"/>
      <c r="Q260" s="626">
        <f t="shared" si="9"/>
        <v>0</v>
      </c>
      <c r="R260" s="85"/>
      <c r="S260" s="624"/>
      <c r="T260" s="260" t="str">
        <f t="shared" si="11"/>
        <v/>
      </c>
      <c r="U260" s="624"/>
      <c r="V260" s="85"/>
      <c r="W260" s="624"/>
      <c r="X260" s="81"/>
      <c r="Y260" s="80"/>
      <c r="Z260" s="737">
        <f ca="1">MAX(0%,IF(Q260&lt;&gt;0,MIN((S260-Q260)/Q260/'NSLT Health Risk'!$E$27,'Health Prem &amp; Reserve Risk'!$Z$228),'Health Prem &amp; Reserve Risk'!$Z$228))</f>
        <v>9.6000000000000002E-2</v>
      </c>
      <c r="AA260" s="80"/>
      <c r="AB260" s="80"/>
      <c r="AC260" s="737">
        <f ca="1">MAX(0%,IF(U260&lt;&gt;0,MIN((W260-U260)/U260/'NSLT Health Risk'!$E$27,'Health Prem &amp; Reserve Risk'!$AC$228),'Health Prem &amp; Reserve Risk'!$AC$228))</f>
        <v>0.11</v>
      </c>
      <c r="AD260" s="81"/>
      <c r="AE260" s="53"/>
      <c r="AF260" s="53"/>
    </row>
    <row r="261" spans="1:32" ht="12.75" customHeight="1" x14ac:dyDescent="0.25">
      <c r="A261" s="53"/>
      <c r="B261" s="257">
        <v>32</v>
      </c>
      <c r="C261" s="652"/>
      <c r="D261" s="80"/>
      <c r="E261" s="80"/>
      <c r="F261" s="256">
        <f t="shared" ca="1" si="10"/>
        <v>0</v>
      </c>
      <c r="G261" s="624"/>
      <c r="H261" s="85"/>
      <c r="I261" s="624"/>
      <c r="J261" s="85"/>
      <c r="K261" s="624"/>
      <c r="L261" s="85"/>
      <c r="M261" s="624"/>
      <c r="N261" s="85"/>
      <c r="O261" s="624"/>
      <c r="P261" s="85"/>
      <c r="Q261" s="626">
        <f t="shared" si="9"/>
        <v>0</v>
      </c>
      <c r="R261" s="85"/>
      <c r="S261" s="624"/>
      <c r="T261" s="260" t="str">
        <f t="shared" si="11"/>
        <v/>
      </c>
      <c r="U261" s="624"/>
      <c r="V261" s="85"/>
      <c r="W261" s="624"/>
      <c r="X261" s="81"/>
      <c r="Y261" s="80"/>
      <c r="Z261" s="737">
        <f ca="1">MAX(0%,IF(Q261&lt;&gt;0,MIN((S261-Q261)/Q261/'NSLT Health Risk'!$E$27,'Health Prem &amp; Reserve Risk'!$Z$228),'Health Prem &amp; Reserve Risk'!$Z$228))</f>
        <v>9.6000000000000002E-2</v>
      </c>
      <c r="AA261" s="80"/>
      <c r="AB261" s="80"/>
      <c r="AC261" s="737">
        <f ca="1">MAX(0%,IF(U261&lt;&gt;0,MIN((W261-U261)/U261/'NSLT Health Risk'!$E$27,'Health Prem &amp; Reserve Risk'!$AC$228),'Health Prem &amp; Reserve Risk'!$AC$228))</f>
        <v>0.11</v>
      </c>
      <c r="AD261" s="81"/>
      <c r="AE261" s="53"/>
      <c r="AF261" s="53"/>
    </row>
    <row r="262" spans="1:32" ht="12.75" customHeight="1" x14ac:dyDescent="0.25">
      <c r="A262" s="53"/>
      <c r="B262" s="257">
        <v>33</v>
      </c>
      <c r="C262" s="652"/>
      <c r="D262" s="80"/>
      <c r="E262" s="80"/>
      <c r="F262" s="256">
        <f t="shared" ca="1" si="10"/>
        <v>0</v>
      </c>
      <c r="G262" s="624"/>
      <c r="H262" s="85"/>
      <c r="I262" s="624"/>
      <c r="J262" s="85"/>
      <c r="K262" s="624"/>
      <c r="L262" s="85"/>
      <c r="M262" s="624"/>
      <c r="N262" s="85"/>
      <c r="O262" s="624"/>
      <c r="P262" s="85"/>
      <c r="Q262" s="626">
        <f t="shared" si="9"/>
        <v>0</v>
      </c>
      <c r="R262" s="85"/>
      <c r="S262" s="624"/>
      <c r="T262" s="260" t="str">
        <f t="shared" si="11"/>
        <v/>
      </c>
      <c r="U262" s="624"/>
      <c r="V262" s="85"/>
      <c r="W262" s="624"/>
      <c r="X262" s="81"/>
      <c r="Y262" s="80"/>
      <c r="Z262" s="737">
        <f ca="1">MAX(0%,IF(Q262&lt;&gt;0,MIN((S262-Q262)/Q262/'NSLT Health Risk'!$E$27,'Health Prem &amp; Reserve Risk'!$Z$228),'Health Prem &amp; Reserve Risk'!$Z$228))</f>
        <v>9.6000000000000002E-2</v>
      </c>
      <c r="AA262" s="80"/>
      <c r="AB262" s="80"/>
      <c r="AC262" s="737">
        <f ca="1">MAX(0%,IF(U262&lt;&gt;0,MIN((W262-U262)/U262/'NSLT Health Risk'!$E$27,'Health Prem &amp; Reserve Risk'!$AC$228),'Health Prem &amp; Reserve Risk'!$AC$228))</f>
        <v>0.11</v>
      </c>
      <c r="AD262" s="81"/>
      <c r="AE262" s="53"/>
      <c r="AF262" s="53"/>
    </row>
    <row r="263" spans="1:32" ht="12.75" customHeight="1" x14ac:dyDescent="0.25">
      <c r="A263" s="53"/>
      <c r="B263" s="257">
        <v>34</v>
      </c>
      <c r="C263" s="652"/>
      <c r="D263" s="80"/>
      <c r="E263" s="80"/>
      <c r="F263" s="256">
        <f t="shared" ca="1" si="10"/>
        <v>0</v>
      </c>
      <c r="G263" s="624"/>
      <c r="H263" s="85"/>
      <c r="I263" s="624"/>
      <c r="J263" s="85"/>
      <c r="K263" s="624"/>
      <c r="L263" s="85"/>
      <c r="M263" s="624"/>
      <c r="N263" s="85"/>
      <c r="O263" s="624"/>
      <c r="P263" s="85"/>
      <c r="Q263" s="626">
        <f t="shared" si="9"/>
        <v>0</v>
      </c>
      <c r="R263" s="85"/>
      <c r="S263" s="624"/>
      <c r="T263" s="260" t="str">
        <f t="shared" si="11"/>
        <v/>
      </c>
      <c r="U263" s="624"/>
      <c r="V263" s="85"/>
      <c r="W263" s="624"/>
      <c r="X263" s="81"/>
      <c r="Y263" s="80"/>
      <c r="Z263" s="737">
        <f ca="1">MAX(0%,IF(Q263&lt;&gt;0,MIN((S263-Q263)/Q263/'NSLT Health Risk'!$E$27,'Health Prem &amp; Reserve Risk'!$Z$228),'Health Prem &amp; Reserve Risk'!$Z$228))</f>
        <v>9.6000000000000002E-2</v>
      </c>
      <c r="AA263" s="80"/>
      <c r="AB263" s="80"/>
      <c r="AC263" s="737">
        <f ca="1">MAX(0%,IF(U263&lt;&gt;0,MIN((W263-U263)/U263/'NSLT Health Risk'!$E$27,'Health Prem &amp; Reserve Risk'!$AC$228),'Health Prem &amp; Reserve Risk'!$AC$228))</f>
        <v>0.11</v>
      </c>
      <c r="AD263" s="81"/>
      <c r="AE263" s="53"/>
      <c r="AF263" s="53"/>
    </row>
    <row r="264" spans="1:32" ht="12.75" customHeight="1" x14ac:dyDescent="0.25">
      <c r="A264" s="53"/>
      <c r="B264" s="257">
        <v>35</v>
      </c>
      <c r="C264" s="652"/>
      <c r="D264" s="80"/>
      <c r="E264" s="80"/>
      <c r="F264" s="256">
        <f t="shared" ca="1" si="10"/>
        <v>0</v>
      </c>
      <c r="G264" s="624"/>
      <c r="H264" s="85"/>
      <c r="I264" s="624"/>
      <c r="J264" s="85"/>
      <c r="K264" s="624"/>
      <c r="L264" s="85"/>
      <c r="M264" s="624"/>
      <c r="N264" s="85"/>
      <c r="O264" s="624"/>
      <c r="P264" s="85"/>
      <c r="Q264" s="626">
        <f t="shared" si="9"/>
        <v>0</v>
      </c>
      <c r="R264" s="85"/>
      <c r="S264" s="624"/>
      <c r="T264" s="260" t="str">
        <f t="shared" si="11"/>
        <v/>
      </c>
      <c r="U264" s="624"/>
      <c r="V264" s="85"/>
      <c r="W264" s="624"/>
      <c r="X264" s="81"/>
      <c r="Y264" s="80"/>
      <c r="Z264" s="737">
        <f ca="1">MAX(0%,IF(Q264&lt;&gt;0,MIN((S264-Q264)/Q264/'NSLT Health Risk'!$E$27,'Health Prem &amp; Reserve Risk'!$Z$228),'Health Prem &amp; Reserve Risk'!$Z$228))</f>
        <v>9.6000000000000002E-2</v>
      </c>
      <c r="AA264" s="80"/>
      <c r="AB264" s="80"/>
      <c r="AC264" s="737">
        <f ca="1">MAX(0%,IF(U264&lt;&gt;0,MIN((W264-U264)/U264/'NSLT Health Risk'!$E$27,'Health Prem &amp; Reserve Risk'!$AC$228),'Health Prem &amp; Reserve Risk'!$AC$228))</f>
        <v>0.11</v>
      </c>
      <c r="AD264" s="81"/>
      <c r="AE264" s="53"/>
      <c r="AF264" s="53"/>
    </row>
    <row r="265" spans="1:32" ht="12.75" customHeight="1" x14ac:dyDescent="0.25">
      <c r="A265" s="53"/>
      <c r="B265" s="257">
        <v>36</v>
      </c>
      <c r="C265" s="652"/>
      <c r="D265" s="80"/>
      <c r="E265" s="80"/>
      <c r="F265" s="256">
        <f t="shared" ca="1" si="10"/>
        <v>0</v>
      </c>
      <c r="G265" s="624"/>
      <c r="H265" s="85"/>
      <c r="I265" s="624"/>
      <c r="J265" s="85"/>
      <c r="K265" s="624"/>
      <c r="L265" s="85"/>
      <c r="M265" s="624"/>
      <c r="N265" s="85"/>
      <c r="O265" s="624"/>
      <c r="P265" s="85"/>
      <c r="Q265" s="626">
        <f t="shared" si="9"/>
        <v>0</v>
      </c>
      <c r="R265" s="85"/>
      <c r="S265" s="624"/>
      <c r="T265" s="260" t="str">
        <f t="shared" si="11"/>
        <v/>
      </c>
      <c r="U265" s="624"/>
      <c r="V265" s="85"/>
      <c r="W265" s="624"/>
      <c r="X265" s="81"/>
      <c r="Y265" s="80"/>
      <c r="Z265" s="737">
        <f ca="1">MAX(0%,IF(Q265&lt;&gt;0,MIN((S265-Q265)/Q265/'NSLT Health Risk'!$E$27,'Health Prem &amp; Reserve Risk'!$Z$228),'Health Prem &amp; Reserve Risk'!$Z$228))</f>
        <v>9.6000000000000002E-2</v>
      </c>
      <c r="AA265" s="80"/>
      <c r="AB265" s="80"/>
      <c r="AC265" s="737">
        <f ca="1">MAX(0%,IF(U265&lt;&gt;0,MIN((W265-U265)/U265/'NSLT Health Risk'!$E$27,'Health Prem &amp; Reserve Risk'!$AC$228),'Health Prem &amp; Reserve Risk'!$AC$228))</f>
        <v>0.11</v>
      </c>
      <c r="AD265" s="81"/>
      <c r="AE265" s="53"/>
      <c r="AF265" s="53"/>
    </row>
    <row r="266" spans="1:32" ht="12.75" customHeight="1" x14ac:dyDescent="0.25">
      <c r="A266" s="53"/>
      <c r="B266" s="257">
        <v>37</v>
      </c>
      <c r="C266" s="652"/>
      <c r="D266" s="80"/>
      <c r="E266" s="80"/>
      <c r="F266" s="256">
        <f t="shared" ca="1" si="10"/>
        <v>0</v>
      </c>
      <c r="G266" s="624"/>
      <c r="H266" s="85"/>
      <c r="I266" s="624"/>
      <c r="J266" s="85"/>
      <c r="K266" s="624"/>
      <c r="L266" s="85"/>
      <c r="M266" s="624"/>
      <c r="N266" s="85"/>
      <c r="O266" s="624"/>
      <c r="P266" s="85"/>
      <c r="Q266" s="626">
        <f t="shared" si="9"/>
        <v>0</v>
      </c>
      <c r="R266" s="85"/>
      <c r="S266" s="624"/>
      <c r="T266" s="260" t="str">
        <f t="shared" si="11"/>
        <v/>
      </c>
      <c r="U266" s="624"/>
      <c r="V266" s="85"/>
      <c r="W266" s="624"/>
      <c r="X266" s="81"/>
      <c r="Y266" s="80"/>
      <c r="Z266" s="737">
        <f ca="1">MAX(0%,IF(Q266&lt;&gt;0,MIN((S266-Q266)/Q266/'NSLT Health Risk'!$E$27,'Health Prem &amp; Reserve Risk'!$Z$228),'Health Prem &amp; Reserve Risk'!$Z$228))</f>
        <v>9.6000000000000002E-2</v>
      </c>
      <c r="AA266" s="80"/>
      <c r="AB266" s="80"/>
      <c r="AC266" s="737">
        <f ca="1">MAX(0%,IF(U266&lt;&gt;0,MIN((W266-U266)/U266/'NSLT Health Risk'!$E$27,'Health Prem &amp; Reserve Risk'!$AC$228),'Health Prem &amp; Reserve Risk'!$AC$228))</f>
        <v>0.11</v>
      </c>
      <c r="AD266" s="81"/>
      <c r="AE266" s="53"/>
      <c r="AF266" s="53"/>
    </row>
    <row r="267" spans="1:32" ht="12.75" customHeight="1" x14ac:dyDescent="0.25">
      <c r="A267" s="53"/>
      <c r="B267" s="257">
        <v>38</v>
      </c>
      <c r="C267" s="652"/>
      <c r="D267" s="80"/>
      <c r="E267" s="80"/>
      <c r="F267" s="256">
        <f t="shared" ca="1" si="10"/>
        <v>0</v>
      </c>
      <c r="G267" s="624"/>
      <c r="H267" s="85"/>
      <c r="I267" s="624"/>
      <c r="J267" s="85"/>
      <c r="K267" s="624"/>
      <c r="L267" s="85"/>
      <c r="M267" s="624"/>
      <c r="N267" s="85"/>
      <c r="O267" s="624"/>
      <c r="P267" s="85"/>
      <c r="Q267" s="626">
        <f t="shared" si="9"/>
        <v>0</v>
      </c>
      <c r="R267" s="85"/>
      <c r="S267" s="624"/>
      <c r="T267" s="260" t="str">
        <f t="shared" si="11"/>
        <v/>
      </c>
      <c r="U267" s="624"/>
      <c r="V267" s="85"/>
      <c r="W267" s="624"/>
      <c r="X267" s="81"/>
      <c r="Y267" s="80"/>
      <c r="Z267" s="737">
        <f ca="1">MAX(0%,IF(Q267&lt;&gt;0,MIN((S267-Q267)/Q267/'NSLT Health Risk'!$E$27,'Health Prem &amp; Reserve Risk'!$Z$228),'Health Prem &amp; Reserve Risk'!$Z$228))</f>
        <v>9.6000000000000002E-2</v>
      </c>
      <c r="AA267" s="80"/>
      <c r="AB267" s="80"/>
      <c r="AC267" s="737">
        <f ca="1">MAX(0%,IF(U267&lt;&gt;0,MIN((W267-U267)/U267/'NSLT Health Risk'!$E$27,'Health Prem &amp; Reserve Risk'!$AC$228),'Health Prem &amp; Reserve Risk'!$AC$228))</f>
        <v>0.11</v>
      </c>
      <c r="AD267" s="81"/>
      <c r="AE267" s="53"/>
      <c r="AF267" s="53"/>
    </row>
    <row r="268" spans="1:32" ht="12.75" customHeight="1" x14ac:dyDescent="0.25">
      <c r="A268" s="53"/>
      <c r="B268" s="257">
        <v>39</v>
      </c>
      <c r="C268" s="652"/>
      <c r="D268" s="80"/>
      <c r="E268" s="80"/>
      <c r="F268" s="256">
        <f t="shared" ca="1" si="10"/>
        <v>0</v>
      </c>
      <c r="G268" s="624"/>
      <c r="H268" s="85"/>
      <c r="I268" s="624"/>
      <c r="J268" s="85"/>
      <c r="K268" s="624"/>
      <c r="L268" s="85"/>
      <c r="M268" s="624"/>
      <c r="N268" s="85"/>
      <c r="O268" s="624"/>
      <c r="P268" s="85"/>
      <c r="Q268" s="626">
        <f t="shared" si="9"/>
        <v>0</v>
      </c>
      <c r="R268" s="85"/>
      <c r="S268" s="624"/>
      <c r="T268" s="260" t="str">
        <f t="shared" si="11"/>
        <v/>
      </c>
      <c r="U268" s="624"/>
      <c r="V268" s="85"/>
      <c r="W268" s="624"/>
      <c r="X268" s="81"/>
      <c r="Y268" s="80"/>
      <c r="Z268" s="737">
        <f ca="1">MAX(0%,IF(Q268&lt;&gt;0,MIN((S268-Q268)/Q268/'NSLT Health Risk'!$E$27,'Health Prem &amp; Reserve Risk'!$Z$228),'Health Prem &amp; Reserve Risk'!$Z$228))</f>
        <v>9.6000000000000002E-2</v>
      </c>
      <c r="AA268" s="80"/>
      <c r="AB268" s="80"/>
      <c r="AC268" s="737">
        <f ca="1">MAX(0%,IF(U268&lt;&gt;0,MIN((W268-U268)/U268/'NSLT Health Risk'!$E$27,'Health Prem &amp; Reserve Risk'!$AC$228),'Health Prem &amp; Reserve Risk'!$AC$228))</f>
        <v>0.11</v>
      </c>
      <c r="AD268" s="81"/>
      <c r="AE268" s="53"/>
      <c r="AF268" s="53"/>
    </row>
    <row r="269" spans="1:32" ht="12.75" customHeight="1" x14ac:dyDescent="0.25">
      <c r="A269" s="53"/>
      <c r="B269" s="257">
        <v>40</v>
      </c>
      <c r="C269" s="652"/>
      <c r="D269" s="80"/>
      <c r="E269" s="80"/>
      <c r="F269" s="256">
        <f t="shared" ca="1" si="10"/>
        <v>0</v>
      </c>
      <c r="G269" s="624"/>
      <c r="H269" s="85"/>
      <c r="I269" s="624"/>
      <c r="J269" s="85"/>
      <c r="K269" s="624"/>
      <c r="L269" s="85"/>
      <c r="M269" s="624"/>
      <c r="N269" s="85"/>
      <c r="O269" s="624"/>
      <c r="P269" s="85"/>
      <c r="Q269" s="626">
        <f t="shared" si="9"/>
        <v>0</v>
      </c>
      <c r="R269" s="85"/>
      <c r="S269" s="624"/>
      <c r="T269" s="260" t="str">
        <f t="shared" si="11"/>
        <v/>
      </c>
      <c r="U269" s="624"/>
      <c r="V269" s="85"/>
      <c r="W269" s="624"/>
      <c r="X269" s="81"/>
      <c r="Y269" s="80"/>
      <c r="Z269" s="737">
        <f ca="1">MAX(0%,IF(Q269&lt;&gt;0,MIN((S269-Q269)/Q269/'NSLT Health Risk'!$E$27,'Health Prem &amp; Reserve Risk'!$Z$228),'Health Prem &amp; Reserve Risk'!$Z$228))</f>
        <v>9.6000000000000002E-2</v>
      </c>
      <c r="AA269" s="80"/>
      <c r="AB269" s="80"/>
      <c r="AC269" s="737">
        <f ca="1">MAX(0%,IF(U269&lt;&gt;0,MIN((W269-U269)/U269/'NSLT Health Risk'!$E$27,'Health Prem &amp; Reserve Risk'!$AC$228),'Health Prem &amp; Reserve Risk'!$AC$228))</f>
        <v>0.11</v>
      </c>
      <c r="AD269" s="81"/>
      <c r="AE269" s="53"/>
      <c r="AF269" s="53"/>
    </row>
    <row r="270" spans="1:32" ht="12.75" customHeight="1" x14ac:dyDescent="0.25">
      <c r="A270" s="53"/>
      <c r="B270" s="257">
        <v>41</v>
      </c>
      <c r="C270" s="652"/>
      <c r="D270" s="80"/>
      <c r="E270" s="80"/>
      <c r="F270" s="256">
        <f t="shared" ca="1" si="10"/>
        <v>0</v>
      </c>
      <c r="G270" s="624"/>
      <c r="H270" s="85"/>
      <c r="I270" s="624"/>
      <c r="J270" s="85"/>
      <c r="K270" s="624"/>
      <c r="L270" s="85"/>
      <c r="M270" s="624"/>
      <c r="N270" s="85"/>
      <c r="O270" s="624"/>
      <c r="P270" s="85"/>
      <c r="Q270" s="626">
        <f t="shared" si="9"/>
        <v>0</v>
      </c>
      <c r="R270" s="85"/>
      <c r="S270" s="624"/>
      <c r="T270" s="260" t="str">
        <f t="shared" si="11"/>
        <v/>
      </c>
      <c r="U270" s="624"/>
      <c r="V270" s="85"/>
      <c r="W270" s="624"/>
      <c r="X270" s="81"/>
      <c r="Y270" s="80"/>
      <c r="Z270" s="737">
        <f ca="1">MAX(0%,IF(Q270&lt;&gt;0,MIN((S270-Q270)/Q270/'NSLT Health Risk'!$E$27,'Health Prem &amp; Reserve Risk'!$Z$228),'Health Prem &amp; Reserve Risk'!$Z$228))</f>
        <v>9.6000000000000002E-2</v>
      </c>
      <c r="AA270" s="80"/>
      <c r="AB270" s="80"/>
      <c r="AC270" s="737">
        <f ca="1">MAX(0%,IF(U270&lt;&gt;0,MIN((W270-U270)/U270/'NSLT Health Risk'!$E$27,'Health Prem &amp; Reserve Risk'!$AC$228),'Health Prem &amp; Reserve Risk'!$AC$228))</f>
        <v>0.11</v>
      </c>
      <c r="AD270" s="81"/>
      <c r="AE270" s="53"/>
      <c r="AF270" s="53"/>
    </row>
    <row r="271" spans="1:32" ht="12.75" customHeight="1" x14ac:dyDescent="0.25">
      <c r="A271" s="53"/>
      <c r="B271" s="257">
        <v>42</v>
      </c>
      <c r="C271" s="652"/>
      <c r="D271" s="80"/>
      <c r="E271" s="80"/>
      <c r="F271" s="256">
        <f t="shared" ca="1" si="10"/>
        <v>0</v>
      </c>
      <c r="G271" s="624"/>
      <c r="H271" s="85"/>
      <c r="I271" s="624"/>
      <c r="J271" s="85"/>
      <c r="K271" s="624"/>
      <c r="L271" s="85"/>
      <c r="M271" s="624"/>
      <c r="N271" s="85"/>
      <c r="O271" s="624"/>
      <c r="P271" s="85"/>
      <c r="Q271" s="626">
        <f t="shared" si="9"/>
        <v>0</v>
      </c>
      <c r="R271" s="85"/>
      <c r="S271" s="624"/>
      <c r="T271" s="260" t="str">
        <f t="shared" si="11"/>
        <v/>
      </c>
      <c r="U271" s="624"/>
      <c r="V271" s="85"/>
      <c r="W271" s="624"/>
      <c r="X271" s="81"/>
      <c r="Y271" s="80"/>
      <c r="Z271" s="737">
        <f ca="1">MAX(0%,IF(Q271&lt;&gt;0,MIN((S271-Q271)/Q271/'NSLT Health Risk'!$E$27,'Health Prem &amp; Reserve Risk'!$Z$228),'Health Prem &amp; Reserve Risk'!$Z$228))</f>
        <v>9.6000000000000002E-2</v>
      </c>
      <c r="AA271" s="80"/>
      <c r="AB271" s="80"/>
      <c r="AC271" s="737">
        <f ca="1">MAX(0%,IF(U271&lt;&gt;0,MIN((W271-U271)/U271/'NSLT Health Risk'!$E$27,'Health Prem &amp; Reserve Risk'!$AC$228),'Health Prem &amp; Reserve Risk'!$AC$228))</f>
        <v>0.11</v>
      </c>
      <c r="AD271" s="81"/>
      <c r="AE271" s="53"/>
      <c r="AF271" s="53"/>
    </row>
    <row r="272" spans="1:32" ht="12.75" customHeight="1" x14ac:dyDescent="0.25">
      <c r="A272" s="53"/>
      <c r="B272" s="257">
        <v>43</v>
      </c>
      <c r="C272" s="652"/>
      <c r="D272" s="80"/>
      <c r="E272" s="80"/>
      <c r="F272" s="256">
        <f t="shared" ca="1" si="10"/>
        <v>0</v>
      </c>
      <c r="G272" s="624"/>
      <c r="H272" s="85"/>
      <c r="I272" s="624"/>
      <c r="J272" s="85"/>
      <c r="K272" s="624"/>
      <c r="L272" s="85"/>
      <c r="M272" s="624"/>
      <c r="N272" s="85"/>
      <c r="O272" s="624"/>
      <c r="P272" s="85"/>
      <c r="Q272" s="626">
        <f t="shared" si="9"/>
        <v>0</v>
      </c>
      <c r="R272" s="85"/>
      <c r="S272" s="624"/>
      <c r="T272" s="260" t="str">
        <f t="shared" si="11"/>
        <v/>
      </c>
      <c r="U272" s="624"/>
      <c r="V272" s="85"/>
      <c r="W272" s="624"/>
      <c r="X272" s="81"/>
      <c r="Y272" s="80"/>
      <c r="Z272" s="737">
        <f ca="1">MAX(0%,IF(Q272&lt;&gt;0,MIN((S272-Q272)/Q272/'NSLT Health Risk'!$E$27,'Health Prem &amp; Reserve Risk'!$Z$228),'Health Prem &amp; Reserve Risk'!$Z$228))</f>
        <v>9.6000000000000002E-2</v>
      </c>
      <c r="AA272" s="80"/>
      <c r="AB272" s="80"/>
      <c r="AC272" s="737">
        <f ca="1">MAX(0%,IF(U272&lt;&gt;0,MIN((W272-U272)/U272/'NSLT Health Risk'!$E$27,'Health Prem &amp; Reserve Risk'!$AC$228),'Health Prem &amp; Reserve Risk'!$AC$228))</f>
        <v>0.11</v>
      </c>
      <c r="AD272" s="81"/>
      <c r="AE272" s="53"/>
      <c r="AF272" s="53"/>
    </row>
    <row r="273" spans="1:32" ht="12.75" customHeight="1" x14ac:dyDescent="0.25">
      <c r="A273" s="53"/>
      <c r="B273" s="257">
        <v>44</v>
      </c>
      <c r="C273" s="652"/>
      <c r="D273" s="80"/>
      <c r="E273" s="80"/>
      <c r="F273" s="256">
        <f t="shared" ca="1" si="10"/>
        <v>0</v>
      </c>
      <c r="G273" s="624"/>
      <c r="H273" s="85"/>
      <c r="I273" s="624"/>
      <c r="J273" s="85"/>
      <c r="K273" s="624"/>
      <c r="L273" s="85"/>
      <c r="M273" s="624"/>
      <c r="N273" s="85"/>
      <c r="O273" s="624"/>
      <c r="P273" s="85"/>
      <c r="Q273" s="626">
        <f t="shared" si="9"/>
        <v>0</v>
      </c>
      <c r="R273" s="85"/>
      <c r="S273" s="624"/>
      <c r="T273" s="260" t="str">
        <f t="shared" si="11"/>
        <v/>
      </c>
      <c r="U273" s="624"/>
      <c r="V273" s="85"/>
      <c r="W273" s="624"/>
      <c r="X273" s="81"/>
      <c r="Y273" s="80"/>
      <c r="Z273" s="737">
        <f ca="1">MAX(0%,IF(Q273&lt;&gt;0,MIN((S273-Q273)/Q273/'NSLT Health Risk'!$E$27,'Health Prem &amp; Reserve Risk'!$Z$228),'Health Prem &amp; Reserve Risk'!$Z$228))</f>
        <v>9.6000000000000002E-2</v>
      </c>
      <c r="AA273" s="80"/>
      <c r="AB273" s="80"/>
      <c r="AC273" s="737">
        <f ca="1">MAX(0%,IF(U273&lt;&gt;0,MIN((W273-U273)/U273/'NSLT Health Risk'!$E$27,'Health Prem &amp; Reserve Risk'!$AC$228),'Health Prem &amp; Reserve Risk'!$AC$228))</f>
        <v>0.11</v>
      </c>
      <c r="AD273" s="81"/>
      <c r="AE273" s="53"/>
      <c r="AF273" s="53"/>
    </row>
    <row r="274" spans="1:32" ht="12.75" customHeight="1" x14ac:dyDescent="0.25">
      <c r="A274" s="53"/>
      <c r="B274" s="257">
        <v>45</v>
      </c>
      <c r="C274" s="652"/>
      <c r="D274" s="80"/>
      <c r="E274" s="80"/>
      <c r="F274" s="256">
        <f t="shared" ca="1" si="10"/>
        <v>0</v>
      </c>
      <c r="G274" s="624"/>
      <c r="H274" s="85"/>
      <c r="I274" s="624"/>
      <c r="J274" s="85"/>
      <c r="K274" s="624"/>
      <c r="L274" s="85"/>
      <c r="M274" s="624"/>
      <c r="N274" s="85"/>
      <c r="O274" s="624"/>
      <c r="P274" s="85"/>
      <c r="Q274" s="626">
        <f t="shared" si="9"/>
        <v>0</v>
      </c>
      <c r="R274" s="85"/>
      <c r="S274" s="624"/>
      <c r="T274" s="260" t="str">
        <f t="shared" si="11"/>
        <v/>
      </c>
      <c r="U274" s="624"/>
      <c r="V274" s="85"/>
      <c r="W274" s="624"/>
      <c r="X274" s="81"/>
      <c r="Y274" s="80"/>
      <c r="Z274" s="737">
        <f ca="1">MAX(0%,IF(Q274&lt;&gt;0,MIN((S274-Q274)/Q274/'NSLT Health Risk'!$E$27,'Health Prem &amp; Reserve Risk'!$Z$228),'Health Prem &amp; Reserve Risk'!$Z$228))</f>
        <v>9.6000000000000002E-2</v>
      </c>
      <c r="AA274" s="80"/>
      <c r="AB274" s="80"/>
      <c r="AC274" s="737">
        <f ca="1">MAX(0%,IF(U274&lt;&gt;0,MIN((W274-U274)/U274/'NSLT Health Risk'!$E$27,'Health Prem &amp; Reserve Risk'!$AC$228),'Health Prem &amp; Reserve Risk'!$AC$228))</f>
        <v>0.11</v>
      </c>
      <c r="AD274" s="81"/>
      <c r="AE274" s="53"/>
      <c r="AF274" s="53"/>
    </row>
    <row r="275" spans="1:32" ht="12.75" customHeight="1" x14ac:dyDescent="0.25">
      <c r="A275" s="53"/>
      <c r="B275" s="257">
        <v>46</v>
      </c>
      <c r="C275" s="652"/>
      <c r="D275" s="80"/>
      <c r="E275" s="80"/>
      <c r="F275" s="256">
        <f t="shared" ca="1" si="10"/>
        <v>0</v>
      </c>
      <c r="G275" s="624"/>
      <c r="H275" s="85"/>
      <c r="I275" s="624"/>
      <c r="J275" s="85"/>
      <c r="K275" s="624"/>
      <c r="L275" s="85"/>
      <c r="M275" s="624"/>
      <c r="N275" s="85"/>
      <c r="O275" s="624"/>
      <c r="P275" s="85"/>
      <c r="Q275" s="626">
        <f t="shared" si="9"/>
        <v>0</v>
      </c>
      <c r="R275" s="85"/>
      <c r="S275" s="624"/>
      <c r="T275" s="260" t="str">
        <f t="shared" si="11"/>
        <v/>
      </c>
      <c r="U275" s="624"/>
      <c r="V275" s="85"/>
      <c r="W275" s="624"/>
      <c r="X275" s="81"/>
      <c r="Y275" s="80"/>
      <c r="Z275" s="737">
        <f ca="1">MAX(0%,IF(Q275&lt;&gt;0,MIN((S275-Q275)/Q275/'NSLT Health Risk'!$E$27,'Health Prem &amp; Reserve Risk'!$Z$228),'Health Prem &amp; Reserve Risk'!$Z$228))</f>
        <v>9.6000000000000002E-2</v>
      </c>
      <c r="AA275" s="80"/>
      <c r="AB275" s="80"/>
      <c r="AC275" s="737">
        <f ca="1">MAX(0%,IF(U275&lt;&gt;0,MIN((W275-U275)/U275/'NSLT Health Risk'!$E$27,'Health Prem &amp; Reserve Risk'!$AC$228),'Health Prem &amp; Reserve Risk'!$AC$228))</f>
        <v>0.11</v>
      </c>
      <c r="AD275" s="81"/>
      <c r="AE275" s="53"/>
      <c r="AF275" s="53"/>
    </row>
    <row r="276" spans="1:32" ht="12.75" customHeight="1" x14ac:dyDescent="0.25">
      <c r="A276" s="53"/>
      <c r="B276" s="257">
        <v>47</v>
      </c>
      <c r="C276" s="652"/>
      <c r="D276" s="80"/>
      <c r="E276" s="80"/>
      <c r="F276" s="256">
        <f t="shared" ca="1" si="10"/>
        <v>0</v>
      </c>
      <c r="G276" s="624"/>
      <c r="H276" s="85"/>
      <c r="I276" s="624"/>
      <c r="J276" s="85"/>
      <c r="K276" s="624"/>
      <c r="L276" s="85"/>
      <c r="M276" s="624"/>
      <c r="N276" s="85"/>
      <c r="O276" s="624"/>
      <c r="P276" s="85"/>
      <c r="Q276" s="626">
        <f t="shared" si="9"/>
        <v>0</v>
      </c>
      <c r="R276" s="85"/>
      <c r="S276" s="624"/>
      <c r="T276" s="260" t="str">
        <f t="shared" si="11"/>
        <v/>
      </c>
      <c r="U276" s="624"/>
      <c r="V276" s="85"/>
      <c r="W276" s="624"/>
      <c r="X276" s="81"/>
      <c r="Y276" s="80"/>
      <c r="Z276" s="737">
        <f ca="1">MAX(0%,IF(Q276&lt;&gt;0,MIN((S276-Q276)/Q276/'NSLT Health Risk'!$E$27,'Health Prem &amp; Reserve Risk'!$Z$228),'Health Prem &amp; Reserve Risk'!$Z$228))</f>
        <v>9.6000000000000002E-2</v>
      </c>
      <c r="AA276" s="80"/>
      <c r="AB276" s="80"/>
      <c r="AC276" s="737">
        <f ca="1">MAX(0%,IF(U276&lt;&gt;0,MIN((W276-U276)/U276/'NSLT Health Risk'!$E$27,'Health Prem &amp; Reserve Risk'!$AC$228),'Health Prem &amp; Reserve Risk'!$AC$228))</f>
        <v>0.11</v>
      </c>
      <c r="AD276" s="81"/>
      <c r="AE276" s="53"/>
      <c r="AF276" s="53"/>
    </row>
    <row r="277" spans="1:32" ht="12.75" customHeight="1" x14ac:dyDescent="0.25">
      <c r="A277" s="53"/>
      <c r="B277" s="257">
        <v>48</v>
      </c>
      <c r="C277" s="652"/>
      <c r="D277" s="80"/>
      <c r="E277" s="80"/>
      <c r="F277" s="256">
        <f t="shared" ca="1" si="10"/>
        <v>0</v>
      </c>
      <c r="G277" s="624"/>
      <c r="H277" s="85"/>
      <c r="I277" s="624"/>
      <c r="J277" s="85"/>
      <c r="K277" s="624"/>
      <c r="L277" s="85"/>
      <c r="M277" s="624"/>
      <c r="N277" s="85"/>
      <c r="O277" s="624"/>
      <c r="P277" s="85"/>
      <c r="Q277" s="626">
        <f t="shared" si="9"/>
        <v>0</v>
      </c>
      <c r="R277" s="85"/>
      <c r="S277" s="624"/>
      <c r="T277" s="260" t="str">
        <f t="shared" si="11"/>
        <v/>
      </c>
      <c r="U277" s="624"/>
      <c r="V277" s="85"/>
      <c r="W277" s="624"/>
      <c r="X277" s="81"/>
      <c r="Y277" s="80"/>
      <c r="Z277" s="737">
        <f ca="1">MAX(0%,IF(Q277&lt;&gt;0,MIN((S277-Q277)/Q277/'NSLT Health Risk'!$E$27,'Health Prem &amp; Reserve Risk'!$Z$228),'Health Prem &amp; Reserve Risk'!$Z$228))</f>
        <v>9.6000000000000002E-2</v>
      </c>
      <c r="AA277" s="80"/>
      <c r="AB277" s="80"/>
      <c r="AC277" s="737">
        <f ca="1">MAX(0%,IF(U277&lt;&gt;0,MIN((W277-U277)/U277/'NSLT Health Risk'!$E$27,'Health Prem &amp; Reserve Risk'!$AC$228),'Health Prem &amp; Reserve Risk'!$AC$228))</f>
        <v>0.11</v>
      </c>
      <c r="AD277" s="81"/>
      <c r="AE277" s="53"/>
      <c r="AF277" s="53"/>
    </row>
    <row r="278" spans="1:32" ht="12.75" customHeight="1" x14ac:dyDescent="0.25">
      <c r="A278" s="53"/>
      <c r="B278" s="257">
        <v>49</v>
      </c>
      <c r="C278" s="652"/>
      <c r="D278" s="80"/>
      <c r="E278" s="80"/>
      <c r="F278" s="256">
        <f t="shared" ca="1" si="10"/>
        <v>0</v>
      </c>
      <c r="G278" s="624"/>
      <c r="H278" s="85"/>
      <c r="I278" s="624"/>
      <c r="J278" s="85"/>
      <c r="K278" s="624"/>
      <c r="L278" s="85"/>
      <c r="M278" s="624"/>
      <c r="N278" s="85"/>
      <c r="O278" s="624"/>
      <c r="P278" s="85"/>
      <c r="Q278" s="626">
        <f t="shared" si="9"/>
        <v>0</v>
      </c>
      <c r="R278" s="85"/>
      <c r="S278" s="624"/>
      <c r="T278" s="260" t="str">
        <f t="shared" si="11"/>
        <v/>
      </c>
      <c r="U278" s="624"/>
      <c r="V278" s="85"/>
      <c r="W278" s="624"/>
      <c r="X278" s="81"/>
      <c r="Y278" s="80"/>
      <c r="Z278" s="737">
        <f ca="1">MAX(0%,IF(Q278&lt;&gt;0,MIN((S278-Q278)/Q278/'NSLT Health Risk'!$E$27,'Health Prem &amp; Reserve Risk'!$Z$228),'Health Prem &amp; Reserve Risk'!$Z$228))</f>
        <v>9.6000000000000002E-2</v>
      </c>
      <c r="AA278" s="80"/>
      <c r="AB278" s="80"/>
      <c r="AC278" s="737">
        <f ca="1">MAX(0%,IF(U278&lt;&gt;0,MIN((W278-U278)/U278/'NSLT Health Risk'!$E$27,'Health Prem &amp; Reserve Risk'!$AC$228),'Health Prem &amp; Reserve Risk'!$AC$228))</f>
        <v>0.11</v>
      </c>
      <c r="AD278" s="81"/>
      <c r="AE278" s="53"/>
      <c r="AF278" s="53"/>
    </row>
    <row r="279" spans="1:32" ht="12.75" customHeight="1" x14ac:dyDescent="0.25">
      <c r="A279" s="53"/>
      <c r="B279" s="257">
        <v>50</v>
      </c>
      <c r="C279" s="652"/>
      <c r="D279" s="80"/>
      <c r="E279" s="80"/>
      <c r="F279" s="256">
        <f t="shared" ca="1" si="10"/>
        <v>0</v>
      </c>
      <c r="G279" s="624"/>
      <c r="H279" s="85"/>
      <c r="I279" s="624"/>
      <c r="J279" s="85"/>
      <c r="K279" s="624"/>
      <c r="L279" s="85"/>
      <c r="M279" s="624"/>
      <c r="N279" s="85"/>
      <c r="O279" s="624"/>
      <c r="P279" s="85"/>
      <c r="Q279" s="626">
        <f t="shared" si="9"/>
        <v>0</v>
      </c>
      <c r="R279" s="85"/>
      <c r="S279" s="624"/>
      <c r="T279" s="260" t="str">
        <f t="shared" si="11"/>
        <v/>
      </c>
      <c r="U279" s="624"/>
      <c r="V279" s="85"/>
      <c r="W279" s="624"/>
      <c r="X279" s="81"/>
      <c r="Y279" s="80"/>
      <c r="Z279" s="737">
        <f ca="1">MAX(0%,IF(Q279&lt;&gt;0,MIN((S279-Q279)/Q279/'NSLT Health Risk'!$E$27,'Health Prem &amp; Reserve Risk'!$Z$228),'Health Prem &amp; Reserve Risk'!$Z$228))</f>
        <v>9.6000000000000002E-2</v>
      </c>
      <c r="AA279" s="80"/>
      <c r="AB279" s="80"/>
      <c r="AC279" s="737">
        <f ca="1">MAX(0%,IF(U279&lt;&gt;0,MIN((W279-U279)/U279/'NSLT Health Risk'!$E$27,'Health Prem &amp; Reserve Risk'!$AC$228),'Health Prem &amp; Reserve Risk'!$AC$228))</f>
        <v>0.11</v>
      </c>
      <c r="AD279" s="81"/>
      <c r="AE279" s="53"/>
      <c r="AF279" s="53"/>
    </row>
    <row r="280" spans="1:32" ht="12.75" customHeight="1" x14ac:dyDescent="0.25">
      <c r="A280" s="53"/>
      <c r="B280" s="257">
        <v>51</v>
      </c>
      <c r="C280" s="652"/>
      <c r="D280" s="80"/>
      <c r="E280" s="80"/>
      <c r="F280" s="256">
        <f t="shared" ca="1" si="10"/>
        <v>0</v>
      </c>
      <c r="G280" s="624"/>
      <c r="H280" s="85"/>
      <c r="I280" s="624"/>
      <c r="J280" s="85"/>
      <c r="K280" s="624"/>
      <c r="L280" s="85"/>
      <c r="M280" s="624"/>
      <c r="N280" s="85"/>
      <c r="O280" s="624"/>
      <c r="P280" s="85"/>
      <c r="Q280" s="626">
        <f t="shared" si="9"/>
        <v>0</v>
      </c>
      <c r="R280" s="85"/>
      <c r="S280" s="624"/>
      <c r="T280" s="260" t="str">
        <f t="shared" si="11"/>
        <v/>
      </c>
      <c r="U280" s="624"/>
      <c r="V280" s="85"/>
      <c r="W280" s="624"/>
      <c r="X280" s="81"/>
      <c r="Y280" s="80"/>
      <c r="Z280" s="737">
        <f ca="1">MAX(0%,IF(Q280&lt;&gt;0,MIN((S280-Q280)/Q280/'NSLT Health Risk'!$E$27,'Health Prem &amp; Reserve Risk'!$Z$228),'Health Prem &amp; Reserve Risk'!$Z$228))</f>
        <v>9.6000000000000002E-2</v>
      </c>
      <c r="AA280" s="80"/>
      <c r="AB280" s="80"/>
      <c r="AC280" s="737">
        <f ca="1">MAX(0%,IF(U280&lt;&gt;0,MIN((W280-U280)/U280/'NSLT Health Risk'!$E$27,'Health Prem &amp; Reserve Risk'!$AC$228),'Health Prem &amp; Reserve Risk'!$AC$228))</f>
        <v>0.11</v>
      </c>
      <c r="AD280" s="81"/>
      <c r="AE280" s="53"/>
      <c r="AF280" s="53"/>
    </row>
    <row r="281" spans="1:32" ht="12.75" customHeight="1" x14ac:dyDescent="0.25">
      <c r="A281" s="53"/>
      <c r="B281" s="257">
        <v>52</v>
      </c>
      <c r="C281" s="652"/>
      <c r="D281" s="80"/>
      <c r="E281" s="80"/>
      <c r="F281" s="256">
        <f t="shared" ca="1" si="10"/>
        <v>0</v>
      </c>
      <c r="G281" s="624"/>
      <c r="H281" s="85"/>
      <c r="I281" s="624"/>
      <c r="J281" s="85"/>
      <c r="K281" s="624"/>
      <c r="L281" s="85"/>
      <c r="M281" s="624"/>
      <c r="N281" s="85"/>
      <c r="O281" s="624"/>
      <c r="P281" s="85"/>
      <c r="Q281" s="626">
        <f t="shared" si="9"/>
        <v>0</v>
      </c>
      <c r="R281" s="85"/>
      <c r="S281" s="624"/>
      <c r="T281" s="260" t="str">
        <f t="shared" si="11"/>
        <v/>
      </c>
      <c r="U281" s="624"/>
      <c r="V281" s="85"/>
      <c r="W281" s="624"/>
      <c r="X281" s="81"/>
      <c r="Y281" s="80"/>
      <c r="Z281" s="737">
        <f ca="1">MAX(0%,IF(Q281&lt;&gt;0,MIN((S281-Q281)/Q281/'NSLT Health Risk'!$E$27,'Health Prem &amp; Reserve Risk'!$Z$228),'Health Prem &amp; Reserve Risk'!$Z$228))</f>
        <v>9.6000000000000002E-2</v>
      </c>
      <c r="AA281" s="80"/>
      <c r="AB281" s="80"/>
      <c r="AC281" s="737">
        <f ca="1">MAX(0%,IF(U281&lt;&gt;0,MIN((W281-U281)/U281/'NSLT Health Risk'!$E$27,'Health Prem &amp; Reserve Risk'!$AC$228),'Health Prem &amp; Reserve Risk'!$AC$228))</f>
        <v>0.11</v>
      </c>
      <c r="AD281" s="81"/>
      <c r="AE281" s="53"/>
      <c r="AF281" s="53"/>
    </row>
    <row r="282" spans="1:32" ht="12.75" customHeight="1" x14ac:dyDescent="0.25">
      <c r="A282" s="53"/>
      <c r="B282" s="257">
        <v>53</v>
      </c>
      <c r="C282" s="652"/>
      <c r="D282" s="80"/>
      <c r="E282" s="80"/>
      <c r="F282" s="256">
        <f t="shared" ca="1" si="10"/>
        <v>0</v>
      </c>
      <c r="G282" s="624"/>
      <c r="H282" s="85"/>
      <c r="I282" s="624"/>
      <c r="J282" s="85"/>
      <c r="K282" s="624"/>
      <c r="L282" s="85"/>
      <c r="M282" s="624"/>
      <c r="N282" s="85"/>
      <c r="O282" s="624"/>
      <c r="P282" s="85"/>
      <c r="Q282" s="626">
        <f t="shared" si="9"/>
        <v>0</v>
      </c>
      <c r="R282" s="85"/>
      <c r="S282" s="624"/>
      <c r="T282" s="260" t="str">
        <f t="shared" si="11"/>
        <v/>
      </c>
      <c r="U282" s="624"/>
      <c r="V282" s="85"/>
      <c r="W282" s="624"/>
      <c r="X282" s="81"/>
      <c r="Y282" s="80"/>
      <c r="Z282" s="737">
        <f ca="1">MAX(0%,IF(Q282&lt;&gt;0,MIN((S282-Q282)/Q282/'NSLT Health Risk'!$E$27,'Health Prem &amp; Reserve Risk'!$Z$228),'Health Prem &amp; Reserve Risk'!$Z$228))</f>
        <v>9.6000000000000002E-2</v>
      </c>
      <c r="AA282" s="80"/>
      <c r="AB282" s="80"/>
      <c r="AC282" s="737">
        <f ca="1">MAX(0%,IF(U282&lt;&gt;0,MIN((W282-U282)/U282/'NSLT Health Risk'!$E$27,'Health Prem &amp; Reserve Risk'!$AC$228),'Health Prem &amp; Reserve Risk'!$AC$228))</f>
        <v>0.11</v>
      </c>
      <c r="AD282" s="81"/>
      <c r="AE282" s="53"/>
      <c r="AF282" s="53"/>
    </row>
    <row r="283" spans="1:32" ht="12.75" customHeight="1" x14ac:dyDescent="0.25">
      <c r="A283" s="53"/>
      <c r="B283" s="257">
        <v>54</v>
      </c>
      <c r="C283" s="652"/>
      <c r="D283" s="80"/>
      <c r="E283" s="80"/>
      <c r="F283" s="256">
        <f t="shared" ca="1" si="10"/>
        <v>0</v>
      </c>
      <c r="G283" s="624"/>
      <c r="H283" s="85"/>
      <c r="I283" s="624"/>
      <c r="J283" s="85"/>
      <c r="K283" s="624"/>
      <c r="L283" s="85"/>
      <c r="M283" s="624"/>
      <c r="N283" s="85"/>
      <c r="O283" s="624"/>
      <c r="P283" s="85"/>
      <c r="Q283" s="626">
        <f t="shared" si="9"/>
        <v>0</v>
      </c>
      <c r="R283" s="85"/>
      <c r="S283" s="624"/>
      <c r="T283" s="260" t="str">
        <f t="shared" si="11"/>
        <v/>
      </c>
      <c r="U283" s="624"/>
      <c r="V283" s="85"/>
      <c r="W283" s="624"/>
      <c r="X283" s="81"/>
      <c r="Y283" s="80"/>
      <c r="Z283" s="737">
        <f ca="1">MAX(0%,IF(Q283&lt;&gt;0,MIN((S283-Q283)/Q283/'NSLT Health Risk'!$E$27,'Health Prem &amp; Reserve Risk'!$Z$228),'Health Prem &amp; Reserve Risk'!$Z$228))</f>
        <v>9.6000000000000002E-2</v>
      </c>
      <c r="AA283" s="80"/>
      <c r="AB283" s="80"/>
      <c r="AC283" s="737">
        <f ca="1">MAX(0%,IF(U283&lt;&gt;0,MIN((W283-U283)/U283/'NSLT Health Risk'!$E$27,'Health Prem &amp; Reserve Risk'!$AC$228),'Health Prem &amp; Reserve Risk'!$AC$228))</f>
        <v>0.11</v>
      </c>
      <c r="AD283" s="81"/>
      <c r="AE283" s="53"/>
      <c r="AF283" s="53"/>
    </row>
    <row r="284" spans="1:32" ht="12.75" customHeight="1" x14ac:dyDescent="0.25">
      <c r="A284" s="53"/>
      <c r="B284" s="257">
        <v>55</v>
      </c>
      <c r="C284" s="652"/>
      <c r="D284" s="80"/>
      <c r="E284" s="80"/>
      <c r="F284" s="256">
        <f t="shared" ca="1" si="10"/>
        <v>0</v>
      </c>
      <c r="G284" s="624"/>
      <c r="H284" s="85"/>
      <c r="I284" s="624"/>
      <c r="J284" s="85"/>
      <c r="K284" s="624"/>
      <c r="L284" s="85"/>
      <c r="M284" s="624"/>
      <c r="N284" s="85"/>
      <c r="O284" s="624"/>
      <c r="P284" s="85"/>
      <c r="Q284" s="626">
        <f t="shared" si="9"/>
        <v>0</v>
      </c>
      <c r="R284" s="85"/>
      <c r="S284" s="624"/>
      <c r="T284" s="260" t="str">
        <f t="shared" si="11"/>
        <v/>
      </c>
      <c r="U284" s="624"/>
      <c r="V284" s="85"/>
      <c r="W284" s="624"/>
      <c r="X284" s="81"/>
      <c r="Y284" s="80"/>
      <c r="Z284" s="737">
        <f ca="1">MAX(0%,IF(Q284&lt;&gt;0,MIN((S284-Q284)/Q284/'NSLT Health Risk'!$E$27,'Health Prem &amp; Reserve Risk'!$Z$228),'Health Prem &amp; Reserve Risk'!$Z$228))</f>
        <v>9.6000000000000002E-2</v>
      </c>
      <c r="AA284" s="80"/>
      <c r="AB284" s="80"/>
      <c r="AC284" s="737">
        <f ca="1">MAX(0%,IF(U284&lt;&gt;0,MIN((W284-U284)/U284/'NSLT Health Risk'!$E$27,'Health Prem &amp; Reserve Risk'!$AC$228),'Health Prem &amp; Reserve Risk'!$AC$228))</f>
        <v>0.11</v>
      </c>
      <c r="AD284" s="81"/>
      <c r="AE284" s="53"/>
      <c r="AF284" s="53"/>
    </row>
    <row r="285" spans="1:32" ht="12.75" customHeight="1" x14ac:dyDescent="0.25">
      <c r="A285" s="53"/>
      <c r="B285" s="257">
        <v>56</v>
      </c>
      <c r="C285" s="652"/>
      <c r="D285" s="80"/>
      <c r="E285" s="80"/>
      <c r="F285" s="256">
        <f t="shared" ca="1" si="10"/>
        <v>0</v>
      </c>
      <c r="G285" s="624"/>
      <c r="H285" s="85"/>
      <c r="I285" s="624"/>
      <c r="J285" s="85"/>
      <c r="K285" s="624"/>
      <c r="L285" s="85"/>
      <c r="M285" s="624"/>
      <c r="N285" s="85"/>
      <c r="O285" s="624"/>
      <c r="P285" s="85"/>
      <c r="Q285" s="626">
        <f t="shared" si="9"/>
        <v>0</v>
      </c>
      <c r="R285" s="85"/>
      <c r="S285" s="624"/>
      <c r="T285" s="260" t="str">
        <f t="shared" si="11"/>
        <v/>
      </c>
      <c r="U285" s="624"/>
      <c r="V285" s="85"/>
      <c r="W285" s="624"/>
      <c r="X285" s="81"/>
      <c r="Y285" s="80"/>
      <c r="Z285" s="737">
        <f ca="1">MAX(0%,IF(Q285&lt;&gt;0,MIN((S285-Q285)/Q285/'NSLT Health Risk'!$E$27,'Health Prem &amp; Reserve Risk'!$Z$228),'Health Prem &amp; Reserve Risk'!$Z$228))</f>
        <v>9.6000000000000002E-2</v>
      </c>
      <c r="AA285" s="80"/>
      <c r="AB285" s="80"/>
      <c r="AC285" s="737">
        <f ca="1">MAX(0%,IF(U285&lt;&gt;0,MIN((W285-U285)/U285/'NSLT Health Risk'!$E$27,'Health Prem &amp; Reserve Risk'!$AC$228),'Health Prem &amp; Reserve Risk'!$AC$228))</f>
        <v>0.11</v>
      </c>
      <c r="AD285" s="81"/>
      <c r="AE285" s="53"/>
      <c r="AF285" s="53"/>
    </row>
    <row r="286" spans="1:32" ht="12.75" customHeight="1" x14ac:dyDescent="0.25">
      <c r="A286" s="53"/>
      <c r="B286" s="257">
        <v>57</v>
      </c>
      <c r="C286" s="652"/>
      <c r="D286" s="80"/>
      <c r="E286" s="80"/>
      <c r="F286" s="256">
        <f t="shared" ca="1" si="10"/>
        <v>0</v>
      </c>
      <c r="G286" s="624"/>
      <c r="H286" s="85"/>
      <c r="I286" s="624"/>
      <c r="J286" s="85"/>
      <c r="K286" s="624"/>
      <c r="L286" s="85"/>
      <c r="M286" s="624"/>
      <c r="N286" s="85"/>
      <c r="O286" s="624"/>
      <c r="P286" s="85"/>
      <c r="Q286" s="626">
        <f t="shared" si="9"/>
        <v>0</v>
      </c>
      <c r="R286" s="85"/>
      <c r="S286" s="624"/>
      <c r="T286" s="260" t="str">
        <f t="shared" si="11"/>
        <v/>
      </c>
      <c r="U286" s="624"/>
      <c r="V286" s="85"/>
      <c r="W286" s="624"/>
      <c r="X286" s="81"/>
      <c r="Y286" s="80"/>
      <c r="Z286" s="737">
        <f ca="1">MAX(0%,IF(Q286&lt;&gt;0,MIN((S286-Q286)/Q286/'NSLT Health Risk'!$E$27,'Health Prem &amp; Reserve Risk'!$Z$228),'Health Prem &amp; Reserve Risk'!$Z$228))</f>
        <v>9.6000000000000002E-2</v>
      </c>
      <c r="AA286" s="80"/>
      <c r="AB286" s="80"/>
      <c r="AC286" s="737">
        <f ca="1">MAX(0%,IF(U286&lt;&gt;0,MIN((W286-U286)/U286/'NSLT Health Risk'!$E$27,'Health Prem &amp; Reserve Risk'!$AC$228),'Health Prem &amp; Reserve Risk'!$AC$228))</f>
        <v>0.11</v>
      </c>
      <c r="AD286" s="81"/>
      <c r="AE286" s="53"/>
      <c r="AF286" s="53"/>
    </row>
    <row r="287" spans="1:32" ht="12.75" customHeight="1" x14ac:dyDescent="0.25">
      <c r="A287" s="53"/>
      <c r="B287" s="257">
        <v>58</v>
      </c>
      <c r="C287" s="652"/>
      <c r="D287" s="80"/>
      <c r="E287" s="80"/>
      <c r="F287" s="256">
        <f t="shared" ca="1" si="10"/>
        <v>0</v>
      </c>
      <c r="G287" s="624"/>
      <c r="H287" s="85"/>
      <c r="I287" s="624"/>
      <c r="J287" s="85"/>
      <c r="K287" s="624"/>
      <c r="L287" s="85"/>
      <c r="M287" s="624"/>
      <c r="N287" s="85"/>
      <c r="O287" s="624"/>
      <c r="P287" s="85"/>
      <c r="Q287" s="626">
        <f t="shared" si="9"/>
        <v>0</v>
      </c>
      <c r="R287" s="85"/>
      <c r="S287" s="624"/>
      <c r="T287" s="260" t="str">
        <f t="shared" si="11"/>
        <v/>
      </c>
      <c r="U287" s="624"/>
      <c r="V287" s="85"/>
      <c r="W287" s="624"/>
      <c r="X287" s="81"/>
      <c r="Y287" s="80"/>
      <c r="Z287" s="737">
        <f ca="1">MAX(0%,IF(Q287&lt;&gt;0,MIN((S287-Q287)/Q287/'NSLT Health Risk'!$E$27,'Health Prem &amp; Reserve Risk'!$Z$228),'Health Prem &amp; Reserve Risk'!$Z$228))</f>
        <v>9.6000000000000002E-2</v>
      </c>
      <c r="AA287" s="80"/>
      <c r="AB287" s="80"/>
      <c r="AC287" s="737">
        <f ca="1">MAX(0%,IF(U287&lt;&gt;0,MIN((W287-U287)/U287/'NSLT Health Risk'!$E$27,'Health Prem &amp; Reserve Risk'!$AC$228),'Health Prem &amp; Reserve Risk'!$AC$228))</f>
        <v>0.11</v>
      </c>
      <c r="AD287" s="81"/>
      <c r="AE287" s="53"/>
      <c r="AF287" s="53"/>
    </row>
    <row r="288" spans="1:32" ht="12.75" customHeight="1" x14ac:dyDescent="0.25">
      <c r="A288" s="53"/>
      <c r="B288" s="257">
        <v>59</v>
      </c>
      <c r="C288" s="652"/>
      <c r="D288" s="80"/>
      <c r="E288" s="80"/>
      <c r="F288" s="256">
        <f t="shared" ca="1" si="10"/>
        <v>0</v>
      </c>
      <c r="G288" s="624"/>
      <c r="H288" s="85"/>
      <c r="I288" s="624"/>
      <c r="J288" s="85"/>
      <c r="K288" s="624"/>
      <c r="L288" s="85"/>
      <c r="M288" s="624"/>
      <c r="N288" s="85"/>
      <c r="O288" s="624"/>
      <c r="P288" s="85"/>
      <c r="Q288" s="626">
        <f t="shared" si="9"/>
        <v>0</v>
      </c>
      <c r="R288" s="85"/>
      <c r="S288" s="624"/>
      <c r="T288" s="260" t="str">
        <f t="shared" si="11"/>
        <v/>
      </c>
      <c r="U288" s="624"/>
      <c r="V288" s="85"/>
      <c r="W288" s="624"/>
      <c r="X288" s="81"/>
      <c r="Y288" s="80"/>
      <c r="Z288" s="737">
        <f ca="1">MAX(0%,IF(Q288&lt;&gt;0,MIN((S288-Q288)/Q288/'NSLT Health Risk'!$E$27,'Health Prem &amp; Reserve Risk'!$Z$228),'Health Prem &amp; Reserve Risk'!$Z$228))</f>
        <v>9.6000000000000002E-2</v>
      </c>
      <c r="AA288" s="80"/>
      <c r="AB288" s="80"/>
      <c r="AC288" s="737">
        <f ca="1">MAX(0%,IF(U288&lt;&gt;0,MIN((W288-U288)/U288/'NSLT Health Risk'!$E$27,'Health Prem &amp; Reserve Risk'!$AC$228),'Health Prem &amp; Reserve Risk'!$AC$228))</f>
        <v>0.11</v>
      </c>
      <c r="AD288" s="81"/>
      <c r="AE288" s="53"/>
      <c r="AF288" s="53"/>
    </row>
    <row r="289" spans="1:32" ht="12.75" customHeight="1" x14ac:dyDescent="0.25">
      <c r="A289" s="53"/>
      <c r="B289" s="257">
        <v>60</v>
      </c>
      <c r="C289" s="652"/>
      <c r="D289" s="80"/>
      <c r="E289" s="80"/>
      <c r="F289" s="256">
        <f t="shared" ca="1" si="10"/>
        <v>0</v>
      </c>
      <c r="G289" s="624"/>
      <c r="H289" s="85"/>
      <c r="I289" s="624"/>
      <c r="J289" s="85"/>
      <c r="K289" s="624"/>
      <c r="L289" s="85"/>
      <c r="M289" s="624"/>
      <c r="N289" s="85"/>
      <c r="O289" s="624"/>
      <c r="P289" s="85"/>
      <c r="Q289" s="626">
        <f t="shared" si="9"/>
        <v>0</v>
      </c>
      <c r="R289" s="85"/>
      <c r="S289" s="624"/>
      <c r="T289" s="260" t="str">
        <f t="shared" si="11"/>
        <v/>
      </c>
      <c r="U289" s="624"/>
      <c r="V289" s="85"/>
      <c r="W289" s="624"/>
      <c r="X289" s="81"/>
      <c r="Y289" s="80"/>
      <c r="Z289" s="737">
        <f ca="1">MAX(0%,IF(Q289&lt;&gt;0,MIN((S289-Q289)/Q289/'NSLT Health Risk'!$E$27,'Health Prem &amp; Reserve Risk'!$Z$228),'Health Prem &amp; Reserve Risk'!$Z$228))</f>
        <v>9.6000000000000002E-2</v>
      </c>
      <c r="AA289" s="80"/>
      <c r="AB289" s="80"/>
      <c r="AC289" s="737">
        <f ca="1">MAX(0%,IF(U289&lt;&gt;0,MIN((W289-U289)/U289/'NSLT Health Risk'!$E$27,'Health Prem &amp; Reserve Risk'!$AC$228),'Health Prem &amp; Reserve Risk'!$AC$228))</f>
        <v>0.11</v>
      </c>
      <c r="AD289" s="81"/>
      <c r="AE289" s="53"/>
      <c r="AF289" s="53"/>
    </row>
    <row r="290" spans="1:32" ht="12.75" customHeight="1" x14ac:dyDescent="0.25">
      <c r="A290" s="53"/>
      <c r="B290" s="257">
        <v>61</v>
      </c>
      <c r="C290" s="652"/>
      <c r="D290" s="80"/>
      <c r="E290" s="80"/>
      <c r="F290" s="256">
        <f t="shared" ca="1" si="10"/>
        <v>0</v>
      </c>
      <c r="G290" s="624"/>
      <c r="H290" s="85"/>
      <c r="I290" s="624"/>
      <c r="J290" s="85"/>
      <c r="K290" s="624"/>
      <c r="L290" s="85"/>
      <c r="M290" s="624"/>
      <c r="N290" s="85"/>
      <c r="O290" s="624"/>
      <c r="P290" s="85"/>
      <c r="Q290" s="626">
        <f t="shared" si="9"/>
        <v>0</v>
      </c>
      <c r="R290" s="85"/>
      <c r="S290" s="624"/>
      <c r="T290" s="260" t="str">
        <f t="shared" si="11"/>
        <v/>
      </c>
      <c r="U290" s="624"/>
      <c r="V290" s="85"/>
      <c r="W290" s="624"/>
      <c r="X290" s="81"/>
      <c r="Y290" s="80"/>
      <c r="Z290" s="737">
        <f ca="1">MAX(0%,IF(Q290&lt;&gt;0,MIN((S290-Q290)/Q290/'NSLT Health Risk'!$E$27,'Health Prem &amp; Reserve Risk'!$Z$228),'Health Prem &amp; Reserve Risk'!$Z$228))</f>
        <v>9.6000000000000002E-2</v>
      </c>
      <c r="AA290" s="80"/>
      <c r="AB290" s="80"/>
      <c r="AC290" s="737">
        <f ca="1">MAX(0%,IF(U290&lt;&gt;0,MIN((W290-U290)/U290/'NSLT Health Risk'!$E$27,'Health Prem &amp; Reserve Risk'!$AC$228),'Health Prem &amp; Reserve Risk'!$AC$228))</f>
        <v>0.11</v>
      </c>
      <c r="AD290" s="81"/>
      <c r="AE290" s="53"/>
      <c r="AF290" s="53"/>
    </row>
    <row r="291" spans="1:32" ht="12.75" customHeight="1" x14ac:dyDescent="0.25">
      <c r="A291" s="53"/>
      <c r="B291" s="257">
        <v>62</v>
      </c>
      <c r="C291" s="652"/>
      <c r="D291" s="80"/>
      <c r="E291" s="80"/>
      <c r="F291" s="256">
        <f t="shared" ca="1" si="10"/>
        <v>0</v>
      </c>
      <c r="G291" s="624"/>
      <c r="H291" s="85"/>
      <c r="I291" s="624"/>
      <c r="J291" s="85"/>
      <c r="K291" s="624"/>
      <c r="L291" s="85"/>
      <c r="M291" s="624"/>
      <c r="N291" s="85"/>
      <c r="O291" s="624"/>
      <c r="P291" s="85"/>
      <c r="Q291" s="626">
        <f t="shared" si="9"/>
        <v>0</v>
      </c>
      <c r="R291" s="85"/>
      <c r="S291" s="624"/>
      <c r="T291" s="260" t="str">
        <f t="shared" si="11"/>
        <v/>
      </c>
      <c r="U291" s="624"/>
      <c r="V291" s="85"/>
      <c r="W291" s="624"/>
      <c r="X291" s="81"/>
      <c r="Y291" s="80"/>
      <c r="Z291" s="737">
        <f ca="1">MAX(0%,IF(Q291&lt;&gt;0,MIN((S291-Q291)/Q291/'NSLT Health Risk'!$E$27,'Health Prem &amp; Reserve Risk'!$Z$228),'Health Prem &amp; Reserve Risk'!$Z$228))</f>
        <v>9.6000000000000002E-2</v>
      </c>
      <c r="AA291" s="80"/>
      <c r="AB291" s="80"/>
      <c r="AC291" s="737">
        <f ca="1">MAX(0%,IF(U291&lt;&gt;0,MIN((W291-U291)/U291/'NSLT Health Risk'!$E$27,'Health Prem &amp; Reserve Risk'!$AC$228),'Health Prem &amp; Reserve Risk'!$AC$228))</f>
        <v>0.11</v>
      </c>
      <c r="AD291" s="81"/>
      <c r="AE291" s="53"/>
      <c r="AF291" s="53"/>
    </row>
    <row r="292" spans="1:32" ht="12.75" customHeight="1" x14ac:dyDescent="0.25">
      <c r="A292" s="53"/>
      <c r="B292" s="257">
        <v>63</v>
      </c>
      <c r="C292" s="652"/>
      <c r="D292" s="80"/>
      <c r="E292" s="80"/>
      <c r="F292" s="256">
        <f t="shared" ca="1" si="10"/>
        <v>0</v>
      </c>
      <c r="G292" s="624"/>
      <c r="H292" s="85"/>
      <c r="I292" s="624"/>
      <c r="J292" s="85"/>
      <c r="K292" s="624"/>
      <c r="L292" s="85"/>
      <c r="M292" s="624"/>
      <c r="N292" s="85"/>
      <c r="O292" s="624"/>
      <c r="P292" s="85"/>
      <c r="Q292" s="626">
        <f t="shared" si="9"/>
        <v>0</v>
      </c>
      <c r="R292" s="85"/>
      <c r="S292" s="624"/>
      <c r="T292" s="260" t="str">
        <f t="shared" si="11"/>
        <v/>
      </c>
      <c r="U292" s="624"/>
      <c r="V292" s="85"/>
      <c r="W292" s="624"/>
      <c r="X292" s="81"/>
      <c r="Y292" s="80"/>
      <c r="Z292" s="737">
        <f ca="1">MAX(0%,IF(Q292&lt;&gt;0,MIN((S292-Q292)/Q292/'NSLT Health Risk'!$E$27,'Health Prem &amp; Reserve Risk'!$Z$228),'Health Prem &amp; Reserve Risk'!$Z$228))</f>
        <v>9.6000000000000002E-2</v>
      </c>
      <c r="AA292" s="80"/>
      <c r="AB292" s="80"/>
      <c r="AC292" s="737">
        <f ca="1">MAX(0%,IF(U292&lt;&gt;0,MIN((W292-U292)/U292/'NSLT Health Risk'!$E$27,'Health Prem &amp; Reserve Risk'!$AC$228),'Health Prem &amp; Reserve Risk'!$AC$228))</f>
        <v>0.11</v>
      </c>
      <c r="AD292" s="81"/>
      <c r="AE292" s="53"/>
      <c r="AF292" s="53"/>
    </row>
    <row r="293" spans="1:32" ht="12.75" customHeight="1" x14ac:dyDescent="0.25">
      <c r="A293" s="53"/>
      <c r="B293" s="257">
        <v>64</v>
      </c>
      <c r="C293" s="652"/>
      <c r="D293" s="80"/>
      <c r="E293" s="80"/>
      <c r="F293" s="256">
        <f t="shared" ca="1" si="10"/>
        <v>0</v>
      </c>
      <c r="G293" s="624"/>
      <c r="H293" s="85"/>
      <c r="I293" s="624"/>
      <c r="J293" s="85"/>
      <c r="K293" s="624"/>
      <c r="L293" s="85"/>
      <c r="M293" s="624"/>
      <c r="N293" s="85"/>
      <c r="O293" s="624"/>
      <c r="P293" s="85"/>
      <c r="Q293" s="626">
        <f t="shared" si="9"/>
        <v>0</v>
      </c>
      <c r="R293" s="85"/>
      <c r="S293" s="624"/>
      <c r="T293" s="260" t="str">
        <f t="shared" si="11"/>
        <v/>
      </c>
      <c r="U293" s="624"/>
      <c r="V293" s="85"/>
      <c r="W293" s="624"/>
      <c r="X293" s="81"/>
      <c r="Y293" s="80"/>
      <c r="Z293" s="737">
        <f ca="1">MAX(0%,IF(Q293&lt;&gt;0,MIN((S293-Q293)/Q293/'NSLT Health Risk'!$E$27,'Health Prem &amp; Reserve Risk'!$Z$228),'Health Prem &amp; Reserve Risk'!$Z$228))</f>
        <v>9.6000000000000002E-2</v>
      </c>
      <c r="AA293" s="80"/>
      <c r="AB293" s="80"/>
      <c r="AC293" s="737">
        <f ca="1">MAX(0%,IF(U293&lt;&gt;0,MIN((W293-U293)/U293/'NSLT Health Risk'!$E$27,'Health Prem &amp; Reserve Risk'!$AC$228),'Health Prem &amp; Reserve Risk'!$AC$228))</f>
        <v>0.11</v>
      </c>
      <c r="AD293" s="81"/>
      <c r="AE293" s="53"/>
      <c r="AF293" s="53"/>
    </row>
    <row r="294" spans="1:32" ht="12.75" customHeight="1" x14ac:dyDescent="0.25">
      <c r="A294" s="53"/>
      <c r="B294" s="257">
        <v>65</v>
      </c>
      <c r="C294" s="652"/>
      <c r="D294" s="80"/>
      <c r="E294" s="80"/>
      <c r="F294" s="256">
        <f t="shared" ca="1" si="10"/>
        <v>0</v>
      </c>
      <c r="G294" s="624"/>
      <c r="H294" s="85"/>
      <c r="I294" s="624"/>
      <c r="J294" s="85"/>
      <c r="K294" s="624"/>
      <c r="L294" s="85"/>
      <c r="M294" s="624"/>
      <c r="N294" s="85"/>
      <c r="O294" s="624"/>
      <c r="P294" s="85"/>
      <c r="Q294" s="626">
        <f t="shared" si="9"/>
        <v>0</v>
      </c>
      <c r="R294" s="85"/>
      <c r="S294" s="624"/>
      <c r="T294" s="260" t="str">
        <f t="shared" si="11"/>
        <v/>
      </c>
      <c r="U294" s="624"/>
      <c r="V294" s="85"/>
      <c r="W294" s="624"/>
      <c r="X294" s="81"/>
      <c r="Y294" s="80"/>
      <c r="Z294" s="737">
        <f ca="1">MAX(0%,IF(Q294&lt;&gt;0,MIN((S294-Q294)/Q294/'NSLT Health Risk'!$E$27,'Health Prem &amp; Reserve Risk'!$Z$228),'Health Prem &amp; Reserve Risk'!$Z$228))</f>
        <v>9.6000000000000002E-2</v>
      </c>
      <c r="AA294" s="80"/>
      <c r="AB294" s="80"/>
      <c r="AC294" s="737">
        <f ca="1">MAX(0%,IF(U294&lt;&gt;0,MIN((W294-U294)/U294/'NSLT Health Risk'!$E$27,'Health Prem &amp; Reserve Risk'!$AC$228),'Health Prem &amp; Reserve Risk'!$AC$228))</f>
        <v>0.11</v>
      </c>
      <c r="AD294" s="81"/>
      <c r="AE294" s="53"/>
      <c r="AF294" s="53"/>
    </row>
    <row r="295" spans="1:32" ht="12.75" customHeight="1" x14ac:dyDescent="0.25">
      <c r="A295" s="53"/>
      <c r="B295" s="257">
        <v>66</v>
      </c>
      <c r="C295" s="652"/>
      <c r="D295" s="80"/>
      <c r="E295" s="80"/>
      <c r="F295" s="256">
        <f t="shared" ref="F295:F329" ca="1" si="12">IF(B295&lt;=OFFSET($Z$8,B$227-10,0),0,1)</f>
        <v>0</v>
      </c>
      <c r="G295" s="624"/>
      <c r="H295" s="85"/>
      <c r="I295" s="624"/>
      <c r="J295" s="85"/>
      <c r="K295" s="624"/>
      <c r="L295" s="85"/>
      <c r="M295" s="624"/>
      <c r="N295" s="85"/>
      <c r="O295" s="624"/>
      <c r="P295" s="85"/>
      <c r="Q295" s="626">
        <f t="shared" si="9"/>
        <v>0</v>
      </c>
      <c r="R295" s="85"/>
      <c r="S295" s="624"/>
      <c r="T295" s="260" t="str">
        <f t="shared" si="11"/>
        <v/>
      </c>
      <c r="U295" s="624"/>
      <c r="V295" s="85"/>
      <c r="W295" s="624"/>
      <c r="X295" s="81"/>
      <c r="Y295" s="80"/>
      <c r="Z295" s="737">
        <f ca="1">MAX(0%,IF(Q295&lt;&gt;0,MIN((S295-Q295)/Q295/'NSLT Health Risk'!$E$27,'Health Prem &amp; Reserve Risk'!$Z$228),'Health Prem &amp; Reserve Risk'!$Z$228))</f>
        <v>9.6000000000000002E-2</v>
      </c>
      <c r="AA295" s="80"/>
      <c r="AB295" s="80"/>
      <c r="AC295" s="737">
        <f ca="1">MAX(0%,IF(U295&lt;&gt;0,MIN((W295-U295)/U295/'NSLT Health Risk'!$E$27,'Health Prem &amp; Reserve Risk'!$AC$228),'Health Prem &amp; Reserve Risk'!$AC$228))</f>
        <v>0.11</v>
      </c>
      <c r="AD295" s="81"/>
      <c r="AE295" s="53"/>
      <c r="AF295" s="53"/>
    </row>
    <row r="296" spans="1:32" ht="12.75" customHeight="1" x14ac:dyDescent="0.25">
      <c r="A296" s="53"/>
      <c r="B296" s="257">
        <v>67</v>
      </c>
      <c r="C296" s="652"/>
      <c r="D296" s="80"/>
      <c r="E296" s="80"/>
      <c r="F296" s="256">
        <f t="shared" ca="1" si="12"/>
        <v>0</v>
      </c>
      <c r="G296" s="624"/>
      <c r="H296" s="85"/>
      <c r="I296" s="624"/>
      <c r="J296" s="85"/>
      <c r="K296" s="624"/>
      <c r="L296" s="85"/>
      <c r="M296" s="624"/>
      <c r="N296" s="85"/>
      <c r="O296" s="624"/>
      <c r="P296" s="85"/>
      <c r="Q296" s="626">
        <f t="shared" si="9"/>
        <v>0</v>
      </c>
      <c r="R296" s="85"/>
      <c r="S296" s="624"/>
      <c r="T296" s="260" t="str">
        <f t="shared" si="11"/>
        <v/>
      </c>
      <c r="U296" s="624"/>
      <c r="V296" s="85"/>
      <c r="W296" s="624"/>
      <c r="X296" s="81"/>
      <c r="Y296" s="80"/>
      <c r="Z296" s="737">
        <f ca="1">MAX(0%,IF(Q296&lt;&gt;0,MIN((S296-Q296)/Q296/'NSLT Health Risk'!$E$27,'Health Prem &amp; Reserve Risk'!$Z$228),'Health Prem &amp; Reserve Risk'!$Z$228))</f>
        <v>9.6000000000000002E-2</v>
      </c>
      <c r="AA296" s="80"/>
      <c r="AB296" s="80"/>
      <c r="AC296" s="737">
        <f ca="1">MAX(0%,IF(U296&lt;&gt;0,MIN((W296-U296)/U296/'NSLT Health Risk'!$E$27,'Health Prem &amp; Reserve Risk'!$AC$228),'Health Prem &amp; Reserve Risk'!$AC$228))</f>
        <v>0.11</v>
      </c>
      <c r="AD296" s="81"/>
      <c r="AE296" s="53"/>
      <c r="AF296" s="53"/>
    </row>
    <row r="297" spans="1:32" ht="12.75" customHeight="1" x14ac:dyDescent="0.25">
      <c r="A297" s="53"/>
      <c r="B297" s="257">
        <v>68</v>
      </c>
      <c r="C297" s="652"/>
      <c r="D297" s="80"/>
      <c r="E297" s="80"/>
      <c r="F297" s="256">
        <f t="shared" ca="1" si="12"/>
        <v>0</v>
      </c>
      <c r="G297" s="624"/>
      <c r="H297" s="85"/>
      <c r="I297" s="624"/>
      <c r="J297" s="85"/>
      <c r="K297" s="624"/>
      <c r="L297" s="85"/>
      <c r="M297" s="624"/>
      <c r="N297" s="85"/>
      <c r="O297" s="624"/>
      <c r="P297" s="85"/>
      <c r="Q297" s="626">
        <f t="shared" si="9"/>
        <v>0</v>
      </c>
      <c r="R297" s="85"/>
      <c r="S297" s="624"/>
      <c r="T297" s="260" t="str">
        <f t="shared" si="11"/>
        <v/>
      </c>
      <c r="U297" s="624"/>
      <c r="V297" s="85"/>
      <c r="W297" s="624"/>
      <c r="X297" s="81"/>
      <c r="Y297" s="80"/>
      <c r="Z297" s="737">
        <f ca="1">MAX(0%,IF(Q297&lt;&gt;0,MIN((S297-Q297)/Q297/'NSLT Health Risk'!$E$27,'Health Prem &amp; Reserve Risk'!$Z$228),'Health Prem &amp; Reserve Risk'!$Z$228))</f>
        <v>9.6000000000000002E-2</v>
      </c>
      <c r="AA297" s="80"/>
      <c r="AB297" s="80"/>
      <c r="AC297" s="737">
        <f ca="1">MAX(0%,IF(U297&lt;&gt;0,MIN((W297-U297)/U297/'NSLT Health Risk'!$E$27,'Health Prem &amp; Reserve Risk'!$AC$228),'Health Prem &amp; Reserve Risk'!$AC$228))</f>
        <v>0.11</v>
      </c>
      <c r="AD297" s="81"/>
      <c r="AE297" s="53"/>
      <c r="AF297" s="53"/>
    </row>
    <row r="298" spans="1:32" ht="12.75" customHeight="1" x14ac:dyDescent="0.25">
      <c r="A298" s="53"/>
      <c r="B298" s="257">
        <v>69</v>
      </c>
      <c r="C298" s="652"/>
      <c r="D298" s="80"/>
      <c r="E298" s="80"/>
      <c r="F298" s="256">
        <f t="shared" ca="1" si="12"/>
        <v>0</v>
      </c>
      <c r="G298" s="624"/>
      <c r="H298" s="85"/>
      <c r="I298" s="624"/>
      <c r="J298" s="85"/>
      <c r="K298" s="624"/>
      <c r="L298" s="85"/>
      <c r="M298" s="624"/>
      <c r="N298" s="85"/>
      <c r="O298" s="624"/>
      <c r="P298" s="85"/>
      <c r="Q298" s="626">
        <f t="shared" si="9"/>
        <v>0</v>
      </c>
      <c r="R298" s="85"/>
      <c r="S298" s="624"/>
      <c r="T298" s="260" t="str">
        <f t="shared" si="11"/>
        <v/>
      </c>
      <c r="U298" s="624"/>
      <c r="V298" s="85"/>
      <c r="W298" s="624"/>
      <c r="X298" s="81"/>
      <c r="Y298" s="80"/>
      <c r="Z298" s="737">
        <f ca="1">MAX(0%,IF(Q298&lt;&gt;0,MIN((S298-Q298)/Q298/'NSLT Health Risk'!$E$27,'Health Prem &amp; Reserve Risk'!$Z$228),'Health Prem &amp; Reserve Risk'!$Z$228))</f>
        <v>9.6000000000000002E-2</v>
      </c>
      <c r="AA298" s="80"/>
      <c r="AB298" s="80"/>
      <c r="AC298" s="737">
        <f ca="1">MAX(0%,IF(U298&lt;&gt;0,MIN((W298-U298)/U298/'NSLT Health Risk'!$E$27,'Health Prem &amp; Reserve Risk'!$AC$228),'Health Prem &amp; Reserve Risk'!$AC$228))</f>
        <v>0.11</v>
      </c>
      <c r="AD298" s="81"/>
      <c r="AE298" s="53"/>
      <c r="AF298" s="53"/>
    </row>
    <row r="299" spans="1:32" ht="12.75" customHeight="1" x14ac:dyDescent="0.25">
      <c r="A299" s="53"/>
      <c r="B299" s="257">
        <v>70</v>
      </c>
      <c r="C299" s="652"/>
      <c r="D299" s="80"/>
      <c r="E299" s="80"/>
      <c r="F299" s="256">
        <f t="shared" ca="1" si="12"/>
        <v>0</v>
      </c>
      <c r="G299" s="624"/>
      <c r="H299" s="85"/>
      <c r="I299" s="624"/>
      <c r="J299" s="85"/>
      <c r="K299" s="624"/>
      <c r="L299" s="85"/>
      <c r="M299" s="624"/>
      <c r="N299" s="85"/>
      <c r="O299" s="624"/>
      <c r="P299" s="85"/>
      <c r="Q299" s="626">
        <f t="shared" si="9"/>
        <v>0</v>
      </c>
      <c r="R299" s="85"/>
      <c r="S299" s="624"/>
      <c r="T299" s="260" t="str">
        <f t="shared" si="11"/>
        <v/>
      </c>
      <c r="U299" s="624"/>
      <c r="V299" s="85"/>
      <c r="W299" s="624"/>
      <c r="X299" s="81"/>
      <c r="Y299" s="80"/>
      <c r="Z299" s="737">
        <f ca="1">MAX(0%,IF(Q299&lt;&gt;0,MIN((S299-Q299)/Q299/'NSLT Health Risk'!$E$27,'Health Prem &amp; Reserve Risk'!$Z$228),'Health Prem &amp; Reserve Risk'!$Z$228))</f>
        <v>9.6000000000000002E-2</v>
      </c>
      <c r="AA299" s="80"/>
      <c r="AB299" s="80"/>
      <c r="AC299" s="737">
        <f ca="1">MAX(0%,IF(U299&lt;&gt;0,MIN((W299-U299)/U299/'NSLT Health Risk'!$E$27,'Health Prem &amp; Reserve Risk'!$AC$228),'Health Prem &amp; Reserve Risk'!$AC$228))</f>
        <v>0.11</v>
      </c>
      <c r="AD299" s="81"/>
      <c r="AE299" s="53"/>
      <c r="AF299" s="53"/>
    </row>
    <row r="300" spans="1:32" ht="12.75" customHeight="1" x14ac:dyDescent="0.25">
      <c r="A300" s="53"/>
      <c r="B300" s="257">
        <v>71</v>
      </c>
      <c r="C300" s="652"/>
      <c r="D300" s="80"/>
      <c r="E300" s="80"/>
      <c r="F300" s="256">
        <f t="shared" ca="1" si="12"/>
        <v>0</v>
      </c>
      <c r="G300" s="624"/>
      <c r="H300" s="85"/>
      <c r="I300" s="624"/>
      <c r="J300" s="85"/>
      <c r="K300" s="624"/>
      <c r="L300" s="85"/>
      <c r="M300" s="624"/>
      <c r="N300" s="85"/>
      <c r="O300" s="624"/>
      <c r="P300" s="85"/>
      <c r="Q300" s="626">
        <f t="shared" si="9"/>
        <v>0</v>
      </c>
      <c r="R300" s="85"/>
      <c r="S300" s="624"/>
      <c r="T300" s="260" t="str">
        <f t="shared" si="11"/>
        <v/>
      </c>
      <c r="U300" s="624"/>
      <c r="V300" s="85"/>
      <c r="W300" s="624"/>
      <c r="X300" s="81"/>
      <c r="Y300" s="80"/>
      <c r="Z300" s="737">
        <f ca="1">MAX(0%,IF(Q300&lt;&gt;0,MIN((S300-Q300)/Q300/'NSLT Health Risk'!$E$27,'Health Prem &amp; Reserve Risk'!$Z$228),'Health Prem &amp; Reserve Risk'!$Z$228))</f>
        <v>9.6000000000000002E-2</v>
      </c>
      <c r="AA300" s="80"/>
      <c r="AB300" s="80"/>
      <c r="AC300" s="737">
        <f ca="1">MAX(0%,IF(U300&lt;&gt;0,MIN((W300-U300)/U300/'NSLT Health Risk'!$E$27,'Health Prem &amp; Reserve Risk'!$AC$228),'Health Prem &amp; Reserve Risk'!$AC$228))</f>
        <v>0.11</v>
      </c>
      <c r="AD300" s="81"/>
      <c r="AE300" s="53"/>
      <c r="AF300" s="53"/>
    </row>
    <row r="301" spans="1:32" ht="12.75" customHeight="1" x14ac:dyDescent="0.25">
      <c r="A301" s="53"/>
      <c r="B301" s="257">
        <v>72</v>
      </c>
      <c r="C301" s="652"/>
      <c r="D301" s="80"/>
      <c r="E301" s="80"/>
      <c r="F301" s="256">
        <f t="shared" ca="1" si="12"/>
        <v>0</v>
      </c>
      <c r="G301" s="624"/>
      <c r="H301" s="85"/>
      <c r="I301" s="624"/>
      <c r="J301" s="85"/>
      <c r="K301" s="624"/>
      <c r="L301" s="85"/>
      <c r="M301" s="624"/>
      <c r="N301" s="85"/>
      <c r="O301" s="624"/>
      <c r="P301" s="85"/>
      <c r="Q301" s="626">
        <f t="shared" si="9"/>
        <v>0</v>
      </c>
      <c r="R301" s="85"/>
      <c r="S301" s="624"/>
      <c r="T301" s="260" t="str">
        <f t="shared" si="11"/>
        <v/>
      </c>
      <c r="U301" s="624"/>
      <c r="V301" s="85"/>
      <c r="W301" s="624"/>
      <c r="X301" s="81"/>
      <c r="Y301" s="80"/>
      <c r="Z301" s="737">
        <f ca="1">MAX(0%,IF(Q301&lt;&gt;0,MIN((S301-Q301)/Q301/'NSLT Health Risk'!$E$27,'Health Prem &amp; Reserve Risk'!$Z$228),'Health Prem &amp; Reserve Risk'!$Z$228))</f>
        <v>9.6000000000000002E-2</v>
      </c>
      <c r="AA301" s="80"/>
      <c r="AB301" s="80"/>
      <c r="AC301" s="737">
        <f ca="1">MAX(0%,IF(U301&lt;&gt;0,MIN((W301-U301)/U301/'NSLT Health Risk'!$E$27,'Health Prem &amp; Reserve Risk'!$AC$228),'Health Prem &amp; Reserve Risk'!$AC$228))</f>
        <v>0.11</v>
      </c>
      <c r="AD301" s="81"/>
      <c r="AE301" s="53"/>
      <c r="AF301" s="53"/>
    </row>
    <row r="302" spans="1:32" ht="12.75" customHeight="1" x14ac:dyDescent="0.25">
      <c r="A302" s="53"/>
      <c r="B302" s="257">
        <v>73</v>
      </c>
      <c r="C302" s="652"/>
      <c r="D302" s="80"/>
      <c r="E302" s="80"/>
      <c r="F302" s="256">
        <f t="shared" ca="1" si="12"/>
        <v>0</v>
      </c>
      <c r="G302" s="624"/>
      <c r="H302" s="85"/>
      <c r="I302" s="624"/>
      <c r="J302" s="85"/>
      <c r="K302" s="624"/>
      <c r="L302" s="85"/>
      <c r="M302" s="624"/>
      <c r="N302" s="85"/>
      <c r="O302" s="624"/>
      <c r="P302" s="85"/>
      <c r="Q302" s="626">
        <f t="shared" si="9"/>
        <v>0</v>
      </c>
      <c r="R302" s="85"/>
      <c r="S302" s="624"/>
      <c r="T302" s="260" t="str">
        <f t="shared" si="11"/>
        <v/>
      </c>
      <c r="U302" s="624"/>
      <c r="V302" s="85"/>
      <c r="W302" s="624"/>
      <c r="X302" s="81"/>
      <c r="Y302" s="80"/>
      <c r="Z302" s="737">
        <f ca="1">MAX(0%,IF(Q302&lt;&gt;0,MIN((S302-Q302)/Q302/'NSLT Health Risk'!$E$27,'Health Prem &amp; Reserve Risk'!$Z$228),'Health Prem &amp; Reserve Risk'!$Z$228))</f>
        <v>9.6000000000000002E-2</v>
      </c>
      <c r="AA302" s="80"/>
      <c r="AB302" s="80"/>
      <c r="AC302" s="737">
        <f ca="1">MAX(0%,IF(U302&lt;&gt;0,MIN((W302-U302)/U302/'NSLT Health Risk'!$E$27,'Health Prem &amp; Reserve Risk'!$AC$228),'Health Prem &amp; Reserve Risk'!$AC$228))</f>
        <v>0.11</v>
      </c>
      <c r="AD302" s="81"/>
      <c r="AE302" s="53"/>
      <c r="AF302" s="53"/>
    </row>
    <row r="303" spans="1:32" ht="12.75" customHeight="1" x14ac:dyDescent="0.25">
      <c r="A303" s="53"/>
      <c r="B303" s="257">
        <v>74</v>
      </c>
      <c r="C303" s="652"/>
      <c r="D303" s="80"/>
      <c r="E303" s="80"/>
      <c r="F303" s="256">
        <f t="shared" ca="1" si="12"/>
        <v>0</v>
      </c>
      <c r="G303" s="624"/>
      <c r="H303" s="85"/>
      <c r="I303" s="624"/>
      <c r="J303" s="85"/>
      <c r="K303" s="624"/>
      <c r="L303" s="85"/>
      <c r="M303" s="624"/>
      <c r="N303" s="85"/>
      <c r="O303" s="624"/>
      <c r="P303" s="85"/>
      <c r="Q303" s="626">
        <f t="shared" si="9"/>
        <v>0</v>
      </c>
      <c r="R303" s="85"/>
      <c r="S303" s="624"/>
      <c r="T303" s="260" t="str">
        <f t="shared" si="11"/>
        <v/>
      </c>
      <c r="U303" s="624"/>
      <c r="V303" s="85"/>
      <c r="W303" s="624"/>
      <c r="X303" s="81"/>
      <c r="Y303" s="80"/>
      <c r="Z303" s="737">
        <f ca="1">MAX(0%,IF(Q303&lt;&gt;0,MIN((S303-Q303)/Q303/'NSLT Health Risk'!$E$27,'Health Prem &amp; Reserve Risk'!$Z$228),'Health Prem &amp; Reserve Risk'!$Z$228))</f>
        <v>9.6000000000000002E-2</v>
      </c>
      <c r="AA303" s="80"/>
      <c r="AB303" s="80"/>
      <c r="AC303" s="737">
        <f ca="1">MAX(0%,IF(U303&lt;&gt;0,MIN((W303-U303)/U303/'NSLT Health Risk'!$E$27,'Health Prem &amp; Reserve Risk'!$AC$228),'Health Prem &amp; Reserve Risk'!$AC$228))</f>
        <v>0.11</v>
      </c>
      <c r="AD303" s="81"/>
      <c r="AE303" s="53"/>
      <c r="AF303" s="53"/>
    </row>
    <row r="304" spans="1:32" ht="12.75" customHeight="1" x14ac:dyDescent="0.25">
      <c r="A304" s="53"/>
      <c r="B304" s="257">
        <v>75</v>
      </c>
      <c r="C304" s="652"/>
      <c r="D304" s="80"/>
      <c r="E304" s="80"/>
      <c r="F304" s="256">
        <f t="shared" ca="1" si="12"/>
        <v>0</v>
      </c>
      <c r="G304" s="624"/>
      <c r="H304" s="85"/>
      <c r="I304" s="624"/>
      <c r="J304" s="85"/>
      <c r="K304" s="624"/>
      <c r="L304" s="85"/>
      <c r="M304" s="624"/>
      <c r="N304" s="85"/>
      <c r="O304" s="624"/>
      <c r="P304" s="85"/>
      <c r="Q304" s="626">
        <f t="shared" si="9"/>
        <v>0</v>
      </c>
      <c r="R304" s="85"/>
      <c r="S304" s="624"/>
      <c r="T304" s="260" t="str">
        <f t="shared" si="11"/>
        <v/>
      </c>
      <c r="U304" s="624"/>
      <c r="V304" s="85"/>
      <c r="W304" s="624"/>
      <c r="X304" s="81"/>
      <c r="Y304" s="80"/>
      <c r="Z304" s="737">
        <f ca="1">MAX(0%,IF(Q304&lt;&gt;0,MIN((S304-Q304)/Q304/'NSLT Health Risk'!$E$27,'Health Prem &amp; Reserve Risk'!$Z$228),'Health Prem &amp; Reserve Risk'!$Z$228))</f>
        <v>9.6000000000000002E-2</v>
      </c>
      <c r="AA304" s="80"/>
      <c r="AB304" s="80"/>
      <c r="AC304" s="737">
        <f ca="1">MAX(0%,IF(U304&lt;&gt;0,MIN((W304-U304)/U304/'NSLT Health Risk'!$E$27,'Health Prem &amp; Reserve Risk'!$AC$228),'Health Prem &amp; Reserve Risk'!$AC$228))</f>
        <v>0.11</v>
      </c>
      <c r="AD304" s="81"/>
      <c r="AE304" s="53"/>
      <c r="AF304" s="53"/>
    </row>
    <row r="305" spans="1:32" ht="12.75" customHeight="1" x14ac:dyDescent="0.25">
      <c r="A305" s="53"/>
      <c r="B305" s="257">
        <v>76</v>
      </c>
      <c r="C305" s="652"/>
      <c r="D305" s="80"/>
      <c r="E305" s="80"/>
      <c r="F305" s="256">
        <f t="shared" ca="1" si="12"/>
        <v>0</v>
      </c>
      <c r="G305" s="624"/>
      <c r="H305" s="85"/>
      <c r="I305" s="624"/>
      <c r="J305" s="85"/>
      <c r="K305" s="624"/>
      <c r="L305" s="85"/>
      <c r="M305" s="624"/>
      <c r="N305" s="85"/>
      <c r="O305" s="624"/>
      <c r="P305" s="85"/>
      <c r="Q305" s="626">
        <f t="shared" si="9"/>
        <v>0</v>
      </c>
      <c r="R305" s="85"/>
      <c r="S305" s="624"/>
      <c r="T305" s="260" t="str">
        <f t="shared" si="11"/>
        <v/>
      </c>
      <c r="U305" s="624"/>
      <c r="V305" s="85"/>
      <c r="W305" s="624"/>
      <c r="X305" s="81"/>
      <c r="Y305" s="80"/>
      <c r="Z305" s="737">
        <f ca="1">MAX(0%,IF(Q305&lt;&gt;0,MIN((S305-Q305)/Q305/'NSLT Health Risk'!$E$27,'Health Prem &amp; Reserve Risk'!$Z$228),'Health Prem &amp; Reserve Risk'!$Z$228))</f>
        <v>9.6000000000000002E-2</v>
      </c>
      <c r="AA305" s="80"/>
      <c r="AB305" s="80"/>
      <c r="AC305" s="737">
        <f ca="1">MAX(0%,IF(U305&lt;&gt;0,MIN((W305-U305)/U305/'NSLT Health Risk'!$E$27,'Health Prem &amp; Reserve Risk'!$AC$228),'Health Prem &amp; Reserve Risk'!$AC$228))</f>
        <v>0.11</v>
      </c>
      <c r="AD305" s="81"/>
      <c r="AE305" s="53"/>
      <c r="AF305" s="53"/>
    </row>
    <row r="306" spans="1:32" ht="12.75" customHeight="1" x14ac:dyDescent="0.25">
      <c r="A306" s="53"/>
      <c r="B306" s="257">
        <v>77</v>
      </c>
      <c r="C306" s="652"/>
      <c r="D306" s="80"/>
      <c r="E306" s="80"/>
      <c r="F306" s="256">
        <f t="shared" ca="1" si="12"/>
        <v>0</v>
      </c>
      <c r="G306" s="624"/>
      <c r="H306" s="85"/>
      <c r="I306" s="624"/>
      <c r="J306" s="85"/>
      <c r="K306" s="624"/>
      <c r="L306" s="85"/>
      <c r="M306" s="624"/>
      <c r="N306" s="85"/>
      <c r="O306" s="624"/>
      <c r="P306" s="85"/>
      <c r="Q306" s="626">
        <f t="shared" si="9"/>
        <v>0</v>
      </c>
      <c r="R306" s="85"/>
      <c r="S306" s="624"/>
      <c r="T306" s="260" t="str">
        <f t="shared" si="11"/>
        <v/>
      </c>
      <c r="U306" s="624"/>
      <c r="V306" s="85"/>
      <c r="W306" s="624"/>
      <c r="X306" s="81"/>
      <c r="Y306" s="80"/>
      <c r="Z306" s="737">
        <f ca="1">MAX(0%,IF(Q306&lt;&gt;0,MIN((S306-Q306)/Q306/'NSLT Health Risk'!$E$27,'Health Prem &amp; Reserve Risk'!$Z$228),'Health Prem &amp; Reserve Risk'!$Z$228))</f>
        <v>9.6000000000000002E-2</v>
      </c>
      <c r="AA306" s="80"/>
      <c r="AB306" s="80"/>
      <c r="AC306" s="737">
        <f ca="1">MAX(0%,IF(U306&lt;&gt;0,MIN((W306-U306)/U306/'NSLT Health Risk'!$E$27,'Health Prem &amp; Reserve Risk'!$AC$228),'Health Prem &amp; Reserve Risk'!$AC$228))</f>
        <v>0.11</v>
      </c>
      <c r="AD306" s="81"/>
      <c r="AE306" s="53"/>
      <c r="AF306" s="53"/>
    </row>
    <row r="307" spans="1:32" ht="12.75" customHeight="1" x14ac:dyDescent="0.25">
      <c r="A307" s="53"/>
      <c r="B307" s="257">
        <v>78</v>
      </c>
      <c r="C307" s="652"/>
      <c r="D307" s="80"/>
      <c r="E307" s="80"/>
      <c r="F307" s="256">
        <f t="shared" ca="1" si="12"/>
        <v>0</v>
      </c>
      <c r="G307" s="624"/>
      <c r="H307" s="85"/>
      <c r="I307" s="624"/>
      <c r="J307" s="85"/>
      <c r="K307" s="624"/>
      <c r="L307" s="85"/>
      <c r="M307" s="624"/>
      <c r="N307" s="85"/>
      <c r="O307" s="624"/>
      <c r="P307" s="85"/>
      <c r="Q307" s="626">
        <f t="shared" si="9"/>
        <v>0</v>
      </c>
      <c r="R307" s="85"/>
      <c r="S307" s="624"/>
      <c r="T307" s="260" t="str">
        <f t="shared" si="11"/>
        <v/>
      </c>
      <c r="U307" s="624"/>
      <c r="V307" s="85"/>
      <c r="W307" s="624"/>
      <c r="X307" s="81"/>
      <c r="Y307" s="80"/>
      <c r="Z307" s="737">
        <f ca="1">MAX(0%,IF(Q307&lt;&gt;0,MIN((S307-Q307)/Q307/'NSLT Health Risk'!$E$27,'Health Prem &amp; Reserve Risk'!$Z$228),'Health Prem &amp; Reserve Risk'!$Z$228))</f>
        <v>9.6000000000000002E-2</v>
      </c>
      <c r="AA307" s="80"/>
      <c r="AB307" s="80"/>
      <c r="AC307" s="737">
        <f ca="1">MAX(0%,IF(U307&lt;&gt;0,MIN((W307-U307)/U307/'NSLT Health Risk'!$E$27,'Health Prem &amp; Reserve Risk'!$AC$228),'Health Prem &amp; Reserve Risk'!$AC$228))</f>
        <v>0.11</v>
      </c>
      <c r="AD307" s="81"/>
      <c r="AE307" s="53"/>
      <c r="AF307" s="53"/>
    </row>
    <row r="308" spans="1:32" ht="12.75" customHeight="1" x14ac:dyDescent="0.25">
      <c r="A308" s="53"/>
      <c r="B308" s="257">
        <v>79</v>
      </c>
      <c r="C308" s="652"/>
      <c r="D308" s="80"/>
      <c r="E308" s="80"/>
      <c r="F308" s="256">
        <f t="shared" ca="1" si="12"/>
        <v>0</v>
      </c>
      <c r="G308" s="624"/>
      <c r="H308" s="85"/>
      <c r="I308" s="624"/>
      <c r="J308" s="85"/>
      <c r="K308" s="624"/>
      <c r="L308" s="85"/>
      <c r="M308" s="624"/>
      <c r="N308" s="85"/>
      <c r="O308" s="624"/>
      <c r="P308" s="85"/>
      <c r="Q308" s="626">
        <f t="shared" si="9"/>
        <v>0</v>
      </c>
      <c r="R308" s="85"/>
      <c r="S308" s="624"/>
      <c r="T308" s="260" t="str">
        <f t="shared" si="11"/>
        <v/>
      </c>
      <c r="U308" s="624"/>
      <c r="V308" s="85"/>
      <c r="W308" s="624"/>
      <c r="X308" s="81"/>
      <c r="Y308" s="80"/>
      <c r="Z308" s="737">
        <f ca="1">MAX(0%,IF(Q308&lt;&gt;0,MIN((S308-Q308)/Q308/'NSLT Health Risk'!$E$27,'Health Prem &amp; Reserve Risk'!$Z$228),'Health Prem &amp; Reserve Risk'!$Z$228))</f>
        <v>9.6000000000000002E-2</v>
      </c>
      <c r="AA308" s="80"/>
      <c r="AB308" s="80"/>
      <c r="AC308" s="737">
        <f ca="1">MAX(0%,IF(U308&lt;&gt;0,MIN((W308-U308)/U308/'NSLT Health Risk'!$E$27,'Health Prem &amp; Reserve Risk'!$AC$228),'Health Prem &amp; Reserve Risk'!$AC$228))</f>
        <v>0.11</v>
      </c>
      <c r="AD308" s="81"/>
      <c r="AE308" s="53"/>
      <c r="AF308" s="53"/>
    </row>
    <row r="309" spans="1:32" ht="12.75" customHeight="1" x14ac:dyDescent="0.25">
      <c r="A309" s="53"/>
      <c r="B309" s="257">
        <v>80</v>
      </c>
      <c r="C309" s="652"/>
      <c r="D309" s="80"/>
      <c r="E309" s="80"/>
      <c r="F309" s="256">
        <f t="shared" ca="1" si="12"/>
        <v>0</v>
      </c>
      <c r="G309" s="624"/>
      <c r="H309" s="85"/>
      <c r="I309" s="624"/>
      <c r="J309" s="85"/>
      <c r="K309" s="624"/>
      <c r="L309" s="85"/>
      <c r="M309" s="624"/>
      <c r="N309" s="85"/>
      <c r="O309" s="624"/>
      <c r="P309" s="85"/>
      <c r="Q309" s="626">
        <f t="shared" si="9"/>
        <v>0</v>
      </c>
      <c r="R309" s="85"/>
      <c r="S309" s="624"/>
      <c r="T309" s="260" t="str">
        <f t="shared" si="11"/>
        <v/>
      </c>
      <c r="U309" s="624"/>
      <c r="V309" s="85"/>
      <c r="W309" s="624"/>
      <c r="X309" s="81"/>
      <c r="Y309" s="80"/>
      <c r="Z309" s="737">
        <f ca="1">MAX(0%,IF(Q309&lt;&gt;0,MIN((S309-Q309)/Q309/'NSLT Health Risk'!$E$27,'Health Prem &amp; Reserve Risk'!$Z$228),'Health Prem &amp; Reserve Risk'!$Z$228))</f>
        <v>9.6000000000000002E-2</v>
      </c>
      <c r="AA309" s="80"/>
      <c r="AB309" s="80"/>
      <c r="AC309" s="737">
        <f ca="1">MAX(0%,IF(U309&lt;&gt;0,MIN((W309-U309)/U309/'NSLT Health Risk'!$E$27,'Health Prem &amp; Reserve Risk'!$AC$228),'Health Prem &amp; Reserve Risk'!$AC$228))</f>
        <v>0.11</v>
      </c>
      <c r="AD309" s="81"/>
      <c r="AE309" s="53"/>
      <c r="AF309" s="53"/>
    </row>
    <row r="310" spans="1:32" ht="12.75" customHeight="1" x14ac:dyDescent="0.25">
      <c r="A310" s="53"/>
      <c r="B310" s="257">
        <v>81</v>
      </c>
      <c r="C310" s="652"/>
      <c r="D310" s="80"/>
      <c r="E310" s="80"/>
      <c r="F310" s="256">
        <f t="shared" ca="1" si="12"/>
        <v>0</v>
      </c>
      <c r="G310" s="624"/>
      <c r="H310" s="85"/>
      <c r="I310" s="624"/>
      <c r="J310" s="85"/>
      <c r="K310" s="624"/>
      <c r="L310" s="85"/>
      <c r="M310" s="624"/>
      <c r="N310" s="85"/>
      <c r="O310" s="624"/>
      <c r="P310" s="85"/>
      <c r="Q310" s="626">
        <f t="shared" si="9"/>
        <v>0</v>
      </c>
      <c r="R310" s="85"/>
      <c r="S310" s="624"/>
      <c r="T310" s="260" t="str">
        <f t="shared" si="11"/>
        <v/>
      </c>
      <c r="U310" s="624"/>
      <c r="V310" s="85"/>
      <c r="W310" s="624"/>
      <c r="X310" s="81"/>
      <c r="Y310" s="80"/>
      <c r="Z310" s="737">
        <f ca="1">MAX(0%,IF(Q310&lt;&gt;0,MIN((S310-Q310)/Q310/'NSLT Health Risk'!$E$27,'Health Prem &amp; Reserve Risk'!$Z$228),'Health Prem &amp; Reserve Risk'!$Z$228))</f>
        <v>9.6000000000000002E-2</v>
      </c>
      <c r="AA310" s="80"/>
      <c r="AB310" s="80"/>
      <c r="AC310" s="737">
        <f ca="1">MAX(0%,IF(U310&lt;&gt;0,MIN((W310-U310)/U310/'NSLT Health Risk'!$E$27,'Health Prem &amp; Reserve Risk'!$AC$228),'Health Prem &amp; Reserve Risk'!$AC$228))</f>
        <v>0.11</v>
      </c>
      <c r="AD310" s="81"/>
      <c r="AE310" s="53"/>
      <c r="AF310" s="53"/>
    </row>
    <row r="311" spans="1:32" ht="12.75" customHeight="1" x14ac:dyDescent="0.25">
      <c r="A311" s="53"/>
      <c r="B311" s="257">
        <v>82</v>
      </c>
      <c r="C311" s="652"/>
      <c r="D311" s="80"/>
      <c r="E311" s="80"/>
      <c r="F311" s="256">
        <f t="shared" ca="1" si="12"/>
        <v>0</v>
      </c>
      <c r="G311" s="624"/>
      <c r="H311" s="85"/>
      <c r="I311" s="624"/>
      <c r="J311" s="85"/>
      <c r="K311" s="624"/>
      <c r="L311" s="85"/>
      <c r="M311" s="624"/>
      <c r="N311" s="85"/>
      <c r="O311" s="624"/>
      <c r="P311" s="85"/>
      <c r="Q311" s="626">
        <f t="shared" si="9"/>
        <v>0</v>
      </c>
      <c r="R311" s="85"/>
      <c r="S311" s="624"/>
      <c r="T311" s="260" t="str">
        <f t="shared" si="11"/>
        <v/>
      </c>
      <c r="U311" s="624"/>
      <c r="V311" s="85"/>
      <c r="W311" s="624"/>
      <c r="X311" s="81"/>
      <c r="Y311" s="80"/>
      <c r="Z311" s="737">
        <f ca="1">MAX(0%,IF(Q311&lt;&gt;0,MIN((S311-Q311)/Q311/'NSLT Health Risk'!$E$27,'Health Prem &amp; Reserve Risk'!$Z$228),'Health Prem &amp; Reserve Risk'!$Z$228))</f>
        <v>9.6000000000000002E-2</v>
      </c>
      <c r="AA311" s="80"/>
      <c r="AB311" s="80"/>
      <c r="AC311" s="737">
        <f ca="1">MAX(0%,IF(U311&lt;&gt;0,MIN((W311-U311)/U311/'NSLT Health Risk'!$E$27,'Health Prem &amp; Reserve Risk'!$AC$228),'Health Prem &amp; Reserve Risk'!$AC$228))</f>
        <v>0.11</v>
      </c>
      <c r="AD311" s="81"/>
      <c r="AE311" s="53"/>
      <c r="AF311" s="53"/>
    </row>
    <row r="312" spans="1:32" ht="12.75" customHeight="1" x14ac:dyDescent="0.25">
      <c r="A312" s="53"/>
      <c r="B312" s="257">
        <v>83</v>
      </c>
      <c r="C312" s="652"/>
      <c r="D312" s="80"/>
      <c r="E312" s="80"/>
      <c r="F312" s="256">
        <f t="shared" ca="1" si="12"/>
        <v>0</v>
      </c>
      <c r="G312" s="624"/>
      <c r="H312" s="85"/>
      <c r="I312" s="624"/>
      <c r="J312" s="85"/>
      <c r="K312" s="624"/>
      <c r="L312" s="85"/>
      <c r="M312" s="624"/>
      <c r="N312" s="85"/>
      <c r="O312" s="624"/>
      <c r="P312" s="85"/>
      <c r="Q312" s="626">
        <f t="shared" si="9"/>
        <v>0</v>
      </c>
      <c r="R312" s="85"/>
      <c r="S312" s="624"/>
      <c r="T312" s="260" t="str">
        <f t="shared" si="11"/>
        <v/>
      </c>
      <c r="U312" s="624"/>
      <c r="V312" s="85"/>
      <c r="W312" s="624"/>
      <c r="X312" s="81"/>
      <c r="Y312" s="80"/>
      <c r="Z312" s="737">
        <f ca="1">MAX(0%,IF(Q312&lt;&gt;0,MIN((S312-Q312)/Q312/'NSLT Health Risk'!$E$27,'Health Prem &amp; Reserve Risk'!$Z$228),'Health Prem &amp; Reserve Risk'!$Z$228))</f>
        <v>9.6000000000000002E-2</v>
      </c>
      <c r="AA312" s="80"/>
      <c r="AB312" s="80"/>
      <c r="AC312" s="737">
        <f ca="1">MAX(0%,IF(U312&lt;&gt;0,MIN((W312-U312)/U312/'NSLT Health Risk'!$E$27,'Health Prem &amp; Reserve Risk'!$AC$228),'Health Prem &amp; Reserve Risk'!$AC$228))</f>
        <v>0.11</v>
      </c>
      <c r="AD312" s="81"/>
      <c r="AE312" s="53"/>
      <c r="AF312" s="53"/>
    </row>
    <row r="313" spans="1:32" ht="12.75" customHeight="1" x14ac:dyDescent="0.25">
      <c r="A313" s="53"/>
      <c r="B313" s="257">
        <v>84</v>
      </c>
      <c r="C313" s="652"/>
      <c r="D313" s="80"/>
      <c r="E313" s="80"/>
      <c r="F313" s="256">
        <f t="shared" ca="1" si="12"/>
        <v>0</v>
      </c>
      <c r="G313" s="624"/>
      <c r="H313" s="85"/>
      <c r="I313" s="624"/>
      <c r="J313" s="85"/>
      <c r="K313" s="624"/>
      <c r="L313" s="85"/>
      <c r="M313" s="624"/>
      <c r="N313" s="85"/>
      <c r="O313" s="624"/>
      <c r="P313" s="85"/>
      <c r="Q313" s="626">
        <f t="shared" si="9"/>
        <v>0</v>
      </c>
      <c r="R313" s="85"/>
      <c r="S313" s="624"/>
      <c r="T313" s="260" t="str">
        <f t="shared" si="11"/>
        <v/>
      </c>
      <c r="U313" s="624"/>
      <c r="V313" s="85"/>
      <c r="W313" s="624"/>
      <c r="X313" s="81"/>
      <c r="Y313" s="80"/>
      <c r="Z313" s="737">
        <f ca="1">MAX(0%,IF(Q313&lt;&gt;0,MIN((S313-Q313)/Q313/'NSLT Health Risk'!$E$27,'Health Prem &amp; Reserve Risk'!$Z$228),'Health Prem &amp; Reserve Risk'!$Z$228))</f>
        <v>9.6000000000000002E-2</v>
      </c>
      <c r="AA313" s="80"/>
      <c r="AB313" s="80"/>
      <c r="AC313" s="737">
        <f ca="1">MAX(0%,IF(U313&lt;&gt;0,MIN((W313-U313)/U313/'NSLT Health Risk'!$E$27,'Health Prem &amp; Reserve Risk'!$AC$228),'Health Prem &amp; Reserve Risk'!$AC$228))</f>
        <v>0.11</v>
      </c>
      <c r="AD313" s="81"/>
      <c r="AE313" s="53"/>
      <c r="AF313" s="53"/>
    </row>
    <row r="314" spans="1:32" ht="12.75" customHeight="1" x14ac:dyDescent="0.25">
      <c r="A314" s="53"/>
      <c r="B314" s="257">
        <v>85</v>
      </c>
      <c r="C314" s="652"/>
      <c r="D314" s="80"/>
      <c r="E314" s="80"/>
      <c r="F314" s="256">
        <f t="shared" ca="1" si="12"/>
        <v>0</v>
      </c>
      <c r="G314" s="624"/>
      <c r="H314" s="85"/>
      <c r="I314" s="624"/>
      <c r="J314" s="85"/>
      <c r="K314" s="624"/>
      <c r="L314" s="85"/>
      <c r="M314" s="624"/>
      <c r="N314" s="85"/>
      <c r="O314" s="624"/>
      <c r="P314" s="85"/>
      <c r="Q314" s="626">
        <f t="shared" si="9"/>
        <v>0</v>
      </c>
      <c r="R314" s="85"/>
      <c r="S314" s="624"/>
      <c r="T314" s="260" t="str">
        <f t="shared" si="11"/>
        <v/>
      </c>
      <c r="U314" s="624"/>
      <c r="V314" s="85"/>
      <c r="W314" s="624"/>
      <c r="X314" s="81"/>
      <c r="Y314" s="80"/>
      <c r="Z314" s="737">
        <f ca="1">MAX(0%,IF(Q314&lt;&gt;0,MIN((S314-Q314)/Q314/'NSLT Health Risk'!$E$27,'Health Prem &amp; Reserve Risk'!$Z$228),'Health Prem &amp; Reserve Risk'!$Z$228))</f>
        <v>9.6000000000000002E-2</v>
      </c>
      <c r="AA314" s="80"/>
      <c r="AB314" s="80"/>
      <c r="AC314" s="737">
        <f ca="1">MAX(0%,IF(U314&lt;&gt;0,MIN((W314-U314)/U314/'NSLT Health Risk'!$E$27,'Health Prem &amp; Reserve Risk'!$AC$228),'Health Prem &amp; Reserve Risk'!$AC$228))</f>
        <v>0.11</v>
      </c>
      <c r="AD314" s="81"/>
      <c r="AE314" s="53"/>
      <c r="AF314" s="53"/>
    </row>
    <row r="315" spans="1:32" ht="12.75" customHeight="1" x14ac:dyDescent="0.25">
      <c r="A315" s="53"/>
      <c r="B315" s="257">
        <v>86</v>
      </c>
      <c r="C315" s="652"/>
      <c r="D315" s="80"/>
      <c r="E315" s="80"/>
      <c r="F315" s="256">
        <f t="shared" ca="1" si="12"/>
        <v>0</v>
      </c>
      <c r="G315" s="624"/>
      <c r="H315" s="85"/>
      <c r="I315" s="624"/>
      <c r="J315" s="85"/>
      <c r="K315" s="624"/>
      <c r="L315" s="85"/>
      <c r="M315" s="624"/>
      <c r="N315" s="85"/>
      <c r="O315" s="624"/>
      <c r="P315" s="85"/>
      <c r="Q315" s="626">
        <f t="shared" si="9"/>
        <v>0</v>
      </c>
      <c r="R315" s="85"/>
      <c r="S315" s="624"/>
      <c r="T315" s="260" t="str">
        <f t="shared" si="11"/>
        <v/>
      </c>
      <c r="U315" s="624"/>
      <c r="V315" s="85"/>
      <c r="W315" s="624"/>
      <c r="X315" s="81"/>
      <c r="Y315" s="80"/>
      <c r="Z315" s="737">
        <f ca="1">MAX(0%,IF(Q315&lt;&gt;0,MIN((S315-Q315)/Q315/'NSLT Health Risk'!$E$27,'Health Prem &amp; Reserve Risk'!$Z$228),'Health Prem &amp; Reserve Risk'!$Z$228))</f>
        <v>9.6000000000000002E-2</v>
      </c>
      <c r="AA315" s="80"/>
      <c r="AB315" s="80"/>
      <c r="AC315" s="737">
        <f ca="1">MAX(0%,IF(U315&lt;&gt;0,MIN((W315-U315)/U315/'NSLT Health Risk'!$E$27,'Health Prem &amp; Reserve Risk'!$AC$228),'Health Prem &amp; Reserve Risk'!$AC$228))</f>
        <v>0.11</v>
      </c>
      <c r="AD315" s="81"/>
      <c r="AE315" s="53"/>
      <c r="AF315" s="53"/>
    </row>
    <row r="316" spans="1:32" ht="12.75" customHeight="1" x14ac:dyDescent="0.25">
      <c r="A316" s="53"/>
      <c r="B316" s="257">
        <v>87</v>
      </c>
      <c r="C316" s="652"/>
      <c r="D316" s="80"/>
      <c r="E316" s="80"/>
      <c r="F316" s="256">
        <f t="shared" ca="1" si="12"/>
        <v>0</v>
      </c>
      <c r="G316" s="624"/>
      <c r="H316" s="85"/>
      <c r="I316" s="624"/>
      <c r="J316" s="85"/>
      <c r="K316" s="624"/>
      <c r="L316" s="85"/>
      <c r="M316" s="624"/>
      <c r="N316" s="85"/>
      <c r="O316" s="624"/>
      <c r="P316" s="85"/>
      <c r="Q316" s="626">
        <f t="shared" si="9"/>
        <v>0</v>
      </c>
      <c r="R316" s="85"/>
      <c r="S316" s="624"/>
      <c r="T316" s="260" t="str">
        <f t="shared" si="11"/>
        <v/>
      </c>
      <c r="U316" s="624"/>
      <c r="V316" s="85"/>
      <c r="W316" s="624"/>
      <c r="X316" s="81"/>
      <c r="Y316" s="80"/>
      <c r="Z316" s="737">
        <f ca="1">MAX(0%,IF(Q316&lt;&gt;0,MIN((S316-Q316)/Q316/'NSLT Health Risk'!$E$27,'Health Prem &amp; Reserve Risk'!$Z$228),'Health Prem &amp; Reserve Risk'!$Z$228))</f>
        <v>9.6000000000000002E-2</v>
      </c>
      <c r="AA316" s="80"/>
      <c r="AB316" s="80"/>
      <c r="AC316" s="737">
        <f ca="1">MAX(0%,IF(U316&lt;&gt;0,MIN((W316-U316)/U316/'NSLT Health Risk'!$E$27,'Health Prem &amp; Reserve Risk'!$AC$228),'Health Prem &amp; Reserve Risk'!$AC$228))</f>
        <v>0.11</v>
      </c>
      <c r="AD316" s="81"/>
      <c r="AE316" s="53"/>
      <c r="AF316" s="53"/>
    </row>
    <row r="317" spans="1:32" ht="12.75" customHeight="1" x14ac:dyDescent="0.25">
      <c r="A317" s="53"/>
      <c r="B317" s="257">
        <v>88</v>
      </c>
      <c r="C317" s="652"/>
      <c r="D317" s="80"/>
      <c r="E317" s="80"/>
      <c r="F317" s="256">
        <f t="shared" ca="1" si="12"/>
        <v>0</v>
      </c>
      <c r="G317" s="624"/>
      <c r="H317" s="85"/>
      <c r="I317" s="624"/>
      <c r="J317" s="85"/>
      <c r="K317" s="624"/>
      <c r="L317" s="85"/>
      <c r="M317" s="624"/>
      <c r="N317" s="85"/>
      <c r="O317" s="624"/>
      <c r="P317" s="85"/>
      <c r="Q317" s="626">
        <f t="shared" si="9"/>
        <v>0</v>
      </c>
      <c r="R317" s="85"/>
      <c r="S317" s="624"/>
      <c r="T317" s="260" t="str">
        <f t="shared" si="11"/>
        <v/>
      </c>
      <c r="U317" s="624"/>
      <c r="V317" s="85"/>
      <c r="W317" s="624"/>
      <c r="X317" s="81"/>
      <c r="Y317" s="80"/>
      <c r="Z317" s="737">
        <f ca="1">MAX(0%,IF(Q317&lt;&gt;0,MIN((S317-Q317)/Q317/'NSLT Health Risk'!$E$27,'Health Prem &amp; Reserve Risk'!$Z$228),'Health Prem &amp; Reserve Risk'!$Z$228))</f>
        <v>9.6000000000000002E-2</v>
      </c>
      <c r="AA317" s="80"/>
      <c r="AB317" s="80"/>
      <c r="AC317" s="737">
        <f ca="1">MAX(0%,IF(U317&lt;&gt;0,MIN((W317-U317)/U317/'NSLT Health Risk'!$E$27,'Health Prem &amp; Reserve Risk'!$AC$228),'Health Prem &amp; Reserve Risk'!$AC$228))</f>
        <v>0.11</v>
      </c>
      <c r="AD317" s="81"/>
      <c r="AE317" s="53"/>
      <c r="AF317" s="53"/>
    </row>
    <row r="318" spans="1:32" ht="12.75" customHeight="1" x14ac:dyDescent="0.25">
      <c r="A318" s="53"/>
      <c r="B318" s="257">
        <v>89</v>
      </c>
      <c r="C318" s="652"/>
      <c r="D318" s="80"/>
      <c r="E318" s="80"/>
      <c r="F318" s="256">
        <f t="shared" ca="1" si="12"/>
        <v>0</v>
      </c>
      <c r="G318" s="624"/>
      <c r="H318" s="85"/>
      <c r="I318" s="624"/>
      <c r="J318" s="85"/>
      <c r="K318" s="624"/>
      <c r="L318" s="85"/>
      <c r="M318" s="624"/>
      <c r="N318" s="85"/>
      <c r="O318" s="624"/>
      <c r="P318" s="85"/>
      <c r="Q318" s="626">
        <f t="shared" si="9"/>
        <v>0</v>
      </c>
      <c r="R318" s="85"/>
      <c r="S318" s="624"/>
      <c r="T318" s="260" t="str">
        <f t="shared" si="11"/>
        <v/>
      </c>
      <c r="U318" s="624"/>
      <c r="V318" s="85"/>
      <c r="W318" s="624"/>
      <c r="X318" s="81"/>
      <c r="Y318" s="80"/>
      <c r="Z318" s="737">
        <f ca="1">MAX(0%,IF(Q318&lt;&gt;0,MIN((S318-Q318)/Q318/'NSLT Health Risk'!$E$27,'Health Prem &amp; Reserve Risk'!$Z$228),'Health Prem &amp; Reserve Risk'!$Z$228))</f>
        <v>9.6000000000000002E-2</v>
      </c>
      <c r="AA318" s="80"/>
      <c r="AB318" s="80"/>
      <c r="AC318" s="737">
        <f ca="1">MAX(0%,IF(U318&lt;&gt;0,MIN((W318-U318)/U318/'NSLT Health Risk'!$E$27,'Health Prem &amp; Reserve Risk'!$AC$228),'Health Prem &amp; Reserve Risk'!$AC$228))</f>
        <v>0.11</v>
      </c>
      <c r="AD318" s="81"/>
      <c r="AE318" s="53"/>
      <c r="AF318" s="53"/>
    </row>
    <row r="319" spans="1:32" ht="12.75" customHeight="1" x14ac:dyDescent="0.25">
      <c r="A319" s="53"/>
      <c r="B319" s="257">
        <v>90</v>
      </c>
      <c r="C319" s="652"/>
      <c r="D319" s="80"/>
      <c r="E319" s="80"/>
      <c r="F319" s="256">
        <f t="shared" ca="1" si="12"/>
        <v>0</v>
      </c>
      <c r="G319" s="624"/>
      <c r="H319" s="85"/>
      <c r="I319" s="624"/>
      <c r="J319" s="85"/>
      <c r="K319" s="624"/>
      <c r="L319" s="85"/>
      <c r="M319" s="624"/>
      <c r="N319" s="85"/>
      <c r="O319" s="624"/>
      <c r="P319" s="85"/>
      <c r="Q319" s="626">
        <f t="shared" si="9"/>
        <v>0</v>
      </c>
      <c r="R319" s="85"/>
      <c r="S319" s="624"/>
      <c r="T319" s="260" t="str">
        <f t="shared" si="11"/>
        <v/>
      </c>
      <c r="U319" s="624"/>
      <c r="V319" s="85"/>
      <c r="W319" s="624"/>
      <c r="X319" s="81"/>
      <c r="Y319" s="80"/>
      <c r="Z319" s="737">
        <f ca="1">MAX(0%,IF(Q319&lt;&gt;0,MIN((S319-Q319)/Q319/'NSLT Health Risk'!$E$27,'Health Prem &amp; Reserve Risk'!$Z$228),'Health Prem &amp; Reserve Risk'!$Z$228))</f>
        <v>9.6000000000000002E-2</v>
      </c>
      <c r="AA319" s="80"/>
      <c r="AB319" s="80"/>
      <c r="AC319" s="737">
        <f ca="1">MAX(0%,IF(U319&lt;&gt;0,MIN((W319-U319)/U319/'NSLT Health Risk'!$E$27,'Health Prem &amp; Reserve Risk'!$AC$228),'Health Prem &amp; Reserve Risk'!$AC$228))</f>
        <v>0.11</v>
      </c>
      <c r="AD319" s="81"/>
      <c r="AE319" s="53"/>
      <c r="AF319" s="53"/>
    </row>
    <row r="320" spans="1:32" ht="12.75" customHeight="1" x14ac:dyDescent="0.25">
      <c r="A320" s="53"/>
      <c r="B320" s="257">
        <v>91</v>
      </c>
      <c r="C320" s="652"/>
      <c r="D320" s="80"/>
      <c r="E320" s="80"/>
      <c r="F320" s="256">
        <f t="shared" ca="1" si="12"/>
        <v>0</v>
      </c>
      <c r="G320" s="624"/>
      <c r="H320" s="85"/>
      <c r="I320" s="624"/>
      <c r="J320" s="85"/>
      <c r="K320" s="624"/>
      <c r="L320" s="85"/>
      <c r="M320" s="624"/>
      <c r="N320" s="85"/>
      <c r="O320" s="624"/>
      <c r="P320" s="85"/>
      <c r="Q320" s="626">
        <f t="shared" si="9"/>
        <v>0</v>
      </c>
      <c r="R320" s="85"/>
      <c r="S320" s="624"/>
      <c r="T320" s="260" t="str">
        <f t="shared" si="11"/>
        <v/>
      </c>
      <c r="U320" s="624"/>
      <c r="V320" s="85"/>
      <c r="W320" s="624"/>
      <c r="X320" s="81"/>
      <c r="Y320" s="80"/>
      <c r="Z320" s="737">
        <f ca="1">MAX(0%,IF(Q320&lt;&gt;0,MIN((S320-Q320)/Q320/'NSLT Health Risk'!$E$27,'Health Prem &amp; Reserve Risk'!$Z$228),'Health Prem &amp; Reserve Risk'!$Z$228))</f>
        <v>9.6000000000000002E-2</v>
      </c>
      <c r="AA320" s="80"/>
      <c r="AB320" s="80"/>
      <c r="AC320" s="737">
        <f ca="1">MAX(0%,IF(U320&lt;&gt;0,MIN((W320-U320)/U320/'NSLT Health Risk'!$E$27,'Health Prem &amp; Reserve Risk'!$AC$228),'Health Prem &amp; Reserve Risk'!$AC$228))</f>
        <v>0.11</v>
      </c>
      <c r="AD320" s="81"/>
      <c r="AE320" s="53"/>
      <c r="AF320" s="53"/>
    </row>
    <row r="321" spans="1:32" ht="12.75" customHeight="1" x14ac:dyDescent="0.25">
      <c r="A321" s="53"/>
      <c r="B321" s="257">
        <v>92</v>
      </c>
      <c r="C321" s="652"/>
      <c r="D321" s="80"/>
      <c r="E321" s="80"/>
      <c r="F321" s="256">
        <f t="shared" ca="1" si="12"/>
        <v>0</v>
      </c>
      <c r="G321" s="624"/>
      <c r="H321" s="85"/>
      <c r="I321" s="624"/>
      <c r="J321" s="85"/>
      <c r="K321" s="624"/>
      <c r="L321" s="85"/>
      <c r="M321" s="624"/>
      <c r="N321" s="85"/>
      <c r="O321" s="624"/>
      <c r="P321" s="85"/>
      <c r="Q321" s="626">
        <f t="shared" si="9"/>
        <v>0</v>
      </c>
      <c r="R321" s="85"/>
      <c r="S321" s="624"/>
      <c r="T321" s="260" t="str">
        <f t="shared" si="11"/>
        <v/>
      </c>
      <c r="U321" s="624"/>
      <c r="V321" s="85"/>
      <c r="W321" s="624"/>
      <c r="X321" s="81"/>
      <c r="Y321" s="80"/>
      <c r="Z321" s="737">
        <f ca="1">MAX(0%,IF(Q321&lt;&gt;0,MIN((S321-Q321)/Q321/'NSLT Health Risk'!$E$27,'Health Prem &amp; Reserve Risk'!$Z$228),'Health Prem &amp; Reserve Risk'!$Z$228))</f>
        <v>9.6000000000000002E-2</v>
      </c>
      <c r="AA321" s="80"/>
      <c r="AB321" s="80"/>
      <c r="AC321" s="737">
        <f ca="1">MAX(0%,IF(U321&lt;&gt;0,MIN((W321-U321)/U321/'NSLT Health Risk'!$E$27,'Health Prem &amp; Reserve Risk'!$AC$228),'Health Prem &amp; Reserve Risk'!$AC$228))</f>
        <v>0.11</v>
      </c>
      <c r="AD321" s="81"/>
      <c r="AE321" s="53"/>
      <c r="AF321" s="53"/>
    </row>
    <row r="322" spans="1:32" ht="12.75" customHeight="1" x14ac:dyDescent="0.25">
      <c r="A322" s="53"/>
      <c r="B322" s="257">
        <v>93</v>
      </c>
      <c r="C322" s="652"/>
      <c r="D322" s="80"/>
      <c r="E322" s="80"/>
      <c r="F322" s="256">
        <f t="shared" ca="1" si="12"/>
        <v>0</v>
      </c>
      <c r="G322" s="624"/>
      <c r="H322" s="85"/>
      <c r="I322" s="624"/>
      <c r="J322" s="85"/>
      <c r="K322" s="624"/>
      <c r="L322" s="85"/>
      <c r="M322" s="624"/>
      <c r="N322" s="85"/>
      <c r="O322" s="624"/>
      <c r="P322" s="85"/>
      <c r="Q322" s="626">
        <f t="shared" si="9"/>
        <v>0</v>
      </c>
      <c r="R322" s="85"/>
      <c r="S322" s="624"/>
      <c r="T322" s="260" t="str">
        <f t="shared" si="11"/>
        <v/>
      </c>
      <c r="U322" s="624"/>
      <c r="V322" s="85"/>
      <c r="W322" s="624"/>
      <c r="X322" s="81"/>
      <c r="Y322" s="80"/>
      <c r="Z322" s="737">
        <f ca="1">MAX(0%,IF(Q322&lt;&gt;0,MIN((S322-Q322)/Q322/'NSLT Health Risk'!$E$27,'Health Prem &amp; Reserve Risk'!$Z$228),'Health Prem &amp; Reserve Risk'!$Z$228))</f>
        <v>9.6000000000000002E-2</v>
      </c>
      <c r="AA322" s="80"/>
      <c r="AB322" s="80"/>
      <c r="AC322" s="737">
        <f ca="1">MAX(0%,IF(U322&lt;&gt;0,MIN((W322-U322)/U322/'NSLT Health Risk'!$E$27,'Health Prem &amp; Reserve Risk'!$AC$228),'Health Prem &amp; Reserve Risk'!$AC$228))</f>
        <v>0.11</v>
      </c>
      <c r="AD322" s="81"/>
      <c r="AE322" s="53"/>
      <c r="AF322" s="53"/>
    </row>
    <row r="323" spans="1:32" ht="12.75" customHeight="1" x14ac:dyDescent="0.25">
      <c r="A323" s="53"/>
      <c r="B323" s="257">
        <v>94</v>
      </c>
      <c r="C323" s="652"/>
      <c r="D323" s="80"/>
      <c r="E323" s="80"/>
      <c r="F323" s="256">
        <f t="shared" ca="1" si="12"/>
        <v>0</v>
      </c>
      <c r="G323" s="624"/>
      <c r="H323" s="85"/>
      <c r="I323" s="624"/>
      <c r="J323" s="85"/>
      <c r="K323" s="624"/>
      <c r="L323" s="85"/>
      <c r="M323" s="624"/>
      <c r="N323" s="85"/>
      <c r="O323" s="624"/>
      <c r="P323" s="85"/>
      <c r="Q323" s="626">
        <f t="shared" si="9"/>
        <v>0</v>
      </c>
      <c r="R323" s="85"/>
      <c r="S323" s="624"/>
      <c r="T323" s="260" t="str">
        <f t="shared" si="11"/>
        <v/>
      </c>
      <c r="U323" s="624"/>
      <c r="V323" s="85"/>
      <c r="W323" s="624"/>
      <c r="X323" s="81"/>
      <c r="Y323" s="80"/>
      <c r="Z323" s="737">
        <f ca="1">MAX(0%,IF(Q323&lt;&gt;0,MIN((S323-Q323)/Q323/'NSLT Health Risk'!$E$27,'Health Prem &amp; Reserve Risk'!$Z$228),'Health Prem &amp; Reserve Risk'!$Z$228))</f>
        <v>9.6000000000000002E-2</v>
      </c>
      <c r="AA323" s="80"/>
      <c r="AB323" s="80"/>
      <c r="AC323" s="737">
        <f ca="1">MAX(0%,IF(U323&lt;&gt;0,MIN((W323-U323)/U323/'NSLT Health Risk'!$E$27,'Health Prem &amp; Reserve Risk'!$AC$228),'Health Prem &amp; Reserve Risk'!$AC$228))</f>
        <v>0.11</v>
      </c>
      <c r="AD323" s="81"/>
      <c r="AE323" s="53"/>
      <c r="AF323" s="53"/>
    </row>
    <row r="324" spans="1:32" ht="12.75" customHeight="1" x14ac:dyDescent="0.25">
      <c r="A324" s="53"/>
      <c r="B324" s="257">
        <v>95</v>
      </c>
      <c r="C324" s="652"/>
      <c r="D324" s="80"/>
      <c r="E324" s="80"/>
      <c r="F324" s="256">
        <f t="shared" ca="1" si="12"/>
        <v>0</v>
      </c>
      <c r="G324" s="624"/>
      <c r="H324" s="85"/>
      <c r="I324" s="624"/>
      <c r="J324" s="85"/>
      <c r="K324" s="624"/>
      <c r="L324" s="85"/>
      <c r="M324" s="624"/>
      <c r="N324" s="85"/>
      <c r="O324" s="624"/>
      <c r="P324" s="85"/>
      <c r="Q324" s="626">
        <f t="shared" si="9"/>
        <v>0</v>
      </c>
      <c r="R324" s="85"/>
      <c r="S324" s="624"/>
      <c r="T324" s="260" t="str">
        <f t="shared" si="11"/>
        <v/>
      </c>
      <c r="U324" s="624"/>
      <c r="V324" s="85"/>
      <c r="W324" s="624"/>
      <c r="X324" s="81"/>
      <c r="Y324" s="80"/>
      <c r="Z324" s="737">
        <f ca="1">MAX(0%,IF(Q324&lt;&gt;0,MIN((S324-Q324)/Q324/'NSLT Health Risk'!$E$27,'Health Prem &amp; Reserve Risk'!$Z$228),'Health Prem &amp; Reserve Risk'!$Z$228))</f>
        <v>9.6000000000000002E-2</v>
      </c>
      <c r="AA324" s="80"/>
      <c r="AB324" s="80"/>
      <c r="AC324" s="737">
        <f ca="1">MAX(0%,IF(U324&lt;&gt;0,MIN((W324-U324)/U324/'NSLT Health Risk'!$E$27,'Health Prem &amp; Reserve Risk'!$AC$228),'Health Prem &amp; Reserve Risk'!$AC$228))</f>
        <v>0.11</v>
      </c>
      <c r="AD324" s="81"/>
      <c r="AE324" s="53"/>
      <c r="AF324" s="53"/>
    </row>
    <row r="325" spans="1:32" ht="12.75" customHeight="1" x14ac:dyDescent="0.25">
      <c r="A325" s="53"/>
      <c r="B325" s="257">
        <v>96</v>
      </c>
      <c r="C325" s="652"/>
      <c r="D325" s="80"/>
      <c r="E325" s="80"/>
      <c r="F325" s="256">
        <f t="shared" ca="1" si="12"/>
        <v>0</v>
      </c>
      <c r="G325" s="624"/>
      <c r="H325" s="85"/>
      <c r="I325" s="624"/>
      <c r="J325" s="85"/>
      <c r="K325" s="624"/>
      <c r="L325" s="85"/>
      <c r="M325" s="624"/>
      <c r="N325" s="85"/>
      <c r="O325" s="624"/>
      <c r="P325" s="85"/>
      <c r="Q325" s="626">
        <f t="shared" si="9"/>
        <v>0</v>
      </c>
      <c r="R325" s="85"/>
      <c r="S325" s="624"/>
      <c r="T325" s="260" t="str">
        <f t="shared" si="11"/>
        <v/>
      </c>
      <c r="U325" s="624"/>
      <c r="V325" s="85"/>
      <c r="W325" s="624"/>
      <c r="X325" s="81"/>
      <c r="Y325" s="80"/>
      <c r="Z325" s="737">
        <f ca="1">MAX(0%,IF(Q325&lt;&gt;0,MIN((S325-Q325)/Q325/'NSLT Health Risk'!$E$27,'Health Prem &amp; Reserve Risk'!$Z$228),'Health Prem &amp; Reserve Risk'!$Z$228))</f>
        <v>9.6000000000000002E-2</v>
      </c>
      <c r="AA325" s="80"/>
      <c r="AB325" s="80"/>
      <c r="AC325" s="737">
        <f ca="1">MAX(0%,IF(U325&lt;&gt;0,MIN((W325-U325)/U325/'NSLT Health Risk'!$E$27,'Health Prem &amp; Reserve Risk'!$AC$228),'Health Prem &amp; Reserve Risk'!$AC$228))</f>
        <v>0.11</v>
      </c>
      <c r="AD325" s="81"/>
      <c r="AE325" s="53"/>
      <c r="AF325" s="53"/>
    </row>
    <row r="326" spans="1:32" ht="12.75" customHeight="1" x14ac:dyDescent="0.25">
      <c r="A326" s="53"/>
      <c r="B326" s="257">
        <v>97</v>
      </c>
      <c r="C326" s="652"/>
      <c r="D326" s="80"/>
      <c r="E326" s="80"/>
      <c r="F326" s="256">
        <f t="shared" ca="1" si="12"/>
        <v>0</v>
      </c>
      <c r="G326" s="624"/>
      <c r="H326" s="85"/>
      <c r="I326" s="624"/>
      <c r="J326" s="85"/>
      <c r="K326" s="624"/>
      <c r="L326" s="85"/>
      <c r="M326" s="624"/>
      <c r="N326" s="85"/>
      <c r="O326" s="624"/>
      <c r="P326" s="85"/>
      <c r="Q326" s="626">
        <f t="shared" si="9"/>
        <v>0</v>
      </c>
      <c r="R326" s="85"/>
      <c r="S326" s="624"/>
      <c r="T326" s="260" t="str">
        <f t="shared" si="11"/>
        <v/>
      </c>
      <c r="U326" s="624"/>
      <c r="V326" s="85"/>
      <c r="W326" s="624"/>
      <c r="X326" s="81"/>
      <c r="Y326" s="80"/>
      <c r="Z326" s="737">
        <f ca="1">MAX(0%,IF(Q326&lt;&gt;0,MIN((S326-Q326)/Q326/'NSLT Health Risk'!$E$27,'Health Prem &amp; Reserve Risk'!$Z$228),'Health Prem &amp; Reserve Risk'!$Z$228))</f>
        <v>9.6000000000000002E-2</v>
      </c>
      <c r="AA326" s="80"/>
      <c r="AB326" s="80"/>
      <c r="AC326" s="737">
        <f ca="1">MAX(0%,IF(U326&lt;&gt;0,MIN((W326-U326)/U326/'NSLT Health Risk'!$E$27,'Health Prem &amp; Reserve Risk'!$AC$228),'Health Prem &amp; Reserve Risk'!$AC$228))</f>
        <v>0.11</v>
      </c>
      <c r="AD326" s="81"/>
      <c r="AE326" s="53"/>
      <c r="AF326" s="53"/>
    </row>
    <row r="327" spans="1:32" ht="12.75" customHeight="1" x14ac:dyDescent="0.25">
      <c r="A327" s="53"/>
      <c r="B327" s="257">
        <v>98</v>
      </c>
      <c r="C327" s="652"/>
      <c r="D327" s="80"/>
      <c r="E327" s="80"/>
      <c r="F327" s="256">
        <f t="shared" ca="1" si="12"/>
        <v>0</v>
      </c>
      <c r="G327" s="624"/>
      <c r="H327" s="85"/>
      <c r="I327" s="624"/>
      <c r="J327" s="85"/>
      <c r="K327" s="624"/>
      <c r="L327" s="85"/>
      <c r="M327" s="624"/>
      <c r="N327" s="85"/>
      <c r="O327" s="624"/>
      <c r="P327" s="85"/>
      <c r="Q327" s="626">
        <f t="shared" si="9"/>
        <v>0</v>
      </c>
      <c r="R327" s="85"/>
      <c r="S327" s="624"/>
      <c r="T327" s="260" t="str">
        <f t="shared" si="11"/>
        <v/>
      </c>
      <c r="U327" s="624"/>
      <c r="V327" s="85"/>
      <c r="W327" s="624"/>
      <c r="X327" s="81"/>
      <c r="Y327" s="80"/>
      <c r="Z327" s="737">
        <f ca="1">MAX(0%,IF(Q327&lt;&gt;0,MIN((S327-Q327)/Q327/'NSLT Health Risk'!$E$27,'Health Prem &amp; Reserve Risk'!$Z$228),'Health Prem &amp; Reserve Risk'!$Z$228))</f>
        <v>9.6000000000000002E-2</v>
      </c>
      <c r="AA327" s="80"/>
      <c r="AB327" s="80"/>
      <c r="AC327" s="737">
        <f ca="1">MAX(0%,IF(U327&lt;&gt;0,MIN((W327-U327)/U327/'NSLT Health Risk'!$E$27,'Health Prem &amp; Reserve Risk'!$AC$228),'Health Prem &amp; Reserve Risk'!$AC$228))</f>
        <v>0.11</v>
      </c>
      <c r="AD327" s="81"/>
      <c r="AE327" s="53"/>
      <c r="AF327" s="53"/>
    </row>
    <row r="328" spans="1:32" ht="12.75" customHeight="1" x14ac:dyDescent="0.25">
      <c r="A328" s="53"/>
      <c r="B328" s="257">
        <v>99</v>
      </c>
      <c r="C328" s="652"/>
      <c r="D328" s="80"/>
      <c r="E328" s="80"/>
      <c r="F328" s="256">
        <f t="shared" ca="1" si="12"/>
        <v>0</v>
      </c>
      <c r="G328" s="624"/>
      <c r="H328" s="85"/>
      <c r="I328" s="624"/>
      <c r="J328" s="85"/>
      <c r="K328" s="624"/>
      <c r="L328" s="85"/>
      <c r="M328" s="624"/>
      <c r="N328" s="85"/>
      <c r="O328" s="624"/>
      <c r="P328" s="85"/>
      <c r="Q328" s="626">
        <f t="shared" si="9"/>
        <v>0</v>
      </c>
      <c r="R328" s="85"/>
      <c r="S328" s="624"/>
      <c r="T328" s="260" t="str">
        <f t="shared" si="11"/>
        <v/>
      </c>
      <c r="U328" s="624"/>
      <c r="V328" s="85"/>
      <c r="W328" s="624"/>
      <c r="X328" s="81"/>
      <c r="Y328" s="80"/>
      <c r="Z328" s="737">
        <f ca="1">MAX(0%,IF(Q328&lt;&gt;0,MIN((S328-Q328)/Q328/'NSLT Health Risk'!$E$27,'Health Prem &amp; Reserve Risk'!$Z$228),'Health Prem &amp; Reserve Risk'!$Z$228))</f>
        <v>9.6000000000000002E-2</v>
      </c>
      <c r="AA328" s="80"/>
      <c r="AB328" s="80"/>
      <c r="AC328" s="737">
        <f ca="1">MAX(0%,IF(U328&lt;&gt;0,MIN((W328-U328)/U328/'NSLT Health Risk'!$E$27,'Health Prem &amp; Reserve Risk'!$AC$228),'Health Prem &amp; Reserve Risk'!$AC$228))</f>
        <v>0.11</v>
      </c>
      <c r="AD328" s="81"/>
      <c r="AE328" s="53"/>
      <c r="AF328" s="53"/>
    </row>
    <row r="329" spans="1:32" ht="12.75" customHeight="1" x14ac:dyDescent="0.25">
      <c r="A329" s="53"/>
      <c r="B329" s="257">
        <v>100</v>
      </c>
      <c r="C329" s="652"/>
      <c r="D329" s="80"/>
      <c r="E329" s="80"/>
      <c r="F329" s="256">
        <f t="shared" ca="1" si="12"/>
        <v>0</v>
      </c>
      <c r="G329" s="624"/>
      <c r="H329" s="85"/>
      <c r="I329" s="624"/>
      <c r="J329" s="85"/>
      <c r="K329" s="624"/>
      <c r="L329" s="85"/>
      <c r="M329" s="624"/>
      <c r="N329" s="85"/>
      <c r="O329" s="624"/>
      <c r="P329" s="85"/>
      <c r="Q329" s="626">
        <f t="shared" si="9"/>
        <v>0</v>
      </c>
      <c r="R329" s="85"/>
      <c r="S329" s="624"/>
      <c r="T329" s="260" t="str">
        <f t="shared" si="11"/>
        <v/>
      </c>
      <c r="U329" s="624"/>
      <c r="V329" s="85"/>
      <c r="W329" s="624"/>
      <c r="X329" s="81"/>
      <c r="Y329" s="80"/>
      <c r="Z329" s="737">
        <f ca="1">MAX(0%,IF(Q329&lt;&gt;0,MIN((S329-Q329)/Q329/'NSLT Health Risk'!$E$27,'Health Prem &amp; Reserve Risk'!$Z$228),'Health Prem &amp; Reserve Risk'!$Z$228))</f>
        <v>9.6000000000000002E-2</v>
      </c>
      <c r="AA329" s="80"/>
      <c r="AB329" s="80"/>
      <c r="AC329" s="737">
        <f ca="1">MAX(0%,IF(U329&lt;&gt;0,MIN((W329-U329)/U329/'NSLT Health Risk'!$E$27,'Health Prem &amp; Reserve Risk'!$AC$228),'Health Prem &amp; Reserve Risk'!$AC$228))</f>
        <v>0.11</v>
      </c>
      <c r="AD329" s="81"/>
      <c r="AE329" s="53"/>
      <c r="AF329" s="53"/>
    </row>
    <row r="330" spans="1:32" ht="6" customHeight="1" thickBot="1" x14ac:dyDescent="0.3">
      <c r="A330" s="53"/>
      <c r="B330" s="110"/>
      <c r="C330" s="93"/>
      <c r="D330" s="93"/>
      <c r="E330" s="93"/>
      <c r="F330" s="272">
        <f ca="1">IF(OFFSET($Z$8,$B$227-10,0)=0,1,0)</f>
        <v>0</v>
      </c>
      <c r="G330" s="134"/>
      <c r="H330" s="134"/>
      <c r="I330" s="134"/>
      <c r="J330" s="134"/>
      <c r="K330" s="134"/>
      <c r="L330" s="134"/>
      <c r="M330" s="134"/>
      <c r="N330" s="134"/>
      <c r="O330" s="134"/>
      <c r="P330" s="134"/>
      <c r="Q330" s="134"/>
      <c r="R330" s="134"/>
      <c r="S330" s="134"/>
      <c r="T330" s="134"/>
      <c r="U330" s="134"/>
      <c r="V330" s="134"/>
      <c r="W330" s="134"/>
      <c r="X330" s="94"/>
      <c r="Y330" s="93"/>
      <c r="Z330" s="93"/>
      <c r="AA330" s="93"/>
      <c r="AB330" s="93"/>
      <c r="AC330" s="93"/>
      <c r="AD330" s="94"/>
      <c r="AE330" s="53"/>
      <c r="AF330" s="53"/>
    </row>
    <row r="331" spans="1:32" ht="16.5" thickBot="1" x14ac:dyDescent="0.3">
      <c r="A331" s="53"/>
      <c r="B331" s="53"/>
      <c r="C331" s="53"/>
      <c r="D331" s="53"/>
      <c r="E331" s="53"/>
      <c r="F331" s="53"/>
      <c r="G331" s="109"/>
      <c r="H331" s="109"/>
      <c r="I331" s="109"/>
      <c r="J331" s="109"/>
      <c r="K331" s="109"/>
      <c r="L331" s="109"/>
      <c r="M331" s="109"/>
      <c r="N331" s="109"/>
      <c r="O331" s="109"/>
      <c r="P331" s="109"/>
      <c r="Q331" s="109"/>
      <c r="R331" s="109"/>
      <c r="S331" s="109"/>
      <c r="T331" s="109"/>
      <c r="U331" s="109"/>
      <c r="V331" s="109"/>
      <c r="W331" s="109"/>
      <c r="X331" s="53"/>
      <c r="Y331" s="53"/>
      <c r="Z331" s="53"/>
      <c r="AA331" s="53"/>
      <c r="AB331" s="53"/>
      <c r="AC331" s="53"/>
      <c r="AD331" s="53"/>
      <c r="AE331" s="53"/>
      <c r="AF331" s="53"/>
    </row>
    <row r="332" spans="1:32" ht="48" thickBot="1" x14ac:dyDescent="0.3">
      <c r="A332" s="53"/>
      <c r="B332" s="126">
        <v>28</v>
      </c>
      <c r="C332" s="126" t="str">
        <f ca="1">RIGHT(OFFSET($B$8,B332-25,0),LEN(OFFSET($B$8,B332-25,0))-5)</f>
        <v xml:space="preserve"> Non-prop. reinsurance - Health</v>
      </c>
      <c r="D332" s="127"/>
      <c r="E332" s="127"/>
      <c r="F332" s="127"/>
      <c r="G332" s="127"/>
      <c r="H332" s="127"/>
      <c r="I332" s="127"/>
      <c r="J332" s="127"/>
      <c r="K332" s="127"/>
      <c r="L332" s="127"/>
      <c r="M332" s="127"/>
      <c r="N332" s="127"/>
      <c r="O332" s="127"/>
      <c r="P332" s="127"/>
      <c r="Q332" s="127"/>
      <c r="R332" s="127"/>
      <c r="S332" s="127"/>
      <c r="T332" s="127"/>
      <c r="U332" s="127"/>
      <c r="V332" s="127"/>
      <c r="W332" s="127"/>
      <c r="X332" s="128"/>
      <c r="Y332" s="127"/>
      <c r="Z332" s="745" t="s">
        <v>458</v>
      </c>
      <c r="AA332" s="250"/>
      <c r="AB332" s="250"/>
      <c r="AC332" s="250" t="s">
        <v>459</v>
      </c>
      <c r="AD332" s="177"/>
      <c r="AE332" s="53"/>
      <c r="AF332" s="53"/>
    </row>
    <row r="333" spans="1:32" ht="129.75" thickBot="1" x14ac:dyDescent="0.3">
      <c r="A333" s="53"/>
      <c r="B333" s="147"/>
      <c r="C333" s="253" t="s">
        <v>517</v>
      </c>
      <c r="D333" s="237"/>
      <c r="E333" s="237"/>
      <c r="F333" s="254">
        <f ca="1">IF(OFFSET($Z$8,B332-25,0)=0,1,0)</f>
        <v>0</v>
      </c>
      <c r="G333" s="794" t="s">
        <v>1130</v>
      </c>
      <c r="H333" s="270"/>
      <c r="I333" s="271" t="s">
        <v>438</v>
      </c>
      <c r="J333" s="271"/>
      <c r="K333" s="271" t="s">
        <v>439</v>
      </c>
      <c r="L333" s="271"/>
      <c r="M333" s="271" t="s">
        <v>1131</v>
      </c>
      <c r="N333" s="271"/>
      <c r="O333" s="271" t="s">
        <v>1132</v>
      </c>
      <c r="P333" s="237"/>
      <c r="Q333" s="237" t="s">
        <v>440</v>
      </c>
      <c r="R333" s="237"/>
      <c r="S333" s="237" t="s">
        <v>461</v>
      </c>
      <c r="T333" s="237"/>
      <c r="U333" s="237" t="s">
        <v>463</v>
      </c>
      <c r="V333" s="237"/>
      <c r="W333" s="237" t="s">
        <v>464</v>
      </c>
      <c r="X333" s="238"/>
      <c r="Y333" s="237"/>
      <c r="Z333" s="255">
        <f ca="1">OFFSET('NSLT Health Risk'!J54,'Health Prem &amp; Reserve Risk'!B332-25,0)</f>
        <v>0.17</v>
      </c>
      <c r="AA333" s="237"/>
      <c r="AB333" s="237"/>
      <c r="AC333" s="255">
        <f ca="1">OFFSET('NSLT Health Risk'!L54,'Health Prem &amp; Reserve Risk'!B332-25,0)</f>
        <v>0.17</v>
      </c>
      <c r="AD333" s="744"/>
      <c r="AE333" s="53"/>
      <c r="AF333" s="53"/>
    </row>
    <row r="334" spans="1:32" ht="6" customHeight="1" x14ac:dyDescent="0.25">
      <c r="A334" s="53"/>
      <c r="B334" s="106"/>
      <c r="C334" s="80"/>
      <c r="D334" s="80"/>
      <c r="E334" s="80"/>
      <c r="F334" s="256">
        <f ca="1">IF(OFFSET($Z$8,$B$332-25,0)=0,1,0)</f>
        <v>0</v>
      </c>
      <c r="G334" s="85"/>
      <c r="H334" s="85"/>
      <c r="I334" s="85"/>
      <c r="J334" s="85"/>
      <c r="K334" s="85"/>
      <c r="L334" s="85"/>
      <c r="M334" s="85"/>
      <c r="N334" s="85"/>
      <c r="O334" s="85"/>
      <c r="P334" s="85"/>
      <c r="Q334" s="85"/>
      <c r="R334" s="85"/>
      <c r="S334" s="85"/>
      <c r="T334" s="85"/>
      <c r="U334" s="85"/>
      <c r="V334" s="85"/>
      <c r="W334" s="85"/>
      <c r="X334" s="81"/>
      <c r="Y334" s="80"/>
      <c r="Z334" s="80"/>
      <c r="AA334" s="80"/>
      <c r="AB334" s="80"/>
      <c r="AC334" s="80"/>
      <c r="AD334" s="81"/>
      <c r="AE334" s="53"/>
      <c r="AF334" s="53"/>
    </row>
    <row r="335" spans="1:32" ht="12.75" customHeight="1" x14ac:dyDescent="0.25">
      <c r="A335" s="53"/>
      <c r="B335" s="257">
        <v>1</v>
      </c>
      <c r="C335" s="652"/>
      <c r="D335" s="80"/>
      <c r="E335" s="80"/>
      <c r="F335" s="256">
        <f ca="1">IF(B335&lt;=OFFSET($Z$8,B$332-25,0),0,1)</f>
        <v>0</v>
      </c>
      <c r="G335" s="624"/>
      <c r="H335" s="85"/>
      <c r="I335" s="624"/>
      <c r="J335" s="85"/>
      <c r="K335" s="624"/>
      <c r="L335" s="85"/>
      <c r="M335" s="624"/>
      <c r="N335" s="85"/>
      <c r="O335" s="624"/>
      <c r="P335" s="85"/>
      <c r="Q335" s="626">
        <f t="shared" ref="Q335:Q434" si="13">MAX(G335,I335)+K335+M335+0.3*O335</f>
        <v>0</v>
      </c>
      <c r="R335" s="85"/>
      <c r="S335" s="624"/>
      <c r="T335" s="260"/>
      <c r="U335" s="624"/>
      <c r="V335" s="85"/>
      <c r="W335" s="624"/>
      <c r="X335" s="81"/>
      <c r="Y335" s="80"/>
      <c r="Z335" s="737">
        <f ca="1">MAX(0%,IF(Q335&lt;&gt;0,MIN((S335-Q335)/Q335/'NSLT Health Risk'!$E$27,'Health Prem &amp; Reserve Risk'!$Z$333),'Health Prem &amp; Reserve Risk'!$Z$333))</f>
        <v>0.17</v>
      </c>
      <c r="AA335" s="80"/>
      <c r="AB335" s="80"/>
      <c r="AC335" s="737">
        <f ca="1">MAX(0%,IF(U335&lt;&gt;0,MIN((W335-U335)/U335/'NSLT Health Risk'!$E$27,'Health Prem &amp; Reserve Risk'!$AC$333),'Health Prem &amp; Reserve Risk'!$AC$333))</f>
        <v>0.17</v>
      </c>
      <c r="AD335" s="81"/>
      <c r="AE335" s="53"/>
      <c r="AF335" s="53"/>
    </row>
    <row r="336" spans="1:32" ht="12.75" customHeight="1" x14ac:dyDescent="0.25">
      <c r="A336" s="53"/>
      <c r="B336" s="257">
        <v>2</v>
      </c>
      <c r="C336" s="652"/>
      <c r="D336" s="80"/>
      <c r="E336" s="80"/>
      <c r="F336" s="256">
        <f t="shared" ref="F336:F399" ca="1" si="14">IF(B336&lt;=OFFSET($Z$8,B$332-25,0),0,1)</f>
        <v>0</v>
      </c>
      <c r="G336" s="624"/>
      <c r="H336" s="85"/>
      <c r="I336" s="624"/>
      <c r="J336" s="85"/>
      <c r="K336" s="624"/>
      <c r="L336" s="85"/>
      <c r="M336" s="624"/>
      <c r="N336" s="85"/>
      <c r="O336" s="624"/>
      <c r="P336" s="85"/>
      <c r="Q336" s="626">
        <f t="shared" si="13"/>
        <v>0</v>
      </c>
      <c r="R336" s="85"/>
      <c r="S336" s="624"/>
      <c r="T336" s="260"/>
      <c r="U336" s="624"/>
      <c r="V336" s="85"/>
      <c r="W336" s="624"/>
      <c r="X336" s="81"/>
      <c r="Y336" s="80"/>
      <c r="Z336" s="737">
        <f ca="1">MAX(0%,IF(Q336&lt;&gt;0,MIN((S336-Q336)/Q336/'NSLT Health Risk'!$E$27,'Health Prem &amp; Reserve Risk'!$Z$333),'Health Prem &amp; Reserve Risk'!$Z$333))</f>
        <v>0.17</v>
      </c>
      <c r="AA336" s="80"/>
      <c r="AB336" s="80"/>
      <c r="AC336" s="737">
        <f ca="1">MAX(0%,IF(U336&lt;&gt;0,MIN((W336-U336)/U336/'NSLT Health Risk'!$E$27,'Health Prem &amp; Reserve Risk'!$AC$333),'Health Prem &amp; Reserve Risk'!$AC$333))</f>
        <v>0.17</v>
      </c>
      <c r="AD336" s="81"/>
      <c r="AE336" s="53"/>
      <c r="AF336" s="53"/>
    </row>
    <row r="337" spans="1:32" ht="12.75" customHeight="1" x14ac:dyDescent="0.25">
      <c r="A337" s="53"/>
      <c r="B337" s="257">
        <v>3</v>
      </c>
      <c r="C337" s="652"/>
      <c r="D337" s="80"/>
      <c r="E337" s="80"/>
      <c r="F337" s="256">
        <f t="shared" ca="1" si="14"/>
        <v>0</v>
      </c>
      <c r="G337" s="624"/>
      <c r="H337" s="85"/>
      <c r="I337" s="624"/>
      <c r="J337" s="85"/>
      <c r="K337" s="624"/>
      <c r="L337" s="85"/>
      <c r="M337" s="624"/>
      <c r="N337" s="85"/>
      <c r="O337" s="624"/>
      <c r="P337" s="85"/>
      <c r="Q337" s="626">
        <f t="shared" si="13"/>
        <v>0</v>
      </c>
      <c r="R337" s="85"/>
      <c r="S337" s="624"/>
      <c r="T337" s="260" t="str">
        <f t="shared" ref="T337:T433" si="15">IF(Q337&gt;0,IF(S337&lt;&gt;0,"","CAP MUST NOT BE 0"),"")</f>
        <v/>
      </c>
      <c r="U337" s="624"/>
      <c r="V337" s="85"/>
      <c r="W337" s="624"/>
      <c r="X337" s="81"/>
      <c r="Y337" s="80"/>
      <c r="Z337" s="737">
        <f ca="1">MAX(0%,IF(Q337&lt;&gt;0,MIN((S337-Q337)/Q337/'NSLT Health Risk'!$E$27,'Health Prem &amp; Reserve Risk'!$Z$333),'Health Prem &amp; Reserve Risk'!$Z$333))</f>
        <v>0.17</v>
      </c>
      <c r="AA337" s="80"/>
      <c r="AB337" s="80"/>
      <c r="AC337" s="737">
        <f ca="1">MAX(0%,IF(U337&lt;&gt;0,MIN((W337-U337)/U337/'NSLT Health Risk'!$E$27,'Health Prem &amp; Reserve Risk'!$AC$333),'Health Prem &amp; Reserve Risk'!$AC$333))</f>
        <v>0.17</v>
      </c>
      <c r="AD337" s="81"/>
      <c r="AE337" s="53"/>
      <c r="AF337" s="53"/>
    </row>
    <row r="338" spans="1:32" ht="12.75" customHeight="1" x14ac:dyDescent="0.25">
      <c r="A338" s="53"/>
      <c r="B338" s="257">
        <v>4</v>
      </c>
      <c r="C338" s="652"/>
      <c r="D338" s="80"/>
      <c r="E338" s="80"/>
      <c r="F338" s="256">
        <f t="shared" ca="1" si="14"/>
        <v>0</v>
      </c>
      <c r="G338" s="624"/>
      <c r="H338" s="85"/>
      <c r="I338" s="624"/>
      <c r="J338" s="85"/>
      <c r="K338" s="624"/>
      <c r="L338" s="85"/>
      <c r="M338" s="624"/>
      <c r="N338" s="85"/>
      <c r="O338" s="624"/>
      <c r="P338" s="85"/>
      <c r="Q338" s="626">
        <f t="shared" si="13"/>
        <v>0</v>
      </c>
      <c r="R338" s="85"/>
      <c r="S338" s="624"/>
      <c r="T338" s="260" t="str">
        <f t="shared" si="15"/>
        <v/>
      </c>
      <c r="U338" s="624"/>
      <c r="V338" s="85"/>
      <c r="W338" s="624"/>
      <c r="X338" s="81"/>
      <c r="Y338" s="80"/>
      <c r="Z338" s="737">
        <f ca="1">MAX(0%,IF(Q338&lt;&gt;0,MIN((S338-Q338)/Q338/'NSLT Health Risk'!$E$27,'Health Prem &amp; Reserve Risk'!$Z$333),'Health Prem &amp; Reserve Risk'!$Z$333))</f>
        <v>0.17</v>
      </c>
      <c r="AA338" s="80"/>
      <c r="AB338" s="80"/>
      <c r="AC338" s="737">
        <f ca="1">MAX(0%,IF(U338&lt;&gt;0,MIN((W338-U338)/U338/'NSLT Health Risk'!$E$27,'Health Prem &amp; Reserve Risk'!$AC$333),'Health Prem &amp; Reserve Risk'!$AC$333))</f>
        <v>0.17</v>
      </c>
      <c r="AD338" s="81"/>
      <c r="AE338" s="53"/>
      <c r="AF338" s="53"/>
    </row>
    <row r="339" spans="1:32" ht="12.75" customHeight="1" x14ac:dyDescent="0.25">
      <c r="A339" s="53"/>
      <c r="B339" s="257">
        <v>5</v>
      </c>
      <c r="C339" s="652"/>
      <c r="D339" s="80"/>
      <c r="E339" s="80"/>
      <c r="F339" s="256">
        <f t="shared" ca="1" si="14"/>
        <v>0</v>
      </c>
      <c r="G339" s="624"/>
      <c r="H339" s="85"/>
      <c r="I339" s="624"/>
      <c r="J339" s="85"/>
      <c r="K339" s="624"/>
      <c r="L339" s="85"/>
      <c r="M339" s="624"/>
      <c r="N339" s="85"/>
      <c r="O339" s="624"/>
      <c r="P339" s="85"/>
      <c r="Q339" s="626">
        <f t="shared" si="13"/>
        <v>0</v>
      </c>
      <c r="R339" s="85"/>
      <c r="S339" s="624"/>
      <c r="T339" s="260" t="str">
        <f t="shared" si="15"/>
        <v/>
      </c>
      <c r="U339" s="624"/>
      <c r="V339" s="85"/>
      <c r="W339" s="624"/>
      <c r="X339" s="81"/>
      <c r="Y339" s="80"/>
      <c r="Z339" s="737">
        <f ca="1">MAX(0%,IF(Q339&lt;&gt;0,MIN((S339-Q339)/Q339/'NSLT Health Risk'!$E$27,'Health Prem &amp; Reserve Risk'!$Z$333),'Health Prem &amp; Reserve Risk'!$Z$333))</f>
        <v>0.17</v>
      </c>
      <c r="AA339" s="80"/>
      <c r="AB339" s="80"/>
      <c r="AC339" s="737">
        <f ca="1">MAX(0%,IF(U339&lt;&gt;0,MIN((W339-U339)/U339/'NSLT Health Risk'!$E$27,'Health Prem &amp; Reserve Risk'!$AC$333),'Health Prem &amp; Reserve Risk'!$AC$333))</f>
        <v>0.17</v>
      </c>
      <c r="AD339" s="81"/>
      <c r="AE339" s="53"/>
      <c r="AF339" s="53"/>
    </row>
    <row r="340" spans="1:32" ht="12.75" customHeight="1" x14ac:dyDescent="0.25">
      <c r="A340" s="53"/>
      <c r="B340" s="257">
        <v>6</v>
      </c>
      <c r="C340" s="652"/>
      <c r="D340" s="80"/>
      <c r="E340" s="80"/>
      <c r="F340" s="256">
        <f t="shared" ca="1" si="14"/>
        <v>0</v>
      </c>
      <c r="G340" s="624"/>
      <c r="H340" s="85"/>
      <c r="I340" s="624"/>
      <c r="J340" s="85"/>
      <c r="K340" s="624"/>
      <c r="L340" s="85"/>
      <c r="M340" s="624"/>
      <c r="N340" s="85"/>
      <c r="O340" s="624"/>
      <c r="P340" s="85"/>
      <c r="Q340" s="626">
        <f t="shared" si="13"/>
        <v>0</v>
      </c>
      <c r="R340" s="85"/>
      <c r="S340" s="624"/>
      <c r="T340" s="260" t="str">
        <f t="shared" si="15"/>
        <v/>
      </c>
      <c r="U340" s="624"/>
      <c r="V340" s="85"/>
      <c r="W340" s="624"/>
      <c r="X340" s="81"/>
      <c r="Y340" s="80"/>
      <c r="Z340" s="737">
        <f ca="1">MAX(0%,IF(Q340&lt;&gt;0,MIN((S340-Q340)/Q340/'NSLT Health Risk'!$E$27,'Health Prem &amp; Reserve Risk'!$Z$333),'Health Prem &amp; Reserve Risk'!$Z$333))</f>
        <v>0.17</v>
      </c>
      <c r="AA340" s="80"/>
      <c r="AB340" s="80"/>
      <c r="AC340" s="737">
        <f ca="1">MAX(0%,IF(U340&lt;&gt;0,MIN((W340-U340)/U340/'NSLT Health Risk'!$E$27,'Health Prem &amp; Reserve Risk'!$AC$333),'Health Prem &amp; Reserve Risk'!$AC$333))</f>
        <v>0.17</v>
      </c>
      <c r="AD340" s="81"/>
      <c r="AE340" s="53"/>
      <c r="AF340" s="53"/>
    </row>
    <row r="341" spans="1:32" ht="12.75" customHeight="1" x14ac:dyDescent="0.25">
      <c r="A341" s="53"/>
      <c r="B341" s="257">
        <v>7</v>
      </c>
      <c r="C341" s="652"/>
      <c r="D341" s="80"/>
      <c r="E341" s="80"/>
      <c r="F341" s="256">
        <f t="shared" ca="1" si="14"/>
        <v>0</v>
      </c>
      <c r="G341" s="624"/>
      <c r="H341" s="85"/>
      <c r="I341" s="624"/>
      <c r="J341" s="85"/>
      <c r="K341" s="624"/>
      <c r="L341" s="85"/>
      <c r="M341" s="624"/>
      <c r="N341" s="85"/>
      <c r="O341" s="624"/>
      <c r="P341" s="85"/>
      <c r="Q341" s="626">
        <f t="shared" si="13"/>
        <v>0</v>
      </c>
      <c r="R341" s="85"/>
      <c r="S341" s="624"/>
      <c r="T341" s="260" t="str">
        <f t="shared" si="15"/>
        <v/>
      </c>
      <c r="U341" s="624"/>
      <c r="V341" s="85"/>
      <c r="W341" s="624"/>
      <c r="X341" s="81"/>
      <c r="Y341" s="80"/>
      <c r="Z341" s="737">
        <f ca="1">MAX(0%,IF(Q341&lt;&gt;0,MIN((S341-Q341)/Q341/'NSLT Health Risk'!$E$27,'Health Prem &amp; Reserve Risk'!$Z$333),'Health Prem &amp; Reserve Risk'!$Z$333))</f>
        <v>0.17</v>
      </c>
      <c r="AA341" s="80"/>
      <c r="AB341" s="80"/>
      <c r="AC341" s="737">
        <f ca="1">MAX(0%,IF(U341&lt;&gt;0,MIN((W341-U341)/U341/'NSLT Health Risk'!$E$27,'Health Prem &amp; Reserve Risk'!$AC$333),'Health Prem &amp; Reserve Risk'!$AC$333))</f>
        <v>0.17</v>
      </c>
      <c r="AD341" s="81"/>
      <c r="AE341" s="53"/>
      <c r="AF341" s="53"/>
    </row>
    <row r="342" spans="1:32" ht="12.75" customHeight="1" x14ac:dyDescent="0.25">
      <c r="A342" s="53"/>
      <c r="B342" s="257">
        <v>8</v>
      </c>
      <c r="C342" s="652"/>
      <c r="D342" s="80"/>
      <c r="E342" s="80"/>
      <c r="F342" s="256">
        <f t="shared" ca="1" si="14"/>
        <v>0</v>
      </c>
      <c r="G342" s="624"/>
      <c r="H342" s="85"/>
      <c r="I342" s="624"/>
      <c r="J342" s="85"/>
      <c r="K342" s="624"/>
      <c r="L342" s="85"/>
      <c r="M342" s="624"/>
      <c r="N342" s="85"/>
      <c r="O342" s="624"/>
      <c r="P342" s="85"/>
      <c r="Q342" s="626">
        <f t="shared" si="13"/>
        <v>0</v>
      </c>
      <c r="R342" s="85"/>
      <c r="S342" s="624"/>
      <c r="T342" s="260" t="str">
        <f t="shared" si="15"/>
        <v/>
      </c>
      <c r="U342" s="624"/>
      <c r="V342" s="85"/>
      <c r="W342" s="624"/>
      <c r="X342" s="81"/>
      <c r="Y342" s="80"/>
      <c r="Z342" s="737">
        <f ca="1">MAX(0%,IF(Q342&lt;&gt;0,MIN((S342-Q342)/Q342/'NSLT Health Risk'!$E$27,'Health Prem &amp; Reserve Risk'!$Z$333),'Health Prem &amp; Reserve Risk'!$Z$333))</f>
        <v>0.17</v>
      </c>
      <c r="AA342" s="80"/>
      <c r="AB342" s="80"/>
      <c r="AC342" s="737">
        <f ca="1">MAX(0%,IF(U342&lt;&gt;0,MIN((W342-U342)/U342/'NSLT Health Risk'!$E$27,'Health Prem &amp; Reserve Risk'!$AC$333),'Health Prem &amp; Reserve Risk'!$AC$333))</f>
        <v>0.17</v>
      </c>
      <c r="AD342" s="81"/>
      <c r="AE342" s="53"/>
      <c r="AF342" s="53"/>
    </row>
    <row r="343" spans="1:32" ht="12.75" customHeight="1" x14ac:dyDescent="0.25">
      <c r="A343" s="53"/>
      <c r="B343" s="257">
        <v>9</v>
      </c>
      <c r="C343" s="652"/>
      <c r="D343" s="80"/>
      <c r="E343" s="80"/>
      <c r="F343" s="256">
        <f t="shared" ca="1" si="14"/>
        <v>0</v>
      </c>
      <c r="G343" s="624"/>
      <c r="H343" s="85"/>
      <c r="I343" s="624"/>
      <c r="J343" s="85"/>
      <c r="K343" s="624"/>
      <c r="L343" s="85"/>
      <c r="M343" s="624"/>
      <c r="N343" s="85"/>
      <c r="O343" s="624"/>
      <c r="P343" s="85"/>
      <c r="Q343" s="626">
        <f t="shared" si="13"/>
        <v>0</v>
      </c>
      <c r="R343" s="85"/>
      <c r="S343" s="624"/>
      <c r="T343" s="260" t="str">
        <f t="shared" si="15"/>
        <v/>
      </c>
      <c r="U343" s="624"/>
      <c r="V343" s="85"/>
      <c r="W343" s="624"/>
      <c r="X343" s="81"/>
      <c r="Y343" s="80"/>
      <c r="Z343" s="737">
        <f ca="1">MAX(0%,IF(Q343&lt;&gt;0,MIN((S343-Q343)/Q343/'NSLT Health Risk'!$E$27,'Health Prem &amp; Reserve Risk'!$Z$333),'Health Prem &amp; Reserve Risk'!$Z$333))</f>
        <v>0.17</v>
      </c>
      <c r="AA343" s="80"/>
      <c r="AB343" s="80"/>
      <c r="AC343" s="737">
        <f ca="1">MAX(0%,IF(U343&lt;&gt;0,MIN((W343-U343)/U343/'NSLT Health Risk'!$E$27,'Health Prem &amp; Reserve Risk'!$AC$333),'Health Prem &amp; Reserve Risk'!$AC$333))</f>
        <v>0.17</v>
      </c>
      <c r="AD343" s="81"/>
      <c r="AE343" s="53"/>
      <c r="AF343" s="53"/>
    </row>
    <row r="344" spans="1:32" ht="12.75" customHeight="1" x14ac:dyDescent="0.25">
      <c r="A344" s="53"/>
      <c r="B344" s="257">
        <v>10</v>
      </c>
      <c r="C344" s="652"/>
      <c r="D344" s="80"/>
      <c r="E344" s="80"/>
      <c r="F344" s="256">
        <f t="shared" ca="1" si="14"/>
        <v>0</v>
      </c>
      <c r="G344" s="624"/>
      <c r="H344" s="85"/>
      <c r="I344" s="624"/>
      <c r="J344" s="85"/>
      <c r="K344" s="624"/>
      <c r="L344" s="85"/>
      <c r="M344" s="624"/>
      <c r="N344" s="85"/>
      <c r="O344" s="624"/>
      <c r="P344" s="85"/>
      <c r="Q344" s="626">
        <f t="shared" si="13"/>
        <v>0</v>
      </c>
      <c r="R344" s="85"/>
      <c r="S344" s="624"/>
      <c r="T344" s="260" t="str">
        <f t="shared" si="15"/>
        <v/>
      </c>
      <c r="U344" s="624"/>
      <c r="V344" s="85"/>
      <c r="W344" s="624"/>
      <c r="X344" s="81"/>
      <c r="Y344" s="80"/>
      <c r="Z344" s="737">
        <f ca="1">MAX(0%,IF(Q344&lt;&gt;0,MIN((S344-Q344)/Q344/'NSLT Health Risk'!$E$27,'Health Prem &amp; Reserve Risk'!$Z$333),'Health Prem &amp; Reserve Risk'!$Z$333))</f>
        <v>0.17</v>
      </c>
      <c r="AA344" s="80"/>
      <c r="AB344" s="80"/>
      <c r="AC344" s="737">
        <f ca="1">MAX(0%,IF(U344&lt;&gt;0,MIN((W344-U344)/U344/'NSLT Health Risk'!$E$27,'Health Prem &amp; Reserve Risk'!$AC$333),'Health Prem &amp; Reserve Risk'!$AC$333))</f>
        <v>0.17</v>
      </c>
      <c r="AD344" s="81"/>
      <c r="AE344" s="53"/>
      <c r="AF344" s="53"/>
    </row>
    <row r="345" spans="1:32" ht="12.75" customHeight="1" x14ac:dyDescent="0.25">
      <c r="A345" s="53"/>
      <c r="B345" s="257">
        <v>11</v>
      </c>
      <c r="C345" s="652"/>
      <c r="D345" s="80"/>
      <c r="E345" s="80"/>
      <c r="F345" s="256">
        <f t="shared" ca="1" si="14"/>
        <v>0</v>
      </c>
      <c r="G345" s="624"/>
      <c r="H345" s="85"/>
      <c r="I345" s="624"/>
      <c r="J345" s="85"/>
      <c r="K345" s="624"/>
      <c r="L345" s="85"/>
      <c r="M345" s="624"/>
      <c r="N345" s="85"/>
      <c r="O345" s="624"/>
      <c r="P345" s="85"/>
      <c r="Q345" s="626">
        <f t="shared" si="13"/>
        <v>0</v>
      </c>
      <c r="R345" s="85"/>
      <c r="S345" s="624"/>
      <c r="T345" s="260" t="str">
        <f t="shared" si="15"/>
        <v/>
      </c>
      <c r="U345" s="624"/>
      <c r="V345" s="85"/>
      <c r="W345" s="624"/>
      <c r="X345" s="81"/>
      <c r="Y345" s="80"/>
      <c r="Z345" s="737">
        <f ca="1">MAX(0%,IF(Q345&lt;&gt;0,MIN((S345-Q345)/Q345/'NSLT Health Risk'!$E$27,'Health Prem &amp; Reserve Risk'!$Z$333),'Health Prem &amp; Reserve Risk'!$Z$333))</f>
        <v>0.17</v>
      </c>
      <c r="AA345" s="80"/>
      <c r="AB345" s="80"/>
      <c r="AC345" s="737">
        <f ca="1">MAX(0%,IF(U345&lt;&gt;0,MIN((W345-U345)/U345/'NSLT Health Risk'!$E$27,'Health Prem &amp; Reserve Risk'!$AC$333),'Health Prem &amp; Reserve Risk'!$AC$333))</f>
        <v>0.17</v>
      </c>
      <c r="AD345" s="81"/>
      <c r="AE345" s="53"/>
      <c r="AF345" s="53"/>
    </row>
    <row r="346" spans="1:32" ht="12.75" customHeight="1" x14ac:dyDescent="0.25">
      <c r="A346" s="53"/>
      <c r="B346" s="257">
        <v>12</v>
      </c>
      <c r="C346" s="652"/>
      <c r="D346" s="80"/>
      <c r="E346" s="80"/>
      <c r="F346" s="256">
        <f t="shared" ca="1" si="14"/>
        <v>0</v>
      </c>
      <c r="G346" s="624"/>
      <c r="H346" s="85"/>
      <c r="I346" s="624"/>
      <c r="J346" s="85"/>
      <c r="K346" s="624"/>
      <c r="L346" s="85"/>
      <c r="M346" s="624"/>
      <c r="N346" s="85"/>
      <c r="O346" s="624"/>
      <c r="P346" s="85"/>
      <c r="Q346" s="626">
        <f t="shared" si="13"/>
        <v>0</v>
      </c>
      <c r="R346" s="85"/>
      <c r="S346" s="624"/>
      <c r="T346" s="260" t="str">
        <f t="shared" si="15"/>
        <v/>
      </c>
      <c r="U346" s="624"/>
      <c r="V346" s="85"/>
      <c r="W346" s="624"/>
      <c r="X346" s="81"/>
      <c r="Y346" s="80"/>
      <c r="Z346" s="737">
        <f ca="1">MAX(0%,IF(Q346&lt;&gt;0,MIN((S346-Q346)/Q346/'NSLT Health Risk'!$E$27,'Health Prem &amp; Reserve Risk'!$Z$333),'Health Prem &amp; Reserve Risk'!$Z$333))</f>
        <v>0.17</v>
      </c>
      <c r="AA346" s="80"/>
      <c r="AB346" s="80"/>
      <c r="AC346" s="737">
        <f ca="1">MAX(0%,IF(U346&lt;&gt;0,MIN((W346-U346)/U346/'NSLT Health Risk'!$E$27,'Health Prem &amp; Reserve Risk'!$AC$333),'Health Prem &amp; Reserve Risk'!$AC$333))</f>
        <v>0.17</v>
      </c>
      <c r="AD346" s="81"/>
      <c r="AE346" s="53"/>
      <c r="AF346" s="53"/>
    </row>
    <row r="347" spans="1:32" ht="12.75" customHeight="1" x14ac:dyDescent="0.25">
      <c r="A347" s="53"/>
      <c r="B347" s="257">
        <v>13</v>
      </c>
      <c r="C347" s="652"/>
      <c r="D347" s="80"/>
      <c r="E347" s="80"/>
      <c r="F347" s="256">
        <f t="shared" ca="1" si="14"/>
        <v>0</v>
      </c>
      <c r="G347" s="624"/>
      <c r="H347" s="85"/>
      <c r="I347" s="624"/>
      <c r="J347" s="85"/>
      <c r="K347" s="624"/>
      <c r="L347" s="85"/>
      <c r="M347" s="624"/>
      <c r="N347" s="85"/>
      <c r="O347" s="624"/>
      <c r="P347" s="85"/>
      <c r="Q347" s="626">
        <f t="shared" si="13"/>
        <v>0</v>
      </c>
      <c r="R347" s="85"/>
      <c r="S347" s="624"/>
      <c r="T347" s="260" t="str">
        <f t="shared" si="15"/>
        <v/>
      </c>
      <c r="U347" s="624"/>
      <c r="V347" s="85"/>
      <c r="W347" s="624"/>
      <c r="X347" s="81"/>
      <c r="Y347" s="80"/>
      <c r="Z347" s="737">
        <f ca="1">MAX(0%,IF(Q347&lt;&gt;0,MIN((S347-Q347)/Q347/'NSLT Health Risk'!$E$27,'Health Prem &amp; Reserve Risk'!$Z$333),'Health Prem &amp; Reserve Risk'!$Z$333))</f>
        <v>0.17</v>
      </c>
      <c r="AA347" s="80"/>
      <c r="AB347" s="80"/>
      <c r="AC347" s="737">
        <f ca="1">MAX(0%,IF(U347&lt;&gt;0,MIN((W347-U347)/U347/'NSLT Health Risk'!$E$27,'Health Prem &amp; Reserve Risk'!$AC$333),'Health Prem &amp; Reserve Risk'!$AC$333))</f>
        <v>0.17</v>
      </c>
      <c r="AD347" s="81"/>
      <c r="AE347" s="53"/>
      <c r="AF347" s="53"/>
    </row>
    <row r="348" spans="1:32" ht="12.75" customHeight="1" x14ac:dyDescent="0.25">
      <c r="A348" s="53"/>
      <c r="B348" s="257">
        <v>14</v>
      </c>
      <c r="C348" s="652"/>
      <c r="D348" s="80"/>
      <c r="E348" s="80"/>
      <c r="F348" s="256">
        <f t="shared" ca="1" si="14"/>
        <v>0</v>
      </c>
      <c r="G348" s="624"/>
      <c r="H348" s="85"/>
      <c r="I348" s="624"/>
      <c r="J348" s="85"/>
      <c r="K348" s="624"/>
      <c r="L348" s="85"/>
      <c r="M348" s="624"/>
      <c r="N348" s="85"/>
      <c r="O348" s="624"/>
      <c r="P348" s="85"/>
      <c r="Q348" s="626">
        <f t="shared" si="13"/>
        <v>0</v>
      </c>
      <c r="R348" s="85"/>
      <c r="S348" s="624"/>
      <c r="T348" s="260" t="str">
        <f t="shared" si="15"/>
        <v/>
      </c>
      <c r="U348" s="624"/>
      <c r="V348" s="85"/>
      <c r="W348" s="624"/>
      <c r="X348" s="81"/>
      <c r="Y348" s="80"/>
      <c r="Z348" s="737">
        <f ca="1">MAX(0%,IF(Q348&lt;&gt;0,MIN((S348-Q348)/Q348/'NSLT Health Risk'!$E$27,'Health Prem &amp; Reserve Risk'!$Z$333),'Health Prem &amp; Reserve Risk'!$Z$333))</f>
        <v>0.17</v>
      </c>
      <c r="AA348" s="80"/>
      <c r="AB348" s="80"/>
      <c r="AC348" s="737">
        <f ca="1">MAX(0%,IF(U348&lt;&gt;0,MIN((W348-U348)/U348/'NSLT Health Risk'!$E$27,'Health Prem &amp; Reserve Risk'!$AC$333),'Health Prem &amp; Reserve Risk'!$AC$333))</f>
        <v>0.17</v>
      </c>
      <c r="AD348" s="81"/>
      <c r="AE348" s="53"/>
      <c r="AF348" s="53"/>
    </row>
    <row r="349" spans="1:32" ht="12.75" customHeight="1" x14ac:dyDescent="0.25">
      <c r="A349" s="53"/>
      <c r="B349" s="257">
        <v>15</v>
      </c>
      <c r="C349" s="652"/>
      <c r="D349" s="80"/>
      <c r="E349" s="80"/>
      <c r="F349" s="256">
        <f t="shared" ca="1" si="14"/>
        <v>0</v>
      </c>
      <c r="G349" s="624"/>
      <c r="H349" s="85"/>
      <c r="I349" s="624"/>
      <c r="J349" s="85"/>
      <c r="K349" s="624"/>
      <c r="L349" s="85"/>
      <c r="M349" s="624"/>
      <c r="N349" s="85"/>
      <c r="O349" s="624"/>
      <c r="P349" s="85"/>
      <c r="Q349" s="626">
        <f t="shared" si="13"/>
        <v>0</v>
      </c>
      <c r="R349" s="85"/>
      <c r="S349" s="624"/>
      <c r="T349" s="260" t="str">
        <f t="shared" si="15"/>
        <v/>
      </c>
      <c r="U349" s="624"/>
      <c r="V349" s="85"/>
      <c r="W349" s="624"/>
      <c r="X349" s="81"/>
      <c r="Y349" s="80"/>
      <c r="Z349" s="737">
        <f ca="1">MAX(0%,IF(Q349&lt;&gt;0,MIN((S349-Q349)/Q349/'NSLT Health Risk'!$E$27,'Health Prem &amp; Reserve Risk'!$Z$333),'Health Prem &amp; Reserve Risk'!$Z$333))</f>
        <v>0.17</v>
      </c>
      <c r="AA349" s="80"/>
      <c r="AB349" s="80"/>
      <c r="AC349" s="737">
        <f ca="1">MAX(0%,IF(U349&lt;&gt;0,MIN((W349-U349)/U349/'NSLT Health Risk'!$E$27,'Health Prem &amp; Reserve Risk'!$AC$333),'Health Prem &amp; Reserve Risk'!$AC$333))</f>
        <v>0.17</v>
      </c>
      <c r="AD349" s="81"/>
      <c r="AE349" s="53"/>
      <c r="AF349" s="53"/>
    </row>
    <row r="350" spans="1:32" ht="12.75" customHeight="1" x14ac:dyDescent="0.25">
      <c r="A350" s="53"/>
      <c r="B350" s="257">
        <v>16</v>
      </c>
      <c r="C350" s="652"/>
      <c r="D350" s="80"/>
      <c r="E350" s="80"/>
      <c r="F350" s="256">
        <f t="shared" ca="1" si="14"/>
        <v>0</v>
      </c>
      <c r="G350" s="624"/>
      <c r="H350" s="85"/>
      <c r="I350" s="624"/>
      <c r="J350" s="85"/>
      <c r="K350" s="624"/>
      <c r="L350" s="85"/>
      <c r="M350" s="624"/>
      <c r="N350" s="85"/>
      <c r="O350" s="624"/>
      <c r="P350" s="85"/>
      <c r="Q350" s="626">
        <f t="shared" si="13"/>
        <v>0</v>
      </c>
      <c r="R350" s="85"/>
      <c r="S350" s="624"/>
      <c r="T350" s="260" t="str">
        <f t="shared" si="15"/>
        <v/>
      </c>
      <c r="U350" s="624"/>
      <c r="V350" s="85"/>
      <c r="W350" s="624"/>
      <c r="X350" s="81"/>
      <c r="Y350" s="80"/>
      <c r="Z350" s="737">
        <f ca="1">MAX(0%,IF(Q350&lt;&gt;0,MIN((S350-Q350)/Q350/'NSLT Health Risk'!$E$27,'Health Prem &amp; Reserve Risk'!$Z$333),'Health Prem &amp; Reserve Risk'!$Z$333))</f>
        <v>0.17</v>
      </c>
      <c r="AA350" s="80"/>
      <c r="AB350" s="80"/>
      <c r="AC350" s="737">
        <f ca="1">MAX(0%,IF(U350&lt;&gt;0,MIN((W350-U350)/U350/'NSLT Health Risk'!$E$27,'Health Prem &amp; Reserve Risk'!$AC$333),'Health Prem &amp; Reserve Risk'!$AC$333))</f>
        <v>0.17</v>
      </c>
      <c r="AD350" s="81"/>
      <c r="AE350" s="53"/>
      <c r="AF350" s="53"/>
    </row>
    <row r="351" spans="1:32" ht="12.75" customHeight="1" x14ac:dyDescent="0.25">
      <c r="A351" s="53"/>
      <c r="B351" s="257">
        <v>17</v>
      </c>
      <c r="C351" s="652"/>
      <c r="D351" s="80"/>
      <c r="E351" s="80"/>
      <c r="F351" s="256">
        <f t="shared" ca="1" si="14"/>
        <v>0</v>
      </c>
      <c r="G351" s="624"/>
      <c r="H351" s="85"/>
      <c r="I351" s="624"/>
      <c r="J351" s="85"/>
      <c r="K351" s="624"/>
      <c r="L351" s="85"/>
      <c r="M351" s="624"/>
      <c r="N351" s="85"/>
      <c r="O351" s="624"/>
      <c r="P351" s="85"/>
      <c r="Q351" s="626">
        <f t="shared" si="13"/>
        <v>0</v>
      </c>
      <c r="R351" s="85"/>
      <c r="S351" s="624"/>
      <c r="T351" s="260" t="str">
        <f t="shared" si="15"/>
        <v/>
      </c>
      <c r="U351" s="624"/>
      <c r="V351" s="85"/>
      <c r="W351" s="624"/>
      <c r="X351" s="81"/>
      <c r="Y351" s="80"/>
      <c r="Z351" s="737">
        <f ca="1">MAX(0%,IF(Q351&lt;&gt;0,MIN((S351-Q351)/Q351/'NSLT Health Risk'!$E$27,'Health Prem &amp; Reserve Risk'!$Z$333),'Health Prem &amp; Reserve Risk'!$Z$333))</f>
        <v>0.17</v>
      </c>
      <c r="AA351" s="80"/>
      <c r="AB351" s="80"/>
      <c r="AC351" s="737">
        <f ca="1">MAX(0%,IF(U351&lt;&gt;0,MIN((W351-U351)/U351/'NSLT Health Risk'!$E$27,'Health Prem &amp; Reserve Risk'!$AC$333),'Health Prem &amp; Reserve Risk'!$AC$333))</f>
        <v>0.17</v>
      </c>
      <c r="AD351" s="81"/>
      <c r="AE351" s="53"/>
      <c r="AF351" s="53"/>
    </row>
    <row r="352" spans="1:32" ht="12.75" customHeight="1" x14ac:dyDescent="0.25">
      <c r="A352" s="53"/>
      <c r="B352" s="257">
        <v>18</v>
      </c>
      <c r="C352" s="652"/>
      <c r="D352" s="80"/>
      <c r="E352" s="80"/>
      <c r="F352" s="256">
        <f t="shared" ca="1" si="14"/>
        <v>0</v>
      </c>
      <c r="G352" s="624"/>
      <c r="H352" s="85"/>
      <c r="I352" s="624"/>
      <c r="J352" s="85"/>
      <c r="K352" s="624"/>
      <c r="L352" s="85"/>
      <c r="M352" s="624"/>
      <c r="N352" s="85"/>
      <c r="O352" s="624"/>
      <c r="P352" s="85"/>
      <c r="Q352" s="626">
        <f t="shared" si="13"/>
        <v>0</v>
      </c>
      <c r="R352" s="85"/>
      <c r="S352" s="624"/>
      <c r="T352" s="260" t="str">
        <f t="shared" si="15"/>
        <v/>
      </c>
      <c r="U352" s="624"/>
      <c r="V352" s="85"/>
      <c r="W352" s="624"/>
      <c r="X352" s="81"/>
      <c r="Y352" s="80"/>
      <c r="Z352" s="737">
        <f ca="1">MAX(0%,IF(Q352&lt;&gt;0,MIN((S352-Q352)/Q352/'NSLT Health Risk'!$E$27,'Health Prem &amp; Reserve Risk'!$Z$333),'Health Prem &amp; Reserve Risk'!$Z$333))</f>
        <v>0.17</v>
      </c>
      <c r="AA352" s="80"/>
      <c r="AB352" s="80"/>
      <c r="AC352" s="737">
        <f ca="1">MAX(0%,IF(U352&lt;&gt;0,MIN((W352-U352)/U352/'NSLT Health Risk'!$E$27,'Health Prem &amp; Reserve Risk'!$AC$333),'Health Prem &amp; Reserve Risk'!$AC$333))</f>
        <v>0.17</v>
      </c>
      <c r="AD352" s="81"/>
      <c r="AE352" s="53"/>
      <c r="AF352" s="53"/>
    </row>
    <row r="353" spans="1:32" ht="12.75" customHeight="1" x14ac:dyDescent="0.25">
      <c r="A353" s="53"/>
      <c r="B353" s="257">
        <v>19</v>
      </c>
      <c r="C353" s="652"/>
      <c r="D353" s="80"/>
      <c r="E353" s="80"/>
      <c r="F353" s="256">
        <f t="shared" ca="1" si="14"/>
        <v>0</v>
      </c>
      <c r="G353" s="624"/>
      <c r="H353" s="85"/>
      <c r="I353" s="624"/>
      <c r="J353" s="85"/>
      <c r="K353" s="624"/>
      <c r="L353" s="85"/>
      <c r="M353" s="624"/>
      <c r="N353" s="85"/>
      <c r="O353" s="624"/>
      <c r="P353" s="85"/>
      <c r="Q353" s="626">
        <f t="shared" si="13"/>
        <v>0</v>
      </c>
      <c r="R353" s="85"/>
      <c r="S353" s="624"/>
      <c r="T353" s="260" t="str">
        <f t="shared" si="15"/>
        <v/>
      </c>
      <c r="U353" s="624"/>
      <c r="V353" s="85"/>
      <c r="W353" s="624"/>
      <c r="X353" s="81"/>
      <c r="Y353" s="80"/>
      <c r="Z353" s="737">
        <f ca="1">MAX(0%,IF(Q353&lt;&gt;0,MIN((S353-Q353)/Q353/'NSLT Health Risk'!$E$27,'Health Prem &amp; Reserve Risk'!$Z$333),'Health Prem &amp; Reserve Risk'!$Z$333))</f>
        <v>0.17</v>
      </c>
      <c r="AA353" s="80"/>
      <c r="AB353" s="80"/>
      <c r="AC353" s="737">
        <f ca="1">MAX(0%,IF(U353&lt;&gt;0,MIN((W353-U353)/U353/'NSLT Health Risk'!$E$27,'Health Prem &amp; Reserve Risk'!$AC$333),'Health Prem &amp; Reserve Risk'!$AC$333))</f>
        <v>0.17</v>
      </c>
      <c r="AD353" s="81"/>
      <c r="AE353" s="53"/>
      <c r="AF353" s="53"/>
    </row>
    <row r="354" spans="1:32" ht="12.75" customHeight="1" x14ac:dyDescent="0.25">
      <c r="A354" s="53"/>
      <c r="B354" s="257">
        <v>20</v>
      </c>
      <c r="C354" s="652"/>
      <c r="D354" s="80"/>
      <c r="E354" s="80"/>
      <c r="F354" s="256">
        <f t="shared" ca="1" si="14"/>
        <v>0</v>
      </c>
      <c r="G354" s="624"/>
      <c r="H354" s="85"/>
      <c r="I354" s="624"/>
      <c r="J354" s="85"/>
      <c r="K354" s="624"/>
      <c r="L354" s="85"/>
      <c r="M354" s="624"/>
      <c r="N354" s="85"/>
      <c r="O354" s="624"/>
      <c r="P354" s="85"/>
      <c r="Q354" s="626">
        <f t="shared" si="13"/>
        <v>0</v>
      </c>
      <c r="R354" s="85"/>
      <c r="S354" s="624"/>
      <c r="T354" s="260" t="str">
        <f t="shared" si="15"/>
        <v/>
      </c>
      <c r="U354" s="624"/>
      <c r="V354" s="85"/>
      <c r="W354" s="624"/>
      <c r="X354" s="81"/>
      <c r="Y354" s="80"/>
      <c r="Z354" s="737">
        <f ca="1">MAX(0%,IF(Q354&lt;&gt;0,MIN((S354-Q354)/Q354/'NSLT Health Risk'!$E$27,'Health Prem &amp; Reserve Risk'!$Z$333),'Health Prem &amp; Reserve Risk'!$Z$333))</f>
        <v>0.17</v>
      </c>
      <c r="AA354" s="80"/>
      <c r="AB354" s="80"/>
      <c r="AC354" s="737">
        <f ca="1">MAX(0%,IF(U354&lt;&gt;0,MIN((W354-U354)/U354/'NSLT Health Risk'!$E$27,'Health Prem &amp; Reserve Risk'!$AC$333),'Health Prem &amp; Reserve Risk'!$AC$333))</f>
        <v>0.17</v>
      </c>
      <c r="AD354" s="81"/>
      <c r="AE354" s="53"/>
      <c r="AF354" s="53"/>
    </row>
    <row r="355" spans="1:32" ht="12.75" customHeight="1" x14ac:dyDescent="0.25">
      <c r="A355" s="53"/>
      <c r="B355" s="257">
        <v>21</v>
      </c>
      <c r="C355" s="652"/>
      <c r="D355" s="80"/>
      <c r="E355" s="80"/>
      <c r="F355" s="256">
        <f t="shared" ca="1" si="14"/>
        <v>0</v>
      </c>
      <c r="G355" s="624"/>
      <c r="H355" s="85"/>
      <c r="I355" s="624"/>
      <c r="J355" s="85"/>
      <c r="K355" s="624"/>
      <c r="L355" s="85"/>
      <c r="M355" s="624"/>
      <c r="N355" s="85"/>
      <c r="O355" s="624"/>
      <c r="P355" s="85"/>
      <c r="Q355" s="626">
        <f t="shared" si="13"/>
        <v>0</v>
      </c>
      <c r="R355" s="85"/>
      <c r="S355" s="624"/>
      <c r="T355" s="260" t="str">
        <f t="shared" si="15"/>
        <v/>
      </c>
      <c r="U355" s="624"/>
      <c r="V355" s="85"/>
      <c r="W355" s="624"/>
      <c r="X355" s="81"/>
      <c r="Y355" s="80"/>
      <c r="Z355" s="737">
        <f ca="1">MAX(0%,IF(Q355&lt;&gt;0,MIN((S355-Q355)/Q355/'NSLT Health Risk'!$E$27,'Health Prem &amp; Reserve Risk'!$Z$333),'Health Prem &amp; Reserve Risk'!$Z$333))</f>
        <v>0.17</v>
      </c>
      <c r="AA355" s="80"/>
      <c r="AB355" s="80"/>
      <c r="AC355" s="737">
        <f ca="1">MAX(0%,IF(U355&lt;&gt;0,MIN((W355-U355)/U355/'NSLT Health Risk'!$E$27,'Health Prem &amp; Reserve Risk'!$AC$333),'Health Prem &amp; Reserve Risk'!$AC$333))</f>
        <v>0.17</v>
      </c>
      <c r="AD355" s="81"/>
      <c r="AE355" s="53"/>
      <c r="AF355" s="53"/>
    </row>
    <row r="356" spans="1:32" ht="12.75" customHeight="1" x14ac:dyDescent="0.25">
      <c r="A356" s="53"/>
      <c r="B356" s="257">
        <v>22</v>
      </c>
      <c r="C356" s="652"/>
      <c r="D356" s="80"/>
      <c r="E356" s="80"/>
      <c r="F356" s="256">
        <f t="shared" ca="1" si="14"/>
        <v>0</v>
      </c>
      <c r="G356" s="624"/>
      <c r="H356" s="85"/>
      <c r="I356" s="624"/>
      <c r="J356" s="85"/>
      <c r="K356" s="624"/>
      <c r="L356" s="85"/>
      <c r="M356" s="624"/>
      <c r="N356" s="85"/>
      <c r="O356" s="624"/>
      <c r="P356" s="85"/>
      <c r="Q356" s="626">
        <f t="shared" si="13"/>
        <v>0</v>
      </c>
      <c r="R356" s="85"/>
      <c r="S356" s="624"/>
      <c r="T356" s="260" t="str">
        <f t="shared" si="15"/>
        <v/>
      </c>
      <c r="U356" s="624"/>
      <c r="V356" s="85"/>
      <c r="W356" s="624"/>
      <c r="X356" s="81"/>
      <c r="Y356" s="80"/>
      <c r="Z356" s="737">
        <f ca="1">MAX(0%,IF(Q356&lt;&gt;0,MIN((S356-Q356)/Q356/'NSLT Health Risk'!$E$27,'Health Prem &amp; Reserve Risk'!$Z$333),'Health Prem &amp; Reserve Risk'!$Z$333))</f>
        <v>0.17</v>
      </c>
      <c r="AA356" s="80"/>
      <c r="AB356" s="80"/>
      <c r="AC356" s="737">
        <f ca="1">MAX(0%,IF(U356&lt;&gt;0,MIN((W356-U356)/U356/'NSLT Health Risk'!$E$27,'Health Prem &amp; Reserve Risk'!$AC$333),'Health Prem &amp; Reserve Risk'!$AC$333))</f>
        <v>0.17</v>
      </c>
      <c r="AD356" s="81"/>
      <c r="AE356" s="53"/>
      <c r="AF356" s="53"/>
    </row>
    <row r="357" spans="1:32" ht="12.75" customHeight="1" x14ac:dyDescent="0.25">
      <c r="A357" s="53"/>
      <c r="B357" s="257">
        <v>23</v>
      </c>
      <c r="C357" s="652"/>
      <c r="D357" s="80"/>
      <c r="E357" s="80"/>
      <c r="F357" s="256">
        <f t="shared" ca="1" si="14"/>
        <v>0</v>
      </c>
      <c r="G357" s="624"/>
      <c r="H357" s="85"/>
      <c r="I357" s="624"/>
      <c r="J357" s="85"/>
      <c r="K357" s="624"/>
      <c r="L357" s="85"/>
      <c r="M357" s="624"/>
      <c r="N357" s="85"/>
      <c r="O357" s="624"/>
      <c r="P357" s="85"/>
      <c r="Q357" s="626">
        <f t="shared" si="13"/>
        <v>0</v>
      </c>
      <c r="R357" s="85"/>
      <c r="S357" s="624"/>
      <c r="T357" s="260" t="str">
        <f t="shared" si="15"/>
        <v/>
      </c>
      <c r="U357" s="624"/>
      <c r="V357" s="85"/>
      <c r="W357" s="624"/>
      <c r="X357" s="81"/>
      <c r="Y357" s="80"/>
      <c r="Z357" s="737">
        <f ca="1">MAX(0%,IF(Q357&lt;&gt;0,MIN((S357-Q357)/Q357/'NSLT Health Risk'!$E$27,'Health Prem &amp; Reserve Risk'!$Z$333),'Health Prem &amp; Reserve Risk'!$Z$333))</f>
        <v>0.17</v>
      </c>
      <c r="AA357" s="80"/>
      <c r="AB357" s="80"/>
      <c r="AC357" s="737">
        <f ca="1">MAX(0%,IF(U357&lt;&gt;0,MIN((W357-U357)/U357/'NSLT Health Risk'!$E$27,'Health Prem &amp; Reserve Risk'!$AC$333),'Health Prem &amp; Reserve Risk'!$AC$333))</f>
        <v>0.17</v>
      </c>
      <c r="AD357" s="81"/>
      <c r="AE357" s="53"/>
      <c r="AF357" s="53"/>
    </row>
    <row r="358" spans="1:32" ht="12.75" customHeight="1" x14ac:dyDescent="0.25">
      <c r="A358" s="53"/>
      <c r="B358" s="257">
        <v>24</v>
      </c>
      <c r="C358" s="652"/>
      <c r="D358" s="80"/>
      <c r="E358" s="80"/>
      <c r="F358" s="256">
        <f t="shared" ca="1" si="14"/>
        <v>0</v>
      </c>
      <c r="G358" s="624"/>
      <c r="H358" s="85"/>
      <c r="I358" s="624"/>
      <c r="J358" s="85"/>
      <c r="K358" s="624"/>
      <c r="L358" s="85"/>
      <c r="M358" s="624"/>
      <c r="N358" s="85"/>
      <c r="O358" s="624"/>
      <c r="P358" s="85"/>
      <c r="Q358" s="626">
        <f t="shared" si="13"/>
        <v>0</v>
      </c>
      <c r="R358" s="85"/>
      <c r="S358" s="624"/>
      <c r="T358" s="260" t="str">
        <f t="shared" si="15"/>
        <v/>
      </c>
      <c r="U358" s="624"/>
      <c r="V358" s="85"/>
      <c r="W358" s="624"/>
      <c r="X358" s="81"/>
      <c r="Y358" s="80"/>
      <c r="Z358" s="737">
        <f ca="1">MAX(0%,IF(Q358&lt;&gt;0,MIN((S358-Q358)/Q358/'NSLT Health Risk'!$E$27,'Health Prem &amp; Reserve Risk'!$Z$333),'Health Prem &amp; Reserve Risk'!$Z$333))</f>
        <v>0.17</v>
      </c>
      <c r="AA358" s="80"/>
      <c r="AB358" s="80"/>
      <c r="AC358" s="737">
        <f ca="1">MAX(0%,IF(U358&lt;&gt;0,MIN((W358-U358)/U358/'NSLT Health Risk'!$E$27,'Health Prem &amp; Reserve Risk'!$AC$333),'Health Prem &amp; Reserve Risk'!$AC$333))</f>
        <v>0.17</v>
      </c>
      <c r="AD358" s="81"/>
      <c r="AE358" s="53"/>
      <c r="AF358" s="53"/>
    </row>
    <row r="359" spans="1:32" ht="12.75" customHeight="1" x14ac:dyDescent="0.25">
      <c r="A359" s="53"/>
      <c r="B359" s="257">
        <v>25</v>
      </c>
      <c r="C359" s="652"/>
      <c r="D359" s="80"/>
      <c r="E359" s="80"/>
      <c r="F359" s="256">
        <f t="shared" ca="1" si="14"/>
        <v>0</v>
      </c>
      <c r="G359" s="624"/>
      <c r="H359" s="85"/>
      <c r="I359" s="624"/>
      <c r="J359" s="85"/>
      <c r="K359" s="624"/>
      <c r="L359" s="85"/>
      <c r="M359" s="624"/>
      <c r="N359" s="85"/>
      <c r="O359" s="624"/>
      <c r="P359" s="85"/>
      <c r="Q359" s="626">
        <f t="shared" si="13"/>
        <v>0</v>
      </c>
      <c r="R359" s="85"/>
      <c r="S359" s="624"/>
      <c r="T359" s="260" t="str">
        <f t="shared" si="15"/>
        <v/>
      </c>
      <c r="U359" s="624"/>
      <c r="V359" s="85"/>
      <c r="W359" s="624"/>
      <c r="X359" s="81"/>
      <c r="Y359" s="80"/>
      <c r="Z359" s="737">
        <f ca="1">MAX(0%,IF(Q359&lt;&gt;0,MIN((S359-Q359)/Q359/'NSLT Health Risk'!$E$27,'Health Prem &amp; Reserve Risk'!$Z$333),'Health Prem &amp; Reserve Risk'!$Z$333))</f>
        <v>0.17</v>
      </c>
      <c r="AA359" s="80"/>
      <c r="AB359" s="80"/>
      <c r="AC359" s="737">
        <f ca="1">MAX(0%,IF(U359&lt;&gt;0,MIN((W359-U359)/U359/'NSLT Health Risk'!$E$27,'Health Prem &amp; Reserve Risk'!$AC$333),'Health Prem &amp; Reserve Risk'!$AC$333))</f>
        <v>0.17</v>
      </c>
      <c r="AD359" s="81"/>
      <c r="AE359" s="53"/>
      <c r="AF359" s="53"/>
    </row>
    <row r="360" spans="1:32" ht="12.75" customHeight="1" x14ac:dyDescent="0.25">
      <c r="A360" s="53"/>
      <c r="B360" s="257">
        <v>26</v>
      </c>
      <c r="C360" s="652"/>
      <c r="D360" s="80"/>
      <c r="E360" s="80"/>
      <c r="F360" s="256">
        <f t="shared" ca="1" si="14"/>
        <v>0</v>
      </c>
      <c r="G360" s="624"/>
      <c r="H360" s="85"/>
      <c r="I360" s="624"/>
      <c r="J360" s="85"/>
      <c r="K360" s="624"/>
      <c r="L360" s="85"/>
      <c r="M360" s="624"/>
      <c r="N360" s="85"/>
      <c r="O360" s="624"/>
      <c r="P360" s="85"/>
      <c r="Q360" s="626">
        <f t="shared" si="13"/>
        <v>0</v>
      </c>
      <c r="R360" s="85"/>
      <c r="S360" s="624"/>
      <c r="T360" s="260" t="str">
        <f t="shared" si="15"/>
        <v/>
      </c>
      <c r="U360" s="624"/>
      <c r="V360" s="85"/>
      <c r="W360" s="624"/>
      <c r="X360" s="81"/>
      <c r="Y360" s="80"/>
      <c r="Z360" s="737">
        <f ca="1">MAX(0%,IF(Q360&lt;&gt;0,MIN((S360-Q360)/Q360/'NSLT Health Risk'!$E$27,'Health Prem &amp; Reserve Risk'!$Z$333),'Health Prem &amp; Reserve Risk'!$Z$333))</f>
        <v>0.17</v>
      </c>
      <c r="AA360" s="80"/>
      <c r="AB360" s="80"/>
      <c r="AC360" s="737">
        <f ca="1">MAX(0%,IF(U360&lt;&gt;0,MIN((W360-U360)/U360/'NSLT Health Risk'!$E$27,'Health Prem &amp; Reserve Risk'!$AC$333),'Health Prem &amp; Reserve Risk'!$AC$333))</f>
        <v>0.17</v>
      </c>
      <c r="AD360" s="81"/>
      <c r="AE360" s="53"/>
      <c r="AF360" s="53"/>
    </row>
    <row r="361" spans="1:32" ht="12.75" customHeight="1" x14ac:dyDescent="0.25">
      <c r="A361" s="53"/>
      <c r="B361" s="257">
        <v>27</v>
      </c>
      <c r="C361" s="652"/>
      <c r="D361" s="80"/>
      <c r="E361" s="80"/>
      <c r="F361" s="256">
        <f t="shared" ca="1" si="14"/>
        <v>0</v>
      </c>
      <c r="G361" s="624"/>
      <c r="H361" s="85"/>
      <c r="I361" s="624"/>
      <c r="J361" s="85"/>
      <c r="K361" s="624"/>
      <c r="L361" s="85"/>
      <c r="M361" s="624"/>
      <c r="N361" s="85"/>
      <c r="O361" s="624"/>
      <c r="P361" s="85"/>
      <c r="Q361" s="626">
        <f t="shared" si="13"/>
        <v>0</v>
      </c>
      <c r="R361" s="85"/>
      <c r="S361" s="624"/>
      <c r="T361" s="260" t="str">
        <f t="shared" si="15"/>
        <v/>
      </c>
      <c r="U361" s="624"/>
      <c r="V361" s="85"/>
      <c r="W361" s="624"/>
      <c r="X361" s="81"/>
      <c r="Y361" s="80"/>
      <c r="Z361" s="737">
        <f ca="1">MAX(0%,IF(Q361&lt;&gt;0,MIN((S361-Q361)/Q361/'NSLT Health Risk'!$E$27,'Health Prem &amp; Reserve Risk'!$Z$333),'Health Prem &amp; Reserve Risk'!$Z$333))</f>
        <v>0.17</v>
      </c>
      <c r="AA361" s="80"/>
      <c r="AB361" s="80"/>
      <c r="AC361" s="737">
        <f ca="1">MAX(0%,IF(U361&lt;&gt;0,MIN((W361-U361)/U361/'NSLT Health Risk'!$E$27,'Health Prem &amp; Reserve Risk'!$AC$333),'Health Prem &amp; Reserve Risk'!$AC$333))</f>
        <v>0.17</v>
      </c>
      <c r="AD361" s="81"/>
      <c r="AE361" s="53"/>
      <c r="AF361" s="53"/>
    </row>
    <row r="362" spans="1:32" ht="12.75" customHeight="1" x14ac:dyDescent="0.25">
      <c r="A362" s="53"/>
      <c r="B362" s="257">
        <v>28</v>
      </c>
      <c r="C362" s="652"/>
      <c r="D362" s="80"/>
      <c r="E362" s="80"/>
      <c r="F362" s="256">
        <f t="shared" ca="1" si="14"/>
        <v>0</v>
      </c>
      <c r="G362" s="624"/>
      <c r="H362" s="85"/>
      <c r="I362" s="624"/>
      <c r="J362" s="85"/>
      <c r="K362" s="624"/>
      <c r="L362" s="85"/>
      <c r="M362" s="624"/>
      <c r="N362" s="85"/>
      <c r="O362" s="624"/>
      <c r="P362" s="85"/>
      <c r="Q362" s="626">
        <f t="shared" si="13"/>
        <v>0</v>
      </c>
      <c r="R362" s="85"/>
      <c r="S362" s="624"/>
      <c r="T362" s="260" t="str">
        <f t="shared" si="15"/>
        <v/>
      </c>
      <c r="U362" s="624"/>
      <c r="V362" s="85"/>
      <c r="W362" s="624"/>
      <c r="X362" s="81"/>
      <c r="Y362" s="80"/>
      <c r="Z362" s="737">
        <f ca="1">MAX(0%,IF(Q362&lt;&gt;0,MIN((S362-Q362)/Q362/'NSLT Health Risk'!$E$27,'Health Prem &amp; Reserve Risk'!$Z$333),'Health Prem &amp; Reserve Risk'!$Z$333))</f>
        <v>0.17</v>
      </c>
      <c r="AA362" s="80"/>
      <c r="AB362" s="80"/>
      <c r="AC362" s="737">
        <f ca="1">MAX(0%,IF(U362&lt;&gt;0,MIN((W362-U362)/U362/'NSLT Health Risk'!$E$27,'Health Prem &amp; Reserve Risk'!$AC$333),'Health Prem &amp; Reserve Risk'!$AC$333))</f>
        <v>0.17</v>
      </c>
      <c r="AD362" s="81"/>
      <c r="AE362" s="53"/>
      <c r="AF362" s="53"/>
    </row>
    <row r="363" spans="1:32" ht="12.75" customHeight="1" x14ac:dyDescent="0.25">
      <c r="A363" s="53"/>
      <c r="B363" s="257">
        <v>29</v>
      </c>
      <c r="C363" s="652"/>
      <c r="D363" s="80"/>
      <c r="E363" s="80"/>
      <c r="F363" s="256">
        <f t="shared" ca="1" si="14"/>
        <v>0</v>
      </c>
      <c r="G363" s="624"/>
      <c r="H363" s="85"/>
      <c r="I363" s="624"/>
      <c r="J363" s="85"/>
      <c r="K363" s="624"/>
      <c r="L363" s="85"/>
      <c r="M363" s="624"/>
      <c r="N363" s="85"/>
      <c r="O363" s="624"/>
      <c r="P363" s="85"/>
      <c r="Q363" s="626">
        <f t="shared" si="13"/>
        <v>0</v>
      </c>
      <c r="R363" s="85"/>
      <c r="S363" s="624"/>
      <c r="T363" s="260" t="str">
        <f t="shared" si="15"/>
        <v/>
      </c>
      <c r="U363" s="624"/>
      <c r="V363" s="85"/>
      <c r="W363" s="624"/>
      <c r="X363" s="81"/>
      <c r="Y363" s="80"/>
      <c r="Z363" s="737">
        <f ca="1">MAX(0%,IF(Q363&lt;&gt;0,MIN((S363-Q363)/Q363/'NSLT Health Risk'!$E$27,'Health Prem &amp; Reserve Risk'!$Z$333),'Health Prem &amp; Reserve Risk'!$Z$333))</f>
        <v>0.17</v>
      </c>
      <c r="AA363" s="80"/>
      <c r="AB363" s="80"/>
      <c r="AC363" s="737">
        <f ca="1">MAX(0%,IF(U363&lt;&gt;0,MIN((W363-U363)/U363/'NSLT Health Risk'!$E$27,'Health Prem &amp; Reserve Risk'!$AC$333),'Health Prem &amp; Reserve Risk'!$AC$333))</f>
        <v>0.17</v>
      </c>
      <c r="AD363" s="81"/>
      <c r="AE363" s="53"/>
      <c r="AF363" s="53"/>
    </row>
    <row r="364" spans="1:32" ht="12.75" customHeight="1" x14ac:dyDescent="0.25">
      <c r="A364" s="53"/>
      <c r="B364" s="257">
        <v>30</v>
      </c>
      <c r="C364" s="652"/>
      <c r="D364" s="80"/>
      <c r="E364" s="80"/>
      <c r="F364" s="256">
        <f t="shared" ca="1" si="14"/>
        <v>0</v>
      </c>
      <c r="G364" s="624"/>
      <c r="H364" s="85"/>
      <c r="I364" s="624"/>
      <c r="J364" s="85"/>
      <c r="K364" s="624"/>
      <c r="L364" s="85"/>
      <c r="M364" s="624"/>
      <c r="N364" s="85"/>
      <c r="O364" s="624"/>
      <c r="P364" s="85"/>
      <c r="Q364" s="626">
        <f t="shared" si="13"/>
        <v>0</v>
      </c>
      <c r="R364" s="85"/>
      <c r="S364" s="624"/>
      <c r="T364" s="260" t="str">
        <f t="shared" si="15"/>
        <v/>
      </c>
      <c r="U364" s="624"/>
      <c r="V364" s="85"/>
      <c r="W364" s="624"/>
      <c r="X364" s="81"/>
      <c r="Y364" s="80"/>
      <c r="Z364" s="737">
        <f ca="1">MAX(0%,IF(Q364&lt;&gt;0,MIN((S364-Q364)/Q364/'NSLT Health Risk'!$E$27,'Health Prem &amp; Reserve Risk'!$Z$333),'Health Prem &amp; Reserve Risk'!$Z$333))</f>
        <v>0.17</v>
      </c>
      <c r="AA364" s="80"/>
      <c r="AB364" s="80"/>
      <c r="AC364" s="737">
        <f ca="1">MAX(0%,IF(U364&lt;&gt;0,MIN((W364-U364)/U364/'NSLT Health Risk'!$E$27,'Health Prem &amp; Reserve Risk'!$AC$333),'Health Prem &amp; Reserve Risk'!$AC$333))</f>
        <v>0.17</v>
      </c>
      <c r="AD364" s="81"/>
      <c r="AE364" s="53"/>
      <c r="AF364" s="53"/>
    </row>
    <row r="365" spans="1:32" ht="12.75" customHeight="1" x14ac:dyDescent="0.25">
      <c r="A365" s="53"/>
      <c r="B365" s="257">
        <v>31</v>
      </c>
      <c r="C365" s="652"/>
      <c r="D365" s="80"/>
      <c r="E365" s="80"/>
      <c r="F365" s="256">
        <f t="shared" ca="1" si="14"/>
        <v>0</v>
      </c>
      <c r="G365" s="624"/>
      <c r="H365" s="85"/>
      <c r="I365" s="624"/>
      <c r="J365" s="85"/>
      <c r="K365" s="624"/>
      <c r="L365" s="85"/>
      <c r="M365" s="624"/>
      <c r="N365" s="85"/>
      <c r="O365" s="624"/>
      <c r="P365" s="85"/>
      <c r="Q365" s="626">
        <f t="shared" si="13"/>
        <v>0</v>
      </c>
      <c r="R365" s="85"/>
      <c r="S365" s="624"/>
      <c r="T365" s="260" t="str">
        <f t="shared" si="15"/>
        <v/>
      </c>
      <c r="U365" s="624"/>
      <c r="V365" s="85"/>
      <c r="W365" s="624"/>
      <c r="X365" s="81"/>
      <c r="Y365" s="80"/>
      <c r="Z365" s="737">
        <f ca="1">MAX(0%,IF(Q365&lt;&gt;0,MIN((S365-Q365)/Q365/'NSLT Health Risk'!$E$27,'Health Prem &amp; Reserve Risk'!$Z$333),'Health Prem &amp; Reserve Risk'!$Z$333))</f>
        <v>0.17</v>
      </c>
      <c r="AA365" s="80"/>
      <c r="AB365" s="80"/>
      <c r="AC365" s="737">
        <f ca="1">MAX(0%,IF(U365&lt;&gt;0,MIN((W365-U365)/U365/'NSLT Health Risk'!$E$27,'Health Prem &amp; Reserve Risk'!$AC$333),'Health Prem &amp; Reserve Risk'!$AC$333))</f>
        <v>0.17</v>
      </c>
      <c r="AD365" s="81"/>
      <c r="AE365" s="53"/>
      <c r="AF365" s="53"/>
    </row>
    <row r="366" spans="1:32" ht="12.75" customHeight="1" x14ac:dyDescent="0.25">
      <c r="A366" s="53"/>
      <c r="B366" s="257">
        <v>32</v>
      </c>
      <c r="C366" s="652"/>
      <c r="D366" s="80"/>
      <c r="E366" s="80"/>
      <c r="F366" s="256">
        <f t="shared" ca="1" si="14"/>
        <v>0</v>
      </c>
      <c r="G366" s="624"/>
      <c r="H366" s="85"/>
      <c r="I366" s="624"/>
      <c r="J366" s="85"/>
      <c r="K366" s="624"/>
      <c r="L366" s="85"/>
      <c r="M366" s="624"/>
      <c r="N366" s="85"/>
      <c r="O366" s="624"/>
      <c r="P366" s="85"/>
      <c r="Q366" s="626">
        <f t="shared" si="13"/>
        <v>0</v>
      </c>
      <c r="R366" s="85"/>
      <c r="S366" s="624"/>
      <c r="T366" s="260" t="str">
        <f t="shared" si="15"/>
        <v/>
      </c>
      <c r="U366" s="624"/>
      <c r="V366" s="85"/>
      <c r="W366" s="624"/>
      <c r="X366" s="81"/>
      <c r="Y366" s="80"/>
      <c r="Z366" s="737">
        <f ca="1">MAX(0%,IF(Q366&lt;&gt;0,MIN((S366-Q366)/Q366/'NSLT Health Risk'!$E$27,'Health Prem &amp; Reserve Risk'!$Z$333),'Health Prem &amp; Reserve Risk'!$Z$333))</f>
        <v>0.17</v>
      </c>
      <c r="AA366" s="80"/>
      <c r="AB366" s="80"/>
      <c r="AC366" s="737">
        <f ca="1">MAX(0%,IF(U366&lt;&gt;0,MIN((W366-U366)/U366/'NSLT Health Risk'!$E$27,'Health Prem &amp; Reserve Risk'!$AC$333),'Health Prem &amp; Reserve Risk'!$AC$333))</f>
        <v>0.17</v>
      </c>
      <c r="AD366" s="81"/>
      <c r="AE366" s="53"/>
      <c r="AF366" s="53"/>
    </row>
    <row r="367" spans="1:32" ht="12.75" customHeight="1" x14ac:dyDescent="0.25">
      <c r="A367" s="53"/>
      <c r="B367" s="257">
        <v>33</v>
      </c>
      <c r="C367" s="652"/>
      <c r="D367" s="80"/>
      <c r="E367" s="80"/>
      <c r="F367" s="256">
        <f t="shared" ca="1" si="14"/>
        <v>0</v>
      </c>
      <c r="G367" s="624"/>
      <c r="H367" s="85"/>
      <c r="I367" s="624"/>
      <c r="J367" s="85"/>
      <c r="K367" s="624"/>
      <c r="L367" s="85"/>
      <c r="M367" s="624"/>
      <c r="N367" s="85"/>
      <c r="O367" s="624"/>
      <c r="P367" s="85"/>
      <c r="Q367" s="626">
        <f t="shared" si="13"/>
        <v>0</v>
      </c>
      <c r="R367" s="85"/>
      <c r="S367" s="624"/>
      <c r="T367" s="260" t="str">
        <f t="shared" si="15"/>
        <v/>
      </c>
      <c r="U367" s="624"/>
      <c r="V367" s="85"/>
      <c r="W367" s="624"/>
      <c r="X367" s="81"/>
      <c r="Y367" s="80"/>
      <c r="Z367" s="737">
        <f ca="1">MAX(0%,IF(Q367&lt;&gt;0,MIN((S367-Q367)/Q367/'NSLT Health Risk'!$E$27,'Health Prem &amp; Reserve Risk'!$Z$333),'Health Prem &amp; Reserve Risk'!$Z$333))</f>
        <v>0.17</v>
      </c>
      <c r="AA367" s="80"/>
      <c r="AB367" s="80"/>
      <c r="AC367" s="737">
        <f ca="1">MAX(0%,IF(U367&lt;&gt;0,MIN((W367-U367)/U367/'NSLT Health Risk'!$E$27,'Health Prem &amp; Reserve Risk'!$AC$333),'Health Prem &amp; Reserve Risk'!$AC$333))</f>
        <v>0.17</v>
      </c>
      <c r="AD367" s="81"/>
      <c r="AE367" s="53"/>
      <c r="AF367" s="53"/>
    </row>
    <row r="368" spans="1:32" ht="12.75" customHeight="1" x14ac:dyDescent="0.25">
      <c r="A368" s="53"/>
      <c r="B368" s="257">
        <v>34</v>
      </c>
      <c r="C368" s="652"/>
      <c r="D368" s="80"/>
      <c r="E368" s="80"/>
      <c r="F368" s="256">
        <f t="shared" ca="1" si="14"/>
        <v>0</v>
      </c>
      <c r="G368" s="624"/>
      <c r="H368" s="85"/>
      <c r="I368" s="624"/>
      <c r="J368" s="85"/>
      <c r="K368" s="624"/>
      <c r="L368" s="85"/>
      <c r="M368" s="624"/>
      <c r="N368" s="85"/>
      <c r="O368" s="624"/>
      <c r="P368" s="85"/>
      <c r="Q368" s="626">
        <f t="shared" si="13"/>
        <v>0</v>
      </c>
      <c r="R368" s="85"/>
      <c r="S368" s="624"/>
      <c r="T368" s="260" t="str">
        <f t="shared" si="15"/>
        <v/>
      </c>
      <c r="U368" s="624"/>
      <c r="V368" s="85"/>
      <c r="W368" s="624"/>
      <c r="X368" s="81"/>
      <c r="Y368" s="80"/>
      <c r="Z368" s="737">
        <f ca="1">MAX(0%,IF(Q368&lt;&gt;0,MIN((S368-Q368)/Q368/'NSLT Health Risk'!$E$27,'Health Prem &amp; Reserve Risk'!$Z$333),'Health Prem &amp; Reserve Risk'!$Z$333))</f>
        <v>0.17</v>
      </c>
      <c r="AA368" s="80"/>
      <c r="AB368" s="80"/>
      <c r="AC368" s="737">
        <f ca="1">MAX(0%,IF(U368&lt;&gt;0,MIN((W368-U368)/U368/'NSLT Health Risk'!$E$27,'Health Prem &amp; Reserve Risk'!$AC$333),'Health Prem &amp; Reserve Risk'!$AC$333))</f>
        <v>0.17</v>
      </c>
      <c r="AD368" s="81"/>
      <c r="AE368" s="53"/>
      <c r="AF368" s="53"/>
    </row>
    <row r="369" spans="1:32" ht="12.75" customHeight="1" x14ac:dyDescent="0.25">
      <c r="A369" s="53"/>
      <c r="B369" s="257">
        <v>35</v>
      </c>
      <c r="C369" s="652"/>
      <c r="D369" s="80"/>
      <c r="E369" s="80"/>
      <c r="F369" s="256">
        <f t="shared" ca="1" si="14"/>
        <v>0</v>
      </c>
      <c r="G369" s="624"/>
      <c r="H369" s="85"/>
      <c r="I369" s="624"/>
      <c r="J369" s="85"/>
      <c r="K369" s="624"/>
      <c r="L369" s="85"/>
      <c r="M369" s="624"/>
      <c r="N369" s="85"/>
      <c r="O369" s="624"/>
      <c r="P369" s="85"/>
      <c r="Q369" s="626">
        <f t="shared" si="13"/>
        <v>0</v>
      </c>
      <c r="R369" s="85"/>
      <c r="S369" s="624"/>
      <c r="T369" s="260" t="str">
        <f t="shared" si="15"/>
        <v/>
      </c>
      <c r="U369" s="624"/>
      <c r="V369" s="85"/>
      <c r="W369" s="624"/>
      <c r="X369" s="81"/>
      <c r="Y369" s="80"/>
      <c r="Z369" s="737">
        <f ca="1">MAX(0%,IF(Q369&lt;&gt;0,MIN((S369-Q369)/Q369/'NSLT Health Risk'!$E$27,'Health Prem &amp; Reserve Risk'!$Z$333),'Health Prem &amp; Reserve Risk'!$Z$333))</f>
        <v>0.17</v>
      </c>
      <c r="AA369" s="80"/>
      <c r="AB369" s="80"/>
      <c r="AC369" s="737">
        <f ca="1">MAX(0%,IF(U369&lt;&gt;0,MIN((W369-U369)/U369/'NSLT Health Risk'!$E$27,'Health Prem &amp; Reserve Risk'!$AC$333),'Health Prem &amp; Reserve Risk'!$AC$333))</f>
        <v>0.17</v>
      </c>
      <c r="AD369" s="81"/>
      <c r="AE369" s="53"/>
      <c r="AF369" s="53"/>
    </row>
    <row r="370" spans="1:32" ht="12.75" customHeight="1" x14ac:dyDescent="0.25">
      <c r="A370" s="53"/>
      <c r="B370" s="257">
        <v>36</v>
      </c>
      <c r="C370" s="652"/>
      <c r="D370" s="80"/>
      <c r="E370" s="80"/>
      <c r="F370" s="256">
        <f t="shared" ca="1" si="14"/>
        <v>0</v>
      </c>
      <c r="G370" s="624"/>
      <c r="H370" s="85"/>
      <c r="I370" s="624"/>
      <c r="J370" s="85"/>
      <c r="K370" s="624"/>
      <c r="L370" s="85"/>
      <c r="M370" s="624"/>
      <c r="N370" s="85"/>
      <c r="O370" s="624"/>
      <c r="P370" s="85"/>
      <c r="Q370" s="626">
        <f t="shared" si="13"/>
        <v>0</v>
      </c>
      <c r="R370" s="85"/>
      <c r="S370" s="624"/>
      <c r="T370" s="260" t="str">
        <f t="shared" si="15"/>
        <v/>
      </c>
      <c r="U370" s="624"/>
      <c r="V370" s="85"/>
      <c r="W370" s="624"/>
      <c r="X370" s="81"/>
      <c r="Y370" s="80"/>
      <c r="Z370" s="737">
        <f ca="1">MAX(0%,IF(Q370&lt;&gt;0,MIN((S370-Q370)/Q370/'NSLT Health Risk'!$E$27,'Health Prem &amp; Reserve Risk'!$Z$333),'Health Prem &amp; Reserve Risk'!$Z$333))</f>
        <v>0.17</v>
      </c>
      <c r="AA370" s="80"/>
      <c r="AB370" s="80"/>
      <c r="AC370" s="737">
        <f ca="1">MAX(0%,IF(U370&lt;&gt;0,MIN((W370-U370)/U370/'NSLT Health Risk'!$E$27,'Health Prem &amp; Reserve Risk'!$AC$333),'Health Prem &amp; Reserve Risk'!$AC$333))</f>
        <v>0.17</v>
      </c>
      <c r="AD370" s="81"/>
      <c r="AE370" s="53"/>
      <c r="AF370" s="53"/>
    </row>
    <row r="371" spans="1:32" ht="12.75" customHeight="1" x14ac:dyDescent="0.25">
      <c r="A371" s="53"/>
      <c r="B371" s="257">
        <v>37</v>
      </c>
      <c r="C371" s="652"/>
      <c r="D371" s="80"/>
      <c r="E371" s="80"/>
      <c r="F371" s="256">
        <f t="shared" ca="1" si="14"/>
        <v>0</v>
      </c>
      <c r="G371" s="624"/>
      <c r="H371" s="85"/>
      <c r="I371" s="624"/>
      <c r="J371" s="85"/>
      <c r="K371" s="624"/>
      <c r="L371" s="85"/>
      <c r="M371" s="624"/>
      <c r="N371" s="85"/>
      <c r="O371" s="624"/>
      <c r="P371" s="85"/>
      <c r="Q371" s="626">
        <f t="shared" si="13"/>
        <v>0</v>
      </c>
      <c r="R371" s="85"/>
      <c r="S371" s="624"/>
      <c r="T371" s="260" t="str">
        <f t="shared" si="15"/>
        <v/>
      </c>
      <c r="U371" s="624"/>
      <c r="V371" s="85"/>
      <c r="W371" s="624"/>
      <c r="X371" s="81"/>
      <c r="Y371" s="80"/>
      <c r="Z371" s="737">
        <f ca="1">MAX(0%,IF(Q371&lt;&gt;0,MIN((S371-Q371)/Q371/'NSLT Health Risk'!$E$27,'Health Prem &amp; Reserve Risk'!$Z$333),'Health Prem &amp; Reserve Risk'!$Z$333))</f>
        <v>0.17</v>
      </c>
      <c r="AA371" s="80"/>
      <c r="AB371" s="80"/>
      <c r="AC371" s="737">
        <f ca="1">MAX(0%,IF(U371&lt;&gt;0,MIN((W371-U371)/U371/'NSLT Health Risk'!$E$27,'Health Prem &amp; Reserve Risk'!$AC$333),'Health Prem &amp; Reserve Risk'!$AC$333))</f>
        <v>0.17</v>
      </c>
      <c r="AD371" s="81"/>
      <c r="AE371" s="53"/>
      <c r="AF371" s="53"/>
    </row>
    <row r="372" spans="1:32" ht="12.75" customHeight="1" x14ac:dyDescent="0.25">
      <c r="A372" s="53"/>
      <c r="B372" s="257">
        <v>38</v>
      </c>
      <c r="C372" s="652"/>
      <c r="D372" s="80"/>
      <c r="E372" s="80"/>
      <c r="F372" s="256">
        <f t="shared" ca="1" si="14"/>
        <v>0</v>
      </c>
      <c r="G372" s="624"/>
      <c r="H372" s="85"/>
      <c r="I372" s="624"/>
      <c r="J372" s="85"/>
      <c r="K372" s="624"/>
      <c r="L372" s="85"/>
      <c r="M372" s="624"/>
      <c r="N372" s="85"/>
      <c r="O372" s="624"/>
      <c r="P372" s="85"/>
      <c r="Q372" s="626">
        <f t="shared" si="13"/>
        <v>0</v>
      </c>
      <c r="R372" s="85"/>
      <c r="S372" s="624"/>
      <c r="T372" s="260" t="str">
        <f t="shared" si="15"/>
        <v/>
      </c>
      <c r="U372" s="624"/>
      <c r="V372" s="85"/>
      <c r="W372" s="624"/>
      <c r="X372" s="81"/>
      <c r="Y372" s="80"/>
      <c r="Z372" s="737">
        <f ca="1">MAX(0%,IF(Q372&lt;&gt;0,MIN((S372-Q372)/Q372/'NSLT Health Risk'!$E$27,'Health Prem &amp; Reserve Risk'!$Z$333),'Health Prem &amp; Reserve Risk'!$Z$333))</f>
        <v>0.17</v>
      </c>
      <c r="AA372" s="80"/>
      <c r="AB372" s="80"/>
      <c r="AC372" s="737">
        <f ca="1">MAX(0%,IF(U372&lt;&gt;0,MIN((W372-U372)/U372/'NSLT Health Risk'!$E$27,'Health Prem &amp; Reserve Risk'!$AC$333),'Health Prem &amp; Reserve Risk'!$AC$333))</f>
        <v>0.17</v>
      </c>
      <c r="AD372" s="81"/>
      <c r="AE372" s="53"/>
      <c r="AF372" s="53"/>
    </row>
    <row r="373" spans="1:32" ht="12.75" customHeight="1" x14ac:dyDescent="0.25">
      <c r="A373" s="53"/>
      <c r="B373" s="257">
        <v>39</v>
      </c>
      <c r="C373" s="652"/>
      <c r="D373" s="80"/>
      <c r="E373" s="80"/>
      <c r="F373" s="256">
        <f t="shared" ca="1" si="14"/>
        <v>0</v>
      </c>
      <c r="G373" s="624"/>
      <c r="H373" s="85"/>
      <c r="I373" s="624"/>
      <c r="J373" s="85"/>
      <c r="K373" s="624"/>
      <c r="L373" s="85"/>
      <c r="M373" s="624"/>
      <c r="N373" s="85"/>
      <c r="O373" s="624"/>
      <c r="P373" s="85"/>
      <c r="Q373" s="626">
        <f t="shared" si="13"/>
        <v>0</v>
      </c>
      <c r="R373" s="85"/>
      <c r="S373" s="624"/>
      <c r="T373" s="260" t="str">
        <f t="shared" si="15"/>
        <v/>
      </c>
      <c r="U373" s="624"/>
      <c r="V373" s="85"/>
      <c r="W373" s="624"/>
      <c r="X373" s="81"/>
      <c r="Y373" s="80"/>
      <c r="Z373" s="737">
        <f ca="1">MAX(0%,IF(Q373&lt;&gt;0,MIN((S373-Q373)/Q373/'NSLT Health Risk'!$E$27,'Health Prem &amp; Reserve Risk'!$Z$333),'Health Prem &amp; Reserve Risk'!$Z$333))</f>
        <v>0.17</v>
      </c>
      <c r="AA373" s="80"/>
      <c r="AB373" s="80"/>
      <c r="AC373" s="737">
        <f ca="1">MAX(0%,IF(U373&lt;&gt;0,MIN((W373-U373)/U373/'NSLT Health Risk'!$E$27,'Health Prem &amp; Reserve Risk'!$AC$333),'Health Prem &amp; Reserve Risk'!$AC$333))</f>
        <v>0.17</v>
      </c>
      <c r="AD373" s="81"/>
      <c r="AE373" s="53"/>
      <c r="AF373" s="53"/>
    </row>
    <row r="374" spans="1:32" ht="12.75" customHeight="1" x14ac:dyDescent="0.25">
      <c r="A374" s="53"/>
      <c r="B374" s="257">
        <v>40</v>
      </c>
      <c r="C374" s="652"/>
      <c r="D374" s="80"/>
      <c r="E374" s="80"/>
      <c r="F374" s="256">
        <f t="shared" ca="1" si="14"/>
        <v>0</v>
      </c>
      <c r="G374" s="624"/>
      <c r="H374" s="85"/>
      <c r="I374" s="624"/>
      <c r="J374" s="85"/>
      <c r="K374" s="624"/>
      <c r="L374" s="85"/>
      <c r="M374" s="624"/>
      <c r="N374" s="85"/>
      <c r="O374" s="624"/>
      <c r="P374" s="85"/>
      <c r="Q374" s="626">
        <f t="shared" si="13"/>
        <v>0</v>
      </c>
      <c r="R374" s="85"/>
      <c r="S374" s="624"/>
      <c r="T374" s="260" t="str">
        <f t="shared" si="15"/>
        <v/>
      </c>
      <c r="U374" s="624"/>
      <c r="V374" s="85"/>
      <c r="W374" s="624"/>
      <c r="X374" s="81"/>
      <c r="Y374" s="80"/>
      <c r="Z374" s="737">
        <f ca="1">MAX(0%,IF(Q374&lt;&gt;0,MIN((S374-Q374)/Q374/'NSLT Health Risk'!$E$27,'Health Prem &amp; Reserve Risk'!$Z$333),'Health Prem &amp; Reserve Risk'!$Z$333))</f>
        <v>0.17</v>
      </c>
      <c r="AA374" s="80"/>
      <c r="AB374" s="80"/>
      <c r="AC374" s="737">
        <f ca="1">MAX(0%,IF(U374&lt;&gt;0,MIN((W374-U374)/U374/'NSLT Health Risk'!$E$27,'Health Prem &amp; Reserve Risk'!$AC$333),'Health Prem &amp; Reserve Risk'!$AC$333))</f>
        <v>0.17</v>
      </c>
      <c r="AD374" s="81"/>
      <c r="AE374" s="53"/>
      <c r="AF374" s="53"/>
    </row>
    <row r="375" spans="1:32" ht="12.75" customHeight="1" x14ac:dyDescent="0.25">
      <c r="A375" s="53"/>
      <c r="B375" s="257">
        <v>41</v>
      </c>
      <c r="C375" s="652"/>
      <c r="D375" s="80"/>
      <c r="E375" s="80"/>
      <c r="F375" s="256">
        <f t="shared" ca="1" si="14"/>
        <v>0</v>
      </c>
      <c r="G375" s="624"/>
      <c r="H375" s="85"/>
      <c r="I375" s="624"/>
      <c r="J375" s="85"/>
      <c r="K375" s="624"/>
      <c r="L375" s="85"/>
      <c r="M375" s="624"/>
      <c r="N375" s="85"/>
      <c r="O375" s="624"/>
      <c r="P375" s="85"/>
      <c r="Q375" s="626">
        <f t="shared" si="13"/>
        <v>0</v>
      </c>
      <c r="R375" s="85"/>
      <c r="S375" s="624"/>
      <c r="T375" s="260" t="str">
        <f t="shared" si="15"/>
        <v/>
      </c>
      <c r="U375" s="624"/>
      <c r="V375" s="85"/>
      <c r="W375" s="624"/>
      <c r="X375" s="81"/>
      <c r="Y375" s="80"/>
      <c r="Z375" s="737">
        <f ca="1">MAX(0%,IF(Q375&lt;&gt;0,MIN((S375-Q375)/Q375/'NSLT Health Risk'!$E$27,'Health Prem &amp; Reserve Risk'!$Z$333),'Health Prem &amp; Reserve Risk'!$Z$333))</f>
        <v>0.17</v>
      </c>
      <c r="AA375" s="80"/>
      <c r="AB375" s="80"/>
      <c r="AC375" s="737">
        <f ca="1">MAX(0%,IF(U375&lt;&gt;0,MIN((W375-U375)/U375/'NSLT Health Risk'!$E$27,'Health Prem &amp; Reserve Risk'!$AC$333),'Health Prem &amp; Reserve Risk'!$AC$333))</f>
        <v>0.17</v>
      </c>
      <c r="AD375" s="81"/>
      <c r="AE375" s="53"/>
      <c r="AF375" s="53"/>
    </row>
    <row r="376" spans="1:32" ht="12.75" customHeight="1" x14ac:dyDescent="0.25">
      <c r="A376" s="53"/>
      <c r="B376" s="257">
        <v>42</v>
      </c>
      <c r="C376" s="652"/>
      <c r="D376" s="80"/>
      <c r="E376" s="80"/>
      <c r="F376" s="256">
        <f t="shared" ca="1" si="14"/>
        <v>0</v>
      </c>
      <c r="G376" s="624"/>
      <c r="H376" s="85"/>
      <c r="I376" s="624"/>
      <c r="J376" s="85"/>
      <c r="K376" s="624"/>
      <c r="L376" s="85"/>
      <c r="M376" s="624"/>
      <c r="N376" s="85"/>
      <c r="O376" s="624"/>
      <c r="P376" s="85"/>
      <c r="Q376" s="626">
        <f t="shared" si="13"/>
        <v>0</v>
      </c>
      <c r="R376" s="85"/>
      <c r="S376" s="624"/>
      <c r="T376" s="260" t="str">
        <f t="shared" si="15"/>
        <v/>
      </c>
      <c r="U376" s="624"/>
      <c r="V376" s="85"/>
      <c r="W376" s="624"/>
      <c r="X376" s="81"/>
      <c r="Y376" s="80"/>
      <c r="Z376" s="737">
        <f ca="1">MAX(0%,IF(Q376&lt;&gt;0,MIN((S376-Q376)/Q376/'NSLT Health Risk'!$E$27,'Health Prem &amp; Reserve Risk'!$Z$333),'Health Prem &amp; Reserve Risk'!$Z$333))</f>
        <v>0.17</v>
      </c>
      <c r="AA376" s="80"/>
      <c r="AB376" s="80"/>
      <c r="AC376" s="737">
        <f ca="1">MAX(0%,IF(U376&lt;&gt;0,MIN((W376-U376)/U376/'NSLT Health Risk'!$E$27,'Health Prem &amp; Reserve Risk'!$AC$333),'Health Prem &amp; Reserve Risk'!$AC$333))</f>
        <v>0.17</v>
      </c>
      <c r="AD376" s="81"/>
      <c r="AE376" s="53"/>
      <c r="AF376" s="53"/>
    </row>
    <row r="377" spans="1:32" ht="12.75" customHeight="1" x14ac:dyDescent="0.25">
      <c r="A377" s="53"/>
      <c r="B377" s="257">
        <v>43</v>
      </c>
      <c r="C377" s="652"/>
      <c r="D377" s="80"/>
      <c r="E377" s="80"/>
      <c r="F377" s="256">
        <f t="shared" ca="1" si="14"/>
        <v>0</v>
      </c>
      <c r="G377" s="624"/>
      <c r="H377" s="85"/>
      <c r="I377" s="624"/>
      <c r="J377" s="85"/>
      <c r="K377" s="624"/>
      <c r="L377" s="85"/>
      <c r="M377" s="624"/>
      <c r="N377" s="85"/>
      <c r="O377" s="624"/>
      <c r="P377" s="85"/>
      <c r="Q377" s="626">
        <f t="shared" si="13"/>
        <v>0</v>
      </c>
      <c r="R377" s="85"/>
      <c r="S377" s="624"/>
      <c r="T377" s="260" t="str">
        <f t="shared" si="15"/>
        <v/>
      </c>
      <c r="U377" s="624"/>
      <c r="V377" s="85"/>
      <c r="W377" s="624"/>
      <c r="X377" s="81"/>
      <c r="Y377" s="80"/>
      <c r="Z377" s="737">
        <f ca="1">MAX(0%,IF(Q377&lt;&gt;0,MIN((S377-Q377)/Q377/'NSLT Health Risk'!$E$27,'Health Prem &amp; Reserve Risk'!$Z$333),'Health Prem &amp; Reserve Risk'!$Z$333))</f>
        <v>0.17</v>
      </c>
      <c r="AA377" s="80"/>
      <c r="AB377" s="80"/>
      <c r="AC377" s="737">
        <f ca="1">MAX(0%,IF(U377&lt;&gt;0,MIN((W377-U377)/U377/'NSLT Health Risk'!$E$27,'Health Prem &amp; Reserve Risk'!$AC$333),'Health Prem &amp; Reserve Risk'!$AC$333))</f>
        <v>0.17</v>
      </c>
      <c r="AD377" s="81"/>
      <c r="AE377" s="53"/>
      <c r="AF377" s="53"/>
    </row>
    <row r="378" spans="1:32" ht="12.75" customHeight="1" x14ac:dyDescent="0.25">
      <c r="A378" s="53"/>
      <c r="B378" s="257">
        <v>44</v>
      </c>
      <c r="C378" s="652"/>
      <c r="D378" s="80"/>
      <c r="E378" s="80"/>
      <c r="F378" s="256">
        <f t="shared" ca="1" si="14"/>
        <v>0</v>
      </c>
      <c r="G378" s="624"/>
      <c r="H378" s="85"/>
      <c r="I378" s="624"/>
      <c r="J378" s="85"/>
      <c r="K378" s="624"/>
      <c r="L378" s="85"/>
      <c r="M378" s="624"/>
      <c r="N378" s="85"/>
      <c r="O378" s="624"/>
      <c r="P378" s="85"/>
      <c r="Q378" s="626">
        <f t="shared" si="13"/>
        <v>0</v>
      </c>
      <c r="R378" s="85"/>
      <c r="S378" s="624"/>
      <c r="T378" s="260" t="str">
        <f t="shared" si="15"/>
        <v/>
      </c>
      <c r="U378" s="624"/>
      <c r="V378" s="85"/>
      <c r="W378" s="624"/>
      <c r="X378" s="81"/>
      <c r="Y378" s="80"/>
      <c r="Z378" s="737">
        <f ca="1">MAX(0%,IF(Q378&lt;&gt;0,MIN((S378-Q378)/Q378/'NSLT Health Risk'!$E$27,'Health Prem &amp; Reserve Risk'!$Z$333),'Health Prem &amp; Reserve Risk'!$Z$333))</f>
        <v>0.17</v>
      </c>
      <c r="AA378" s="80"/>
      <c r="AB378" s="80"/>
      <c r="AC378" s="737">
        <f ca="1">MAX(0%,IF(U378&lt;&gt;0,MIN((W378-U378)/U378/'NSLT Health Risk'!$E$27,'Health Prem &amp; Reserve Risk'!$AC$333),'Health Prem &amp; Reserve Risk'!$AC$333))</f>
        <v>0.17</v>
      </c>
      <c r="AD378" s="81"/>
      <c r="AE378" s="53"/>
      <c r="AF378" s="53"/>
    </row>
    <row r="379" spans="1:32" ht="12.75" customHeight="1" x14ac:dyDescent="0.25">
      <c r="A379" s="53"/>
      <c r="B379" s="257">
        <v>45</v>
      </c>
      <c r="C379" s="652"/>
      <c r="D379" s="80"/>
      <c r="E379" s="80"/>
      <c r="F379" s="256">
        <f t="shared" ca="1" si="14"/>
        <v>0</v>
      </c>
      <c r="G379" s="624"/>
      <c r="H379" s="85"/>
      <c r="I379" s="624"/>
      <c r="J379" s="85"/>
      <c r="K379" s="624"/>
      <c r="L379" s="85"/>
      <c r="M379" s="624"/>
      <c r="N379" s="85"/>
      <c r="O379" s="624"/>
      <c r="P379" s="85"/>
      <c r="Q379" s="626">
        <f t="shared" si="13"/>
        <v>0</v>
      </c>
      <c r="R379" s="85"/>
      <c r="S379" s="624"/>
      <c r="T379" s="260" t="str">
        <f t="shared" si="15"/>
        <v/>
      </c>
      <c r="U379" s="624"/>
      <c r="V379" s="85"/>
      <c r="W379" s="624"/>
      <c r="X379" s="81"/>
      <c r="Y379" s="80"/>
      <c r="Z379" s="737">
        <f ca="1">MAX(0%,IF(Q379&lt;&gt;0,MIN((S379-Q379)/Q379/'NSLT Health Risk'!$E$27,'Health Prem &amp; Reserve Risk'!$Z$333),'Health Prem &amp; Reserve Risk'!$Z$333))</f>
        <v>0.17</v>
      </c>
      <c r="AA379" s="80"/>
      <c r="AB379" s="80"/>
      <c r="AC379" s="737">
        <f ca="1">MAX(0%,IF(U379&lt;&gt;0,MIN((W379-U379)/U379/'NSLT Health Risk'!$E$27,'Health Prem &amp; Reserve Risk'!$AC$333),'Health Prem &amp; Reserve Risk'!$AC$333))</f>
        <v>0.17</v>
      </c>
      <c r="AD379" s="81"/>
      <c r="AE379" s="53"/>
      <c r="AF379" s="53"/>
    </row>
    <row r="380" spans="1:32" ht="12.75" customHeight="1" x14ac:dyDescent="0.25">
      <c r="A380" s="53"/>
      <c r="B380" s="257">
        <v>46</v>
      </c>
      <c r="C380" s="652"/>
      <c r="D380" s="80"/>
      <c r="E380" s="80"/>
      <c r="F380" s="256">
        <f t="shared" ca="1" si="14"/>
        <v>0</v>
      </c>
      <c r="G380" s="624"/>
      <c r="H380" s="85"/>
      <c r="I380" s="624"/>
      <c r="J380" s="85"/>
      <c r="K380" s="624"/>
      <c r="L380" s="85"/>
      <c r="M380" s="624"/>
      <c r="N380" s="85"/>
      <c r="O380" s="624"/>
      <c r="P380" s="85"/>
      <c r="Q380" s="626">
        <f t="shared" si="13"/>
        <v>0</v>
      </c>
      <c r="R380" s="85"/>
      <c r="S380" s="624"/>
      <c r="T380" s="260" t="str">
        <f t="shared" si="15"/>
        <v/>
      </c>
      <c r="U380" s="624"/>
      <c r="V380" s="85"/>
      <c r="W380" s="624"/>
      <c r="X380" s="81"/>
      <c r="Y380" s="80"/>
      <c r="Z380" s="737">
        <f ca="1">MAX(0%,IF(Q380&lt;&gt;0,MIN((S380-Q380)/Q380/'NSLT Health Risk'!$E$27,'Health Prem &amp; Reserve Risk'!$Z$333),'Health Prem &amp; Reserve Risk'!$Z$333))</f>
        <v>0.17</v>
      </c>
      <c r="AA380" s="80"/>
      <c r="AB380" s="80"/>
      <c r="AC380" s="737">
        <f ca="1">MAX(0%,IF(U380&lt;&gt;0,MIN((W380-U380)/U380/'NSLT Health Risk'!$E$27,'Health Prem &amp; Reserve Risk'!$AC$333),'Health Prem &amp; Reserve Risk'!$AC$333))</f>
        <v>0.17</v>
      </c>
      <c r="AD380" s="81"/>
      <c r="AE380" s="53"/>
      <c r="AF380" s="53"/>
    </row>
    <row r="381" spans="1:32" ht="12.75" customHeight="1" x14ac:dyDescent="0.25">
      <c r="A381" s="53"/>
      <c r="B381" s="257">
        <v>47</v>
      </c>
      <c r="C381" s="652"/>
      <c r="D381" s="80"/>
      <c r="E381" s="80"/>
      <c r="F381" s="256">
        <f t="shared" ca="1" si="14"/>
        <v>0</v>
      </c>
      <c r="G381" s="624"/>
      <c r="H381" s="85"/>
      <c r="I381" s="624"/>
      <c r="J381" s="85"/>
      <c r="K381" s="624"/>
      <c r="L381" s="85"/>
      <c r="M381" s="624"/>
      <c r="N381" s="85"/>
      <c r="O381" s="624"/>
      <c r="P381" s="85"/>
      <c r="Q381" s="626">
        <f t="shared" si="13"/>
        <v>0</v>
      </c>
      <c r="R381" s="85"/>
      <c r="S381" s="624"/>
      <c r="T381" s="260" t="str">
        <f t="shared" si="15"/>
        <v/>
      </c>
      <c r="U381" s="624"/>
      <c r="V381" s="85"/>
      <c r="W381" s="624"/>
      <c r="X381" s="81"/>
      <c r="Y381" s="80"/>
      <c r="Z381" s="737">
        <f ca="1">MAX(0%,IF(Q381&lt;&gt;0,MIN((S381-Q381)/Q381/'NSLT Health Risk'!$E$27,'Health Prem &amp; Reserve Risk'!$Z$333),'Health Prem &amp; Reserve Risk'!$Z$333))</f>
        <v>0.17</v>
      </c>
      <c r="AA381" s="80"/>
      <c r="AB381" s="80"/>
      <c r="AC381" s="737">
        <f ca="1">MAX(0%,IF(U381&lt;&gt;0,MIN((W381-U381)/U381/'NSLT Health Risk'!$E$27,'Health Prem &amp; Reserve Risk'!$AC$333),'Health Prem &amp; Reserve Risk'!$AC$333))</f>
        <v>0.17</v>
      </c>
      <c r="AD381" s="81"/>
      <c r="AE381" s="53"/>
      <c r="AF381" s="53"/>
    </row>
    <row r="382" spans="1:32" ht="12.75" customHeight="1" x14ac:dyDescent="0.25">
      <c r="A382" s="53"/>
      <c r="B382" s="257">
        <v>48</v>
      </c>
      <c r="C382" s="652"/>
      <c r="D382" s="80"/>
      <c r="E382" s="80"/>
      <c r="F382" s="256">
        <f t="shared" ca="1" si="14"/>
        <v>0</v>
      </c>
      <c r="G382" s="624"/>
      <c r="H382" s="85"/>
      <c r="I382" s="624"/>
      <c r="J382" s="85"/>
      <c r="K382" s="624"/>
      <c r="L382" s="85"/>
      <c r="M382" s="624"/>
      <c r="N382" s="85"/>
      <c r="O382" s="624"/>
      <c r="P382" s="85"/>
      <c r="Q382" s="626">
        <f t="shared" si="13"/>
        <v>0</v>
      </c>
      <c r="R382" s="85"/>
      <c r="S382" s="624"/>
      <c r="T382" s="260" t="str">
        <f t="shared" si="15"/>
        <v/>
      </c>
      <c r="U382" s="624"/>
      <c r="V382" s="85"/>
      <c r="W382" s="624"/>
      <c r="X382" s="81"/>
      <c r="Y382" s="80"/>
      <c r="Z382" s="737">
        <f ca="1">MAX(0%,IF(Q382&lt;&gt;0,MIN((S382-Q382)/Q382/'NSLT Health Risk'!$E$27,'Health Prem &amp; Reserve Risk'!$Z$333),'Health Prem &amp; Reserve Risk'!$Z$333))</f>
        <v>0.17</v>
      </c>
      <c r="AA382" s="80"/>
      <c r="AB382" s="80"/>
      <c r="AC382" s="737">
        <f ca="1">MAX(0%,IF(U382&lt;&gt;0,MIN((W382-U382)/U382/'NSLT Health Risk'!$E$27,'Health Prem &amp; Reserve Risk'!$AC$333),'Health Prem &amp; Reserve Risk'!$AC$333))</f>
        <v>0.17</v>
      </c>
      <c r="AD382" s="81"/>
      <c r="AE382" s="53"/>
      <c r="AF382" s="53"/>
    </row>
    <row r="383" spans="1:32" ht="12.75" customHeight="1" x14ac:dyDescent="0.25">
      <c r="A383" s="53"/>
      <c r="B383" s="257">
        <v>49</v>
      </c>
      <c r="C383" s="652"/>
      <c r="D383" s="80"/>
      <c r="E383" s="80"/>
      <c r="F383" s="256">
        <f t="shared" ca="1" si="14"/>
        <v>0</v>
      </c>
      <c r="G383" s="624"/>
      <c r="H383" s="85"/>
      <c r="I383" s="624"/>
      <c r="J383" s="85"/>
      <c r="K383" s="624"/>
      <c r="L383" s="85"/>
      <c r="M383" s="624"/>
      <c r="N383" s="85"/>
      <c r="O383" s="624"/>
      <c r="P383" s="85"/>
      <c r="Q383" s="626">
        <f t="shared" si="13"/>
        <v>0</v>
      </c>
      <c r="R383" s="85"/>
      <c r="S383" s="624"/>
      <c r="T383" s="260" t="str">
        <f t="shared" si="15"/>
        <v/>
      </c>
      <c r="U383" s="624"/>
      <c r="V383" s="85"/>
      <c r="W383" s="624"/>
      <c r="X383" s="81"/>
      <c r="Y383" s="80"/>
      <c r="Z383" s="737">
        <f ca="1">MAX(0%,IF(Q383&lt;&gt;0,MIN((S383-Q383)/Q383/'NSLT Health Risk'!$E$27,'Health Prem &amp; Reserve Risk'!$Z$333),'Health Prem &amp; Reserve Risk'!$Z$333))</f>
        <v>0.17</v>
      </c>
      <c r="AA383" s="80"/>
      <c r="AB383" s="80"/>
      <c r="AC383" s="737">
        <f ca="1">MAX(0%,IF(U383&lt;&gt;0,MIN((W383-U383)/U383/'NSLT Health Risk'!$E$27,'Health Prem &amp; Reserve Risk'!$AC$333),'Health Prem &amp; Reserve Risk'!$AC$333))</f>
        <v>0.17</v>
      </c>
      <c r="AD383" s="81"/>
      <c r="AE383" s="53"/>
      <c r="AF383" s="53"/>
    </row>
    <row r="384" spans="1:32" ht="12.75" customHeight="1" x14ac:dyDescent="0.25">
      <c r="A384" s="53"/>
      <c r="B384" s="257">
        <v>50</v>
      </c>
      <c r="C384" s="652"/>
      <c r="D384" s="80"/>
      <c r="E384" s="80"/>
      <c r="F384" s="256">
        <f t="shared" ca="1" si="14"/>
        <v>0</v>
      </c>
      <c r="G384" s="624"/>
      <c r="H384" s="85"/>
      <c r="I384" s="624"/>
      <c r="J384" s="85"/>
      <c r="K384" s="624"/>
      <c r="L384" s="85"/>
      <c r="M384" s="624"/>
      <c r="N384" s="85"/>
      <c r="O384" s="624"/>
      <c r="P384" s="85"/>
      <c r="Q384" s="626">
        <f t="shared" si="13"/>
        <v>0</v>
      </c>
      <c r="R384" s="85"/>
      <c r="S384" s="624"/>
      <c r="T384" s="260" t="str">
        <f t="shared" si="15"/>
        <v/>
      </c>
      <c r="U384" s="624"/>
      <c r="V384" s="85"/>
      <c r="W384" s="624"/>
      <c r="X384" s="81"/>
      <c r="Y384" s="80"/>
      <c r="Z384" s="737">
        <f ca="1">MAX(0%,IF(Q384&lt;&gt;0,MIN((S384-Q384)/Q384/'NSLT Health Risk'!$E$27,'Health Prem &amp; Reserve Risk'!$Z$333),'Health Prem &amp; Reserve Risk'!$Z$333))</f>
        <v>0.17</v>
      </c>
      <c r="AA384" s="80"/>
      <c r="AB384" s="80"/>
      <c r="AC384" s="737">
        <f ca="1">MAX(0%,IF(U384&lt;&gt;0,MIN((W384-U384)/U384/'NSLT Health Risk'!$E$27,'Health Prem &amp; Reserve Risk'!$AC$333),'Health Prem &amp; Reserve Risk'!$AC$333))</f>
        <v>0.17</v>
      </c>
      <c r="AD384" s="81"/>
      <c r="AE384" s="53"/>
      <c r="AF384" s="53"/>
    </row>
    <row r="385" spans="1:32" ht="12.75" customHeight="1" x14ac:dyDescent="0.25">
      <c r="A385" s="53"/>
      <c r="B385" s="257">
        <v>51</v>
      </c>
      <c r="C385" s="652"/>
      <c r="D385" s="80"/>
      <c r="E385" s="80"/>
      <c r="F385" s="256">
        <f t="shared" ca="1" si="14"/>
        <v>0</v>
      </c>
      <c r="G385" s="624"/>
      <c r="H385" s="85"/>
      <c r="I385" s="624"/>
      <c r="J385" s="85"/>
      <c r="K385" s="624"/>
      <c r="L385" s="85"/>
      <c r="M385" s="624"/>
      <c r="N385" s="85"/>
      <c r="O385" s="624"/>
      <c r="P385" s="85"/>
      <c r="Q385" s="626">
        <f t="shared" si="13"/>
        <v>0</v>
      </c>
      <c r="R385" s="85"/>
      <c r="S385" s="624"/>
      <c r="T385" s="260" t="str">
        <f t="shared" si="15"/>
        <v/>
      </c>
      <c r="U385" s="624"/>
      <c r="V385" s="85"/>
      <c r="W385" s="624"/>
      <c r="X385" s="81"/>
      <c r="Y385" s="80"/>
      <c r="Z385" s="737">
        <f ca="1">MAX(0%,IF(Q385&lt;&gt;0,MIN((S385-Q385)/Q385/'NSLT Health Risk'!$E$27,'Health Prem &amp; Reserve Risk'!$Z$333),'Health Prem &amp; Reserve Risk'!$Z$333))</f>
        <v>0.17</v>
      </c>
      <c r="AA385" s="80"/>
      <c r="AB385" s="80"/>
      <c r="AC385" s="737">
        <f ca="1">MAX(0%,IF(U385&lt;&gt;0,MIN((W385-U385)/U385/'NSLT Health Risk'!$E$27,'Health Prem &amp; Reserve Risk'!$AC$333),'Health Prem &amp; Reserve Risk'!$AC$333))</f>
        <v>0.17</v>
      </c>
      <c r="AD385" s="81"/>
      <c r="AE385" s="53"/>
      <c r="AF385" s="53"/>
    </row>
    <row r="386" spans="1:32" ht="12.75" customHeight="1" x14ac:dyDescent="0.25">
      <c r="A386" s="53"/>
      <c r="B386" s="257">
        <v>52</v>
      </c>
      <c r="C386" s="652"/>
      <c r="D386" s="80"/>
      <c r="E386" s="80"/>
      <c r="F386" s="256">
        <f t="shared" ca="1" si="14"/>
        <v>0</v>
      </c>
      <c r="G386" s="624"/>
      <c r="H386" s="85"/>
      <c r="I386" s="624"/>
      <c r="J386" s="85"/>
      <c r="K386" s="624"/>
      <c r="L386" s="85"/>
      <c r="M386" s="624"/>
      <c r="N386" s="85"/>
      <c r="O386" s="624"/>
      <c r="P386" s="85"/>
      <c r="Q386" s="626">
        <f t="shared" si="13"/>
        <v>0</v>
      </c>
      <c r="R386" s="85"/>
      <c r="S386" s="624"/>
      <c r="T386" s="260" t="str">
        <f t="shared" si="15"/>
        <v/>
      </c>
      <c r="U386" s="624"/>
      <c r="V386" s="85"/>
      <c r="W386" s="624"/>
      <c r="X386" s="81"/>
      <c r="Y386" s="80"/>
      <c r="Z386" s="737">
        <f ca="1">MAX(0%,IF(Q386&lt;&gt;0,MIN((S386-Q386)/Q386/'NSLT Health Risk'!$E$27,'Health Prem &amp; Reserve Risk'!$Z$333),'Health Prem &amp; Reserve Risk'!$Z$333))</f>
        <v>0.17</v>
      </c>
      <c r="AA386" s="80"/>
      <c r="AB386" s="80"/>
      <c r="AC386" s="737">
        <f ca="1">MAX(0%,IF(U386&lt;&gt;0,MIN((W386-U386)/U386/'NSLT Health Risk'!$E$27,'Health Prem &amp; Reserve Risk'!$AC$333),'Health Prem &amp; Reserve Risk'!$AC$333))</f>
        <v>0.17</v>
      </c>
      <c r="AD386" s="81"/>
      <c r="AE386" s="53"/>
      <c r="AF386" s="53"/>
    </row>
    <row r="387" spans="1:32" ht="12.75" customHeight="1" x14ac:dyDescent="0.25">
      <c r="A387" s="53"/>
      <c r="B387" s="257">
        <v>53</v>
      </c>
      <c r="C387" s="652"/>
      <c r="D387" s="80"/>
      <c r="E387" s="80"/>
      <c r="F387" s="256">
        <f t="shared" ca="1" si="14"/>
        <v>0</v>
      </c>
      <c r="G387" s="624"/>
      <c r="H387" s="85"/>
      <c r="I387" s="624"/>
      <c r="J387" s="85"/>
      <c r="K387" s="624"/>
      <c r="L387" s="85"/>
      <c r="M387" s="624"/>
      <c r="N387" s="85"/>
      <c r="O387" s="624"/>
      <c r="P387" s="85"/>
      <c r="Q387" s="626">
        <f t="shared" si="13"/>
        <v>0</v>
      </c>
      <c r="R387" s="85"/>
      <c r="S387" s="624"/>
      <c r="T387" s="260" t="str">
        <f t="shared" si="15"/>
        <v/>
      </c>
      <c r="U387" s="624"/>
      <c r="V387" s="85"/>
      <c r="W387" s="624"/>
      <c r="X387" s="81"/>
      <c r="Y387" s="80"/>
      <c r="Z387" s="737">
        <f ca="1">MAX(0%,IF(Q387&lt;&gt;0,MIN((S387-Q387)/Q387/'NSLT Health Risk'!$E$27,'Health Prem &amp; Reserve Risk'!$Z$333),'Health Prem &amp; Reserve Risk'!$Z$333))</f>
        <v>0.17</v>
      </c>
      <c r="AA387" s="80"/>
      <c r="AB387" s="80"/>
      <c r="AC387" s="737">
        <f ca="1">MAX(0%,IF(U387&lt;&gt;0,MIN((W387-U387)/U387/'NSLT Health Risk'!$E$27,'Health Prem &amp; Reserve Risk'!$AC$333),'Health Prem &amp; Reserve Risk'!$AC$333))</f>
        <v>0.17</v>
      </c>
      <c r="AD387" s="81"/>
      <c r="AE387" s="53"/>
      <c r="AF387" s="53"/>
    </row>
    <row r="388" spans="1:32" ht="12.75" customHeight="1" x14ac:dyDescent="0.25">
      <c r="A388" s="53"/>
      <c r="B388" s="257">
        <v>54</v>
      </c>
      <c r="C388" s="652"/>
      <c r="D388" s="80"/>
      <c r="E388" s="80"/>
      <c r="F388" s="256">
        <f t="shared" ca="1" si="14"/>
        <v>0</v>
      </c>
      <c r="G388" s="624"/>
      <c r="H388" s="85"/>
      <c r="I388" s="624"/>
      <c r="J388" s="85"/>
      <c r="K388" s="624"/>
      <c r="L388" s="85"/>
      <c r="M388" s="624"/>
      <c r="N388" s="85"/>
      <c r="O388" s="624"/>
      <c r="P388" s="85"/>
      <c r="Q388" s="626">
        <f t="shared" si="13"/>
        <v>0</v>
      </c>
      <c r="R388" s="85"/>
      <c r="S388" s="624"/>
      <c r="T388" s="260" t="str">
        <f t="shared" si="15"/>
        <v/>
      </c>
      <c r="U388" s="624"/>
      <c r="V388" s="85"/>
      <c r="W388" s="624"/>
      <c r="X388" s="81"/>
      <c r="Y388" s="80"/>
      <c r="Z388" s="737">
        <f ca="1">MAX(0%,IF(Q388&lt;&gt;0,MIN((S388-Q388)/Q388/'NSLT Health Risk'!$E$27,'Health Prem &amp; Reserve Risk'!$Z$333),'Health Prem &amp; Reserve Risk'!$Z$333))</f>
        <v>0.17</v>
      </c>
      <c r="AA388" s="80"/>
      <c r="AB388" s="80"/>
      <c r="AC388" s="737">
        <f ca="1">MAX(0%,IF(U388&lt;&gt;0,MIN((W388-U388)/U388/'NSLT Health Risk'!$E$27,'Health Prem &amp; Reserve Risk'!$AC$333),'Health Prem &amp; Reserve Risk'!$AC$333))</f>
        <v>0.17</v>
      </c>
      <c r="AD388" s="81"/>
      <c r="AE388" s="53"/>
      <c r="AF388" s="53"/>
    </row>
    <row r="389" spans="1:32" ht="12.75" customHeight="1" x14ac:dyDescent="0.25">
      <c r="A389" s="53"/>
      <c r="B389" s="257">
        <v>55</v>
      </c>
      <c r="C389" s="652"/>
      <c r="D389" s="80"/>
      <c r="E389" s="80"/>
      <c r="F389" s="256">
        <f t="shared" ca="1" si="14"/>
        <v>0</v>
      </c>
      <c r="G389" s="624"/>
      <c r="H389" s="85"/>
      <c r="I389" s="624"/>
      <c r="J389" s="85"/>
      <c r="K389" s="624"/>
      <c r="L389" s="85"/>
      <c r="M389" s="624"/>
      <c r="N389" s="85"/>
      <c r="O389" s="624"/>
      <c r="P389" s="85"/>
      <c r="Q389" s="626">
        <f t="shared" si="13"/>
        <v>0</v>
      </c>
      <c r="R389" s="85"/>
      <c r="S389" s="624"/>
      <c r="T389" s="260" t="str">
        <f t="shared" si="15"/>
        <v/>
      </c>
      <c r="U389" s="624"/>
      <c r="V389" s="85"/>
      <c r="W389" s="624"/>
      <c r="X389" s="81"/>
      <c r="Y389" s="80"/>
      <c r="Z389" s="737">
        <f ca="1">MAX(0%,IF(Q389&lt;&gt;0,MIN((S389-Q389)/Q389/'NSLT Health Risk'!$E$27,'Health Prem &amp; Reserve Risk'!$Z$333),'Health Prem &amp; Reserve Risk'!$Z$333))</f>
        <v>0.17</v>
      </c>
      <c r="AA389" s="80"/>
      <c r="AB389" s="80"/>
      <c r="AC389" s="737">
        <f ca="1">MAX(0%,IF(U389&lt;&gt;0,MIN((W389-U389)/U389/'NSLT Health Risk'!$E$27,'Health Prem &amp; Reserve Risk'!$AC$333),'Health Prem &amp; Reserve Risk'!$AC$333))</f>
        <v>0.17</v>
      </c>
      <c r="AD389" s="81"/>
      <c r="AE389" s="53"/>
      <c r="AF389" s="53"/>
    </row>
    <row r="390" spans="1:32" ht="12.75" customHeight="1" x14ac:dyDescent="0.25">
      <c r="A390" s="53"/>
      <c r="B390" s="257">
        <v>56</v>
      </c>
      <c r="C390" s="652"/>
      <c r="D390" s="80"/>
      <c r="E390" s="80"/>
      <c r="F390" s="256">
        <f t="shared" ca="1" si="14"/>
        <v>0</v>
      </c>
      <c r="G390" s="624"/>
      <c r="H390" s="85"/>
      <c r="I390" s="624"/>
      <c r="J390" s="85"/>
      <c r="K390" s="624"/>
      <c r="L390" s="85"/>
      <c r="M390" s="624"/>
      <c r="N390" s="85"/>
      <c r="O390" s="624"/>
      <c r="P390" s="85"/>
      <c r="Q390" s="626">
        <f t="shared" si="13"/>
        <v>0</v>
      </c>
      <c r="R390" s="85"/>
      <c r="S390" s="624"/>
      <c r="T390" s="260" t="str">
        <f t="shared" si="15"/>
        <v/>
      </c>
      <c r="U390" s="624"/>
      <c r="V390" s="85"/>
      <c r="W390" s="624"/>
      <c r="X390" s="81"/>
      <c r="Y390" s="80"/>
      <c r="Z390" s="737">
        <f ca="1">MAX(0%,IF(Q390&lt;&gt;0,MIN((S390-Q390)/Q390/'NSLT Health Risk'!$E$27,'Health Prem &amp; Reserve Risk'!$Z$333),'Health Prem &amp; Reserve Risk'!$Z$333))</f>
        <v>0.17</v>
      </c>
      <c r="AA390" s="80"/>
      <c r="AB390" s="80"/>
      <c r="AC390" s="737">
        <f ca="1">MAX(0%,IF(U390&lt;&gt;0,MIN((W390-U390)/U390/'NSLT Health Risk'!$E$27,'Health Prem &amp; Reserve Risk'!$AC$333),'Health Prem &amp; Reserve Risk'!$AC$333))</f>
        <v>0.17</v>
      </c>
      <c r="AD390" s="81"/>
      <c r="AE390" s="53"/>
      <c r="AF390" s="53"/>
    </row>
    <row r="391" spans="1:32" ht="12.75" customHeight="1" x14ac:dyDescent="0.25">
      <c r="A391" s="53"/>
      <c r="B391" s="257">
        <v>57</v>
      </c>
      <c r="C391" s="652"/>
      <c r="D391" s="80"/>
      <c r="E391" s="80"/>
      <c r="F391" s="256">
        <f t="shared" ca="1" si="14"/>
        <v>0</v>
      </c>
      <c r="G391" s="624"/>
      <c r="H391" s="85"/>
      <c r="I391" s="624"/>
      <c r="J391" s="85"/>
      <c r="K391" s="624"/>
      <c r="L391" s="85"/>
      <c r="M391" s="624"/>
      <c r="N391" s="85"/>
      <c r="O391" s="624"/>
      <c r="P391" s="85"/>
      <c r="Q391" s="626">
        <f t="shared" si="13"/>
        <v>0</v>
      </c>
      <c r="R391" s="85"/>
      <c r="S391" s="624"/>
      <c r="T391" s="260" t="str">
        <f t="shared" si="15"/>
        <v/>
      </c>
      <c r="U391" s="624"/>
      <c r="V391" s="85"/>
      <c r="W391" s="624"/>
      <c r="X391" s="81"/>
      <c r="Y391" s="80"/>
      <c r="Z391" s="737">
        <f ca="1">MAX(0%,IF(Q391&lt;&gt;0,MIN((S391-Q391)/Q391/'NSLT Health Risk'!$E$27,'Health Prem &amp; Reserve Risk'!$Z$333),'Health Prem &amp; Reserve Risk'!$Z$333))</f>
        <v>0.17</v>
      </c>
      <c r="AA391" s="80"/>
      <c r="AB391" s="80"/>
      <c r="AC391" s="737">
        <f ca="1">MAX(0%,IF(U391&lt;&gt;0,MIN((W391-U391)/U391/'NSLT Health Risk'!$E$27,'Health Prem &amp; Reserve Risk'!$AC$333),'Health Prem &amp; Reserve Risk'!$AC$333))</f>
        <v>0.17</v>
      </c>
      <c r="AD391" s="81"/>
      <c r="AE391" s="53"/>
      <c r="AF391" s="53"/>
    </row>
    <row r="392" spans="1:32" ht="12.75" customHeight="1" x14ac:dyDescent="0.25">
      <c r="A392" s="53"/>
      <c r="B392" s="257">
        <v>58</v>
      </c>
      <c r="C392" s="652"/>
      <c r="D392" s="80"/>
      <c r="E392" s="80"/>
      <c r="F392" s="256">
        <f t="shared" ca="1" si="14"/>
        <v>0</v>
      </c>
      <c r="G392" s="624"/>
      <c r="H392" s="85"/>
      <c r="I392" s="624"/>
      <c r="J392" s="85"/>
      <c r="K392" s="624"/>
      <c r="L392" s="85"/>
      <c r="M392" s="624"/>
      <c r="N392" s="85"/>
      <c r="O392" s="624"/>
      <c r="P392" s="85"/>
      <c r="Q392" s="626">
        <f t="shared" si="13"/>
        <v>0</v>
      </c>
      <c r="R392" s="85"/>
      <c r="S392" s="624"/>
      <c r="T392" s="260" t="str">
        <f t="shared" si="15"/>
        <v/>
      </c>
      <c r="U392" s="624"/>
      <c r="V392" s="85"/>
      <c r="W392" s="624"/>
      <c r="X392" s="81"/>
      <c r="Y392" s="80"/>
      <c r="Z392" s="737">
        <f ca="1">MAX(0%,IF(Q392&lt;&gt;0,MIN((S392-Q392)/Q392/'NSLT Health Risk'!$E$27,'Health Prem &amp; Reserve Risk'!$Z$333),'Health Prem &amp; Reserve Risk'!$Z$333))</f>
        <v>0.17</v>
      </c>
      <c r="AA392" s="80"/>
      <c r="AB392" s="80"/>
      <c r="AC392" s="737">
        <f ca="1">MAX(0%,IF(U392&lt;&gt;0,MIN((W392-U392)/U392/'NSLT Health Risk'!$E$27,'Health Prem &amp; Reserve Risk'!$AC$333),'Health Prem &amp; Reserve Risk'!$AC$333))</f>
        <v>0.17</v>
      </c>
      <c r="AD392" s="81"/>
      <c r="AE392" s="53"/>
      <c r="AF392" s="53"/>
    </row>
    <row r="393" spans="1:32" ht="12.75" customHeight="1" x14ac:dyDescent="0.25">
      <c r="A393" s="53"/>
      <c r="B393" s="257">
        <v>59</v>
      </c>
      <c r="C393" s="652"/>
      <c r="D393" s="80"/>
      <c r="E393" s="80"/>
      <c r="F393" s="256">
        <f t="shared" ca="1" si="14"/>
        <v>0</v>
      </c>
      <c r="G393" s="624"/>
      <c r="H393" s="85"/>
      <c r="I393" s="624"/>
      <c r="J393" s="85"/>
      <c r="K393" s="624"/>
      <c r="L393" s="85"/>
      <c r="M393" s="624"/>
      <c r="N393" s="85"/>
      <c r="O393" s="624"/>
      <c r="P393" s="85"/>
      <c r="Q393" s="626">
        <f t="shared" si="13"/>
        <v>0</v>
      </c>
      <c r="R393" s="85"/>
      <c r="S393" s="624"/>
      <c r="T393" s="260" t="str">
        <f t="shared" si="15"/>
        <v/>
      </c>
      <c r="U393" s="624"/>
      <c r="V393" s="85"/>
      <c r="W393" s="624"/>
      <c r="X393" s="81"/>
      <c r="Y393" s="80"/>
      <c r="Z393" s="737">
        <f ca="1">MAX(0%,IF(Q393&lt;&gt;0,MIN((S393-Q393)/Q393/'NSLT Health Risk'!$E$27,'Health Prem &amp; Reserve Risk'!$Z$333),'Health Prem &amp; Reserve Risk'!$Z$333))</f>
        <v>0.17</v>
      </c>
      <c r="AA393" s="80"/>
      <c r="AB393" s="80"/>
      <c r="AC393" s="737">
        <f ca="1">MAX(0%,IF(U393&lt;&gt;0,MIN((W393-U393)/U393/'NSLT Health Risk'!$E$27,'Health Prem &amp; Reserve Risk'!$AC$333),'Health Prem &amp; Reserve Risk'!$AC$333))</f>
        <v>0.17</v>
      </c>
      <c r="AD393" s="81"/>
      <c r="AE393" s="53"/>
      <c r="AF393" s="53"/>
    </row>
    <row r="394" spans="1:32" ht="12.75" customHeight="1" x14ac:dyDescent="0.25">
      <c r="A394" s="53"/>
      <c r="B394" s="257">
        <v>60</v>
      </c>
      <c r="C394" s="652"/>
      <c r="D394" s="80"/>
      <c r="E394" s="80"/>
      <c r="F394" s="256">
        <f t="shared" ca="1" si="14"/>
        <v>0</v>
      </c>
      <c r="G394" s="624"/>
      <c r="H394" s="85"/>
      <c r="I394" s="624"/>
      <c r="J394" s="85"/>
      <c r="K394" s="624"/>
      <c r="L394" s="85"/>
      <c r="M394" s="624"/>
      <c r="N394" s="85"/>
      <c r="O394" s="624"/>
      <c r="P394" s="85"/>
      <c r="Q394" s="626">
        <f t="shared" si="13"/>
        <v>0</v>
      </c>
      <c r="R394" s="85"/>
      <c r="S394" s="624"/>
      <c r="T394" s="260" t="str">
        <f t="shared" si="15"/>
        <v/>
      </c>
      <c r="U394" s="624"/>
      <c r="V394" s="85"/>
      <c r="W394" s="624"/>
      <c r="X394" s="81"/>
      <c r="Y394" s="80"/>
      <c r="Z394" s="737">
        <f ca="1">MAX(0%,IF(Q394&lt;&gt;0,MIN((S394-Q394)/Q394/'NSLT Health Risk'!$E$27,'Health Prem &amp; Reserve Risk'!$Z$333),'Health Prem &amp; Reserve Risk'!$Z$333))</f>
        <v>0.17</v>
      </c>
      <c r="AA394" s="80"/>
      <c r="AB394" s="80"/>
      <c r="AC394" s="737">
        <f ca="1">MAX(0%,IF(U394&lt;&gt;0,MIN((W394-U394)/U394/'NSLT Health Risk'!$E$27,'Health Prem &amp; Reserve Risk'!$AC$333),'Health Prem &amp; Reserve Risk'!$AC$333))</f>
        <v>0.17</v>
      </c>
      <c r="AD394" s="81"/>
      <c r="AE394" s="53"/>
      <c r="AF394" s="53"/>
    </row>
    <row r="395" spans="1:32" ht="12.75" customHeight="1" x14ac:dyDescent="0.25">
      <c r="A395" s="53"/>
      <c r="B395" s="257">
        <v>61</v>
      </c>
      <c r="C395" s="652"/>
      <c r="D395" s="80"/>
      <c r="E395" s="80"/>
      <c r="F395" s="256">
        <f t="shared" ca="1" si="14"/>
        <v>0</v>
      </c>
      <c r="G395" s="624"/>
      <c r="H395" s="85"/>
      <c r="I395" s="624"/>
      <c r="J395" s="85"/>
      <c r="K395" s="624"/>
      <c r="L395" s="85"/>
      <c r="M395" s="624"/>
      <c r="N395" s="85"/>
      <c r="O395" s="624"/>
      <c r="P395" s="85"/>
      <c r="Q395" s="626">
        <f t="shared" si="13"/>
        <v>0</v>
      </c>
      <c r="R395" s="85"/>
      <c r="S395" s="624"/>
      <c r="T395" s="260" t="str">
        <f t="shared" si="15"/>
        <v/>
      </c>
      <c r="U395" s="624"/>
      <c r="V395" s="85"/>
      <c r="W395" s="624"/>
      <c r="X395" s="81"/>
      <c r="Y395" s="80"/>
      <c r="Z395" s="737">
        <f ca="1">MAX(0%,IF(Q395&lt;&gt;0,MIN((S395-Q395)/Q395/'NSLT Health Risk'!$E$27,'Health Prem &amp; Reserve Risk'!$Z$333),'Health Prem &amp; Reserve Risk'!$Z$333))</f>
        <v>0.17</v>
      </c>
      <c r="AA395" s="80"/>
      <c r="AB395" s="80"/>
      <c r="AC395" s="737">
        <f ca="1">MAX(0%,IF(U395&lt;&gt;0,MIN((W395-U395)/U395/'NSLT Health Risk'!$E$27,'Health Prem &amp; Reserve Risk'!$AC$333),'Health Prem &amp; Reserve Risk'!$AC$333))</f>
        <v>0.17</v>
      </c>
      <c r="AD395" s="81"/>
      <c r="AE395" s="53"/>
      <c r="AF395" s="53"/>
    </row>
    <row r="396" spans="1:32" ht="12.75" customHeight="1" x14ac:dyDescent="0.25">
      <c r="A396" s="53"/>
      <c r="B396" s="257">
        <v>62</v>
      </c>
      <c r="C396" s="652"/>
      <c r="D396" s="80"/>
      <c r="E396" s="80"/>
      <c r="F396" s="256">
        <f t="shared" ca="1" si="14"/>
        <v>0</v>
      </c>
      <c r="G396" s="624"/>
      <c r="H396" s="85"/>
      <c r="I396" s="624"/>
      <c r="J396" s="85"/>
      <c r="K396" s="624"/>
      <c r="L396" s="85"/>
      <c r="M396" s="624"/>
      <c r="N396" s="85"/>
      <c r="O396" s="624"/>
      <c r="P396" s="85"/>
      <c r="Q396" s="626">
        <f t="shared" si="13"/>
        <v>0</v>
      </c>
      <c r="R396" s="85"/>
      <c r="S396" s="624"/>
      <c r="T396" s="260" t="str">
        <f t="shared" si="15"/>
        <v/>
      </c>
      <c r="U396" s="624"/>
      <c r="V396" s="85"/>
      <c r="W396" s="624"/>
      <c r="X396" s="81"/>
      <c r="Y396" s="80"/>
      <c r="Z396" s="737">
        <f ca="1">MAX(0%,IF(Q396&lt;&gt;0,MIN((S396-Q396)/Q396/'NSLT Health Risk'!$E$27,'Health Prem &amp; Reserve Risk'!$Z$333),'Health Prem &amp; Reserve Risk'!$Z$333))</f>
        <v>0.17</v>
      </c>
      <c r="AA396" s="80"/>
      <c r="AB396" s="80"/>
      <c r="AC396" s="737">
        <f ca="1">MAX(0%,IF(U396&lt;&gt;0,MIN((W396-U396)/U396/'NSLT Health Risk'!$E$27,'Health Prem &amp; Reserve Risk'!$AC$333),'Health Prem &amp; Reserve Risk'!$AC$333))</f>
        <v>0.17</v>
      </c>
      <c r="AD396" s="81"/>
      <c r="AE396" s="53"/>
      <c r="AF396" s="53"/>
    </row>
    <row r="397" spans="1:32" ht="12.75" customHeight="1" x14ac:dyDescent="0.25">
      <c r="A397" s="53"/>
      <c r="B397" s="257">
        <v>63</v>
      </c>
      <c r="C397" s="652"/>
      <c r="D397" s="80"/>
      <c r="E397" s="80"/>
      <c r="F397" s="256">
        <f t="shared" ca="1" si="14"/>
        <v>0</v>
      </c>
      <c r="G397" s="624"/>
      <c r="H397" s="85"/>
      <c r="I397" s="624"/>
      <c r="J397" s="85"/>
      <c r="K397" s="624"/>
      <c r="L397" s="85"/>
      <c r="M397" s="624"/>
      <c r="N397" s="85"/>
      <c r="O397" s="624"/>
      <c r="P397" s="85"/>
      <c r="Q397" s="626">
        <f t="shared" si="13"/>
        <v>0</v>
      </c>
      <c r="R397" s="85"/>
      <c r="S397" s="624"/>
      <c r="T397" s="260" t="str">
        <f t="shared" si="15"/>
        <v/>
      </c>
      <c r="U397" s="624"/>
      <c r="V397" s="85"/>
      <c r="W397" s="624"/>
      <c r="X397" s="81"/>
      <c r="Y397" s="80"/>
      <c r="Z397" s="737">
        <f ca="1">MAX(0%,IF(Q397&lt;&gt;0,MIN((S397-Q397)/Q397/'NSLT Health Risk'!$E$27,'Health Prem &amp; Reserve Risk'!$Z$333),'Health Prem &amp; Reserve Risk'!$Z$333))</f>
        <v>0.17</v>
      </c>
      <c r="AA397" s="80"/>
      <c r="AB397" s="80"/>
      <c r="AC397" s="737">
        <f ca="1">MAX(0%,IF(U397&lt;&gt;0,MIN((W397-U397)/U397/'NSLT Health Risk'!$E$27,'Health Prem &amp; Reserve Risk'!$AC$333),'Health Prem &amp; Reserve Risk'!$AC$333))</f>
        <v>0.17</v>
      </c>
      <c r="AD397" s="81"/>
      <c r="AE397" s="53"/>
      <c r="AF397" s="53"/>
    </row>
    <row r="398" spans="1:32" ht="12.75" customHeight="1" x14ac:dyDescent="0.25">
      <c r="A398" s="53"/>
      <c r="B398" s="257">
        <v>64</v>
      </c>
      <c r="C398" s="652"/>
      <c r="D398" s="80"/>
      <c r="E398" s="80"/>
      <c r="F398" s="256">
        <f t="shared" ca="1" si="14"/>
        <v>0</v>
      </c>
      <c r="G398" s="624"/>
      <c r="H398" s="85"/>
      <c r="I398" s="624"/>
      <c r="J398" s="85"/>
      <c r="K398" s="624"/>
      <c r="L398" s="85"/>
      <c r="M398" s="624"/>
      <c r="N398" s="85"/>
      <c r="O398" s="624"/>
      <c r="P398" s="85"/>
      <c r="Q398" s="626">
        <f t="shared" si="13"/>
        <v>0</v>
      </c>
      <c r="R398" s="85"/>
      <c r="S398" s="624"/>
      <c r="T398" s="260" t="str">
        <f t="shared" si="15"/>
        <v/>
      </c>
      <c r="U398" s="624"/>
      <c r="V398" s="85"/>
      <c r="W398" s="624"/>
      <c r="X398" s="81"/>
      <c r="Y398" s="80"/>
      <c r="Z398" s="737">
        <f ca="1">MAX(0%,IF(Q398&lt;&gt;0,MIN((S398-Q398)/Q398/'NSLT Health Risk'!$E$27,'Health Prem &amp; Reserve Risk'!$Z$333),'Health Prem &amp; Reserve Risk'!$Z$333))</f>
        <v>0.17</v>
      </c>
      <c r="AA398" s="80"/>
      <c r="AB398" s="80"/>
      <c r="AC398" s="737">
        <f ca="1">MAX(0%,IF(U398&lt;&gt;0,MIN((W398-U398)/U398/'NSLT Health Risk'!$E$27,'Health Prem &amp; Reserve Risk'!$AC$333),'Health Prem &amp; Reserve Risk'!$AC$333))</f>
        <v>0.17</v>
      </c>
      <c r="AD398" s="81"/>
      <c r="AE398" s="53"/>
      <c r="AF398" s="53"/>
    </row>
    <row r="399" spans="1:32" ht="12.75" customHeight="1" x14ac:dyDescent="0.25">
      <c r="A399" s="53"/>
      <c r="B399" s="257">
        <v>65</v>
      </c>
      <c r="C399" s="652"/>
      <c r="D399" s="80"/>
      <c r="E399" s="80"/>
      <c r="F399" s="256">
        <f t="shared" ca="1" si="14"/>
        <v>0</v>
      </c>
      <c r="G399" s="624"/>
      <c r="H399" s="85"/>
      <c r="I399" s="624"/>
      <c r="J399" s="85"/>
      <c r="K399" s="624"/>
      <c r="L399" s="85"/>
      <c r="M399" s="624"/>
      <c r="N399" s="85"/>
      <c r="O399" s="624"/>
      <c r="P399" s="85"/>
      <c r="Q399" s="626">
        <f t="shared" si="13"/>
        <v>0</v>
      </c>
      <c r="R399" s="85"/>
      <c r="S399" s="624"/>
      <c r="T399" s="260" t="str">
        <f t="shared" si="15"/>
        <v/>
      </c>
      <c r="U399" s="624"/>
      <c r="V399" s="85"/>
      <c r="W399" s="624"/>
      <c r="X399" s="81"/>
      <c r="Y399" s="80"/>
      <c r="Z399" s="737">
        <f ca="1">MAX(0%,IF(Q399&lt;&gt;0,MIN((S399-Q399)/Q399/'NSLT Health Risk'!$E$27,'Health Prem &amp; Reserve Risk'!$Z$333),'Health Prem &amp; Reserve Risk'!$Z$333))</f>
        <v>0.17</v>
      </c>
      <c r="AA399" s="80"/>
      <c r="AB399" s="80"/>
      <c r="AC399" s="737">
        <f ca="1">MAX(0%,IF(U399&lt;&gt;0,MIN((W399-U399)/U399/'NSLT Health Risk'!$E$27,'Health Prem &amp; Reserve Risk'!$AC$333),'Health Prem &amp; Reserve Risk'!$AC$333))</f>
        <v>0.17</v>
      </c>
      <c r="AD399" s="81"/>
      <c r="AE399" s="53"/>
      <c r="AF399" s="53"/>
    </row>
    <row r="400" spans="1:32" ht="12.75" customHeight="1" x14ac:dyDescent="0.25">
      <c r="A400" s="53"/>
      <c r="B400" s="257">
        <v>66</v>
      </c>
      <c r="C400" s="652"/>
      <c r="D400" s="80"/>
      <c r="E400" s="80"/>
      <c r="F400" s="256">
        <f t="shared" ref="F400:F434" ca="1" si="16">IF(B400&lt;=OFFSET($Z$8,B$332-25,0),0,1)</f>
        <v>0</v>
      </c>
      <c r="G400" s="624"/>
      <c r="H400" s="85"/>
      <c r="I400" s="624"/>
      <c r="J400" s="85"/>
      <c r="K400" s="624"/>
      <c r="L400" s="85"/>
      <c r="M400" s="624"/>
      <c r="N400" s="85"/>
      <c r="O400" s="624"/>
      <c r="P400" s="85"/>
      <c r="Q400" s="626">
        <f t="shared" si="13"/>
        <v>0</v>
      </c>
      <c r="R400" s="85"/>
      <c r="S400" s="624"/>
      <c r="T400" s="260" t="str">
        <f t="shared" si="15"/>
        <v/>
      </c>
      <c r="U400" s="624"/>
      <c r="V400" s="85"/>
      <c r="W400" s="624"/>
      <c r="X400" s="81"/>
      <c r="Y400" s="80"/>
      <c r="Z400" s="737">
        <f ca="1">MAX(0%,IF(Q400&lt;&gt;0,MIN((S400-Q400)/Q400/'NSLT Health Risk'!$E$27,'Health Prem &amp; Reserve Risk'!$Z$333),'Health Prem &amp; Reserve Risk'!$Z$333))</f>
        <v>0.17</v>
      </c>
      <c r="AA400" s="80"/>
      <c r="AB400" s="80"/>
      <c r="AC400" s="737">
        <f ca="1">MAX(0%,IF(U400&lt;&gt;0,MIN((W400-U400)/U400/'NSLT Health Risk'!$E$27,'Health Prem &amp; Reserve Risk'!$AC$333),'Health Prem &amp; Reserve Risk'!$AC$333))</f>
        <v>0.17</v>
      </c>
      <c r="AD400" s="81"/>
      <c r="AE400" s="53"/>
      <c r="AF400" s="53"/>
    </row>
    <row r="401" spans="1:32" ht="12.75" customHeight="1" x14ac:dyDescent="0.25">
      <c r="A401" s="53"/>
      <c r="B401" s="257">
        <v>67</v>
      </c>
      <c r="C401" s="652"/>
      <c r="D401" s="80"/>
      <c r="E401" s="80"/>
      <c r="F401" s="256">
        <f t="shared" ca="1" si="16"/>
        <v>0</v>
      </c>
      <c r="G401" s="624"/>
      <c r="H401" s="85"/>
      <c r="I401" s="624"/>
      <c r="J401" s="85"/>
      <c r="K401" s="624"/>
      <c r="L401" s="85"/>
      <c r="M401" s="624"/>
      <c r="N401" s="85"/>
      <c r="O401" s="624"/>
      <c r="P401" s="85"/>
      <c r="Q401" s="626">
        <f t="shared" si="13"/>
        <v>0</v>
      </c>
      <c r="R401" s="85"/>
      <c r="S401" s="624"/>
      <c r="T401" s="260" t="str">
        <f t="shared" si="15"/>
        <v/>
      </c>
      <c r="U401" s="624"/>
      <c r="V401" s="85"/>
      <c r="W401" s="624"/>
      <c r="X401" s="81"/>
      <c r="Y401" s="80"/>
      <c r="Z401" s="737">
        <f ca="1">MAX(0%,IF(Q401&lt;&gt;0,MIN((S401-Q401)/Q401/'NSLT Health Risk'!$E$27,'Health Prem &amp; Reserve Risk'!$Z$333),'Health Prem &amp; Reserve Risk'!$Z$333))</f>
        <v>0.17</v>
      </c>
      <c r="AA401" s="80"/>
      <c r="AB401" s="80"/>
      <c r="AC401" s="737">
        <f ca="1">MAX(0%,IF(U401&lt;&gt;0,MIN((W401-U401)/U401/'NSLT Health Risk'!$E$27,'Health Prem &amp; Reserve Risk'!$AC$333),'Health Prem &amp; Reserve Risk'!$AC$333))</f>
        <v>0.17</v>
      </c>
      <c r="AD401" s="81"/>
      <c r="AE401" s="53"/>
      <c r="AF401" s="53"/>
    </row>
    <row r="402" spans="1:32" ht="12.75" customHeight="1" x14ac:dyDescent="0.25">
      <c r="A402" s="53"/>
      <c r="B402" s="257">
        <v>68</v>
      </c>
      <c r="C402" s="652"/>
      <c r="D402" s="80"/>
      <c r="E402" s="80"/>
      <c r="F402" s="256">
        <f t="shared" ca="1" si="16"/>
        <v>0</v>
      </c>
      <c r="G402" s="624"/>
      <c r="H402" s="85"/>
      <c r="I402" s="624"/>
      <c r="J402" s="85"/>
      <c r="K402" s="624"/>
      <c r="L402" s="85"/>
      <c r="M402" s="624"/>
      <c r="N402" s="85"/>
      <c r="O402" s="624"/>
      <c r="P402" s="85"/>
      <c r="Q402" s="626">
        <f t="shared" si="13"/>
        <v>0</v>
      </c>
      <c r="R402" s="85"/>
      <c r="S402" s="624"/>
      <c r="T402" s="260" t="str">
        <f t="shared" si="15"/>
        <v/>
      </c>
      <c r="U402" s="624"/>
      <c r="V402" s="85"/>
      <c r="W402" s="624"/>
      <c r="X402" s="81"/>
      <c r="Y402" s="80"/>
      <c r="Z402" s="737">
        <f ca="1">MAX(0%,IF(Q402&lt;&gt;0,MIN((S402-Q402)/Q402/'NSLT Health Risk'!$E$27,'Health Prem &amp; Reserve Risk'!$Z$333),'Health Prem &amp; Reserve Risk'!$Z$333))</f>
        <v>0.17</v>
      </c>
      <c r="AA402" s="80"/>
      <c r="AB402" s="80"/>
      <c r="AC402" s="737">
        <f ca="1">MAX(0%,IF(U402&lt;&gt;0,MIN((W402-U402)/U402/'NSLT Health Risk'!$E$27,'Health Prem &amp; Reserve Risk'!$AC$333),'Health Prem &amp; Reserve Risk'!$AC$333))</f>
        <v>0.17</v>
      </c>
      <c r="AD402" s="81"/>
      <c r="AE402" s="53"/>
      <c r="AF402" s="53"/>
    </row>
    <row r="403" spans="1:32" ht="12.75" customHeight="1" x14ac:dyDescent="0.25">
      <c r="A403" s="53"/>
      <c r="B403" s="257">
        <v>69</v>
      </c>
      <c r="C403" s="652"/>
      <c r="D403" s="80"/>
      <c r="E403" s="80"/>
      <c r="F403" s="256">
        <f t="shared" ca="1" si="16"/>
        <v>0</v>
      </c>
      <c r="G403" s="624"/>
      <c r="H403" s="85"/>
      <c r="I403" s="624"/>
      <c r="J403" s="85"/>
      <c r="K403" s="624"/>
      <c r="L403" s="85"/>
      <c r="M403" s="624"/>
      <c r="N403" s="85"/>
      <c r="O403" s="624"/>
      <c r="P403" s="85"/>
      <c r="Q403" s="626">
        <f t="shared" si="13"/>
        <v>0</v>
      </c>
      <c r="R403" s="85"/>
      <c r="S403" s="624"/>
      <c r="T403" s="260" t="str">
        <f t="shared" si="15"/>
        <v/>
      </c>
      <c r="U403" s="624"/>
      <c r="V403" s="85"/>
      <c r="W403" s="624"/>
      <c r="X403" s="81"/>
      <c r="Y403" s="80"/>
      <c r="Z403" s="737">
        <f ca="1">MAX(0%,IF(Q403&lt;&gt;0,MIN((S403-Q403)/Q403/'NSLT Health Risk'!$E$27,'Health Prem &amp; Reserve Risk'!$Z$333),'Health Prem &amp; Reserve Risk'!$Z$333))</f>
        <v>0.17</v>
      </c>
      <c r="AA403" s="80"/>
      <c r="AB403" s="80"/>
      <c r="AC403" s="737">
        <f ca="1">MAX(0%,IF(U403&lt;&gt;0,MIN((W403-U403)/U403/'NSLT Health Risk'!$E$27,'Health Prem &amp; Reserve Risk'!$AC$333),'Health Prem &amp; Reserve Risk'!$AC$333))</f>
        <v>0.17</v>
      </c>
      <c r="AD403" s="81"/>
      <c r="AE403" s="53"/>
      <c r="AF403" s="53"/>
    </row>
    <row r="404" spans="1:32" ht="12.75" customHeight="1" x14ac:dyDescent="0.25">
      <c r="A404" s="53"/>
      <c r="B404" s="257">
        <v>70</v>
      </c>
      <c r="C404" s="652"/>
      <c r="D404" s="80"/>
      <c r="E404" s="80"/>
      <c r="F404" s="256">
        <f t="shared" ca="1" si="16"/>
        <v>0</v>
      </c>
      <c r="G404" s="624"/>
      <c r="H404" s="85"/>
      <c r="I404" s="624"/>
      <c r="J404" s="85"/>
      <c r="K404" s="624"/>
      <c r="L404" s="85"/>
      <c r="M404" s="624"/>
      <c r="N404" s="85"/>
      <c r="O404" s="624"/>
      <c r="P404" s="85"/>
      <c r="Q404" s="626">
        <f t="shared" si="13"/>
        <v>0</v>
      </c>
      <c r="R404" s="85"/>
      <c r="S404" s="624"/>
      <c r="T404" s="260" t="str">
        <f t="shared" si="15"/>
        <v/>
      </c>
      <c r="U404" s="624"/>
      <c r="V404" s="85"/>
      <c r="W404" s="624"/>
      <c r="X404" s="81"/>
      <c r="Y404" s="80"/>
      <c r="Z404" s="737">
        <f ca="1">MAX(0%,IF(Q404&lt;&gt;0,MIN((S404-Q404)/Q404/'NSLT Health Risk'!$E$27,'Health Prem &amp; Reserve Risk'!$Z$333),'Health Prem &amp; Reserve Risk'!$Z$333))</f>
        <v>0.17</v>
      </c>
      <c r="AA404" s="80"/>
      <c r="AB404" s="80"/>
      <c r="AC404" s="737">
        <f ca="1">MAX(0%,IF(U404&lt;&gt;0,MIN((W404-U404)/U404/'NSLT Health Risk'!$E$27,'Health Prem &amp; Reserve Risk'!$AC$333),'Health Prem &amp; Reserve Risk'!$AC$333))</f>
        <v>0.17</v>
      </c>
      <c r="AD404" s="81"/>
      <c r="AE404" s="53"/>
      <c r="AF404" s="53"/>
    </row>
    <row r="405" spans="1:32" ht="12.75" customHeight="1" x14ac:dyDescent="0.25">
      <c r="A405" s="53"/>
      <c r="B405" s="257">
        <v>71</v>
      </c>
      <c r="C405" s="652"/>
      <c r="D405" s="80"/>
      <c r="E405" s="80"/>
      <c r="F405" s="256">
        <f t="shared" ca="1" si="16"/>
        <v>0</v>
      </c>
      <c r="G405" s="624"/>
      <c r="H405" s="85"/>
      <c r="I405" s="624"/>
      <c r="J405" s="85"/>
      <c r="K405" s="624"/>
      <c r="L405" s="85"/>
      <c r="M405" s="624"/>
      <c r="N405" s="85"/>
      <c r="O405" s="624"/>
      <c r="P405" s="85"/>
      <c r="Q405" s="626">
        <f t="shared" si="13"/>
        <v>0</v>
      </c>
      <c r="R405" s="85"/>
      <c r="S405" s="624"/>
      <c r="T405" s="260" t="str">
        <f t="shared" si="15"/>
        <v/>
      </c>
      <c r="U405" s="624"/>
      <c r="V405" s="85"/>
      <c r="W405" s="624"/>
      <c r="X405" s="81"/>
      <c r="Y405" s="80"/>
      <c r="Z405" s="737">
        <f ca="1">MAX(0%,IF(Q405&lt;&gt;0,MIN((S405-Q405)/Q405/'NSLT Health Risk'!$E$27,'Health Prem &amp; Reserve Risk'!$Z$333),'Health Prem &amp; Reserve Risk'!$Z$333))</f>
        <v>0.17</v>
      </c>
      <c r="AA405" s="80"/>
      <c r="AB405" s="80"/>
      <c r="AC405" s="737">
        <f ca="1">MAX(0%,IF(U405&lt;&gt;0,MIN((W405-U405)/U405/'NSLT Health Risk'!$E$27,'Health Prem &amp; Reserve Risk'!$AC$333),'Health Prem &amp; Reserve Risk'!$AC$333))</f>
        <v>0.17</v>
      </c>
      <c r="AD405" s="81"/>
      <c r="AE405" s="53"/>
      <c r="AF405" s="53"/>
    </row>
    <row r="406" spans="1:32" ht="12.75" customHeight="1" x14ac:dyDescent="0.25">
      <c r="A406" s="53"/>
      <c r="B406" s="257">
        <v>72</v>
      </c>
      <c r="C406" s="652"/>
      <c r="D406" s="80"/>
      <c r="E406" s="80"/>
      <c r="F406" s="256">
        <f t="shared" ca="1" si="16"/>
        <v>0</v>
      </c>
      <c r="G406" s="624"/>
      <c r="H406" s="85"/>
      <c r="I406" s="624"/>
      <c r="J406" s="85"/>
      <c r="K406" s="624"/>
      <c r="L406" s="85"/>
      <c r="M406" s="624"/>
      <c r="N406" s="85"/>
      <c r="O406" s="624"/>
      <c r="P406" s="85"/>
      <c r="Q406" s="626">
        <f t="shared" si="13"/>
        <v>0</v>
      </c>
      <c r="R406" s="85"/>
      <c r="S406" s="624"/>
      <c r="T406" s="260" t="str">
        <f t="shared" si="15"/>
        <v/>
      </c>
      <c r="U406" s="624"/>
      <c r="V406" s="85"/>
      <c r="W406" s="624"/>
      <c r="X406" s="81"/>
      <c r="Y406" s="80"/>
      <c r="Z406" s="737">
        <f ca="1">MAX(0%,IF(Q406&lt;&gt;0,MIN((S406-Q406)/Q406/'NSLT Health Risk'!$E$27,'Health Prem &amp; Reserve Risk'!$Z$333),'Health Prem &amp; Reserve Risk'!$Z$333))</f>
        <v>0.17</v>
      </c>
      <c r="AA406" s="80"/>
      <c r="AB406" s="80"/>
      <c r="AC406" s="737">
        <f ca="1">MAX(0%,IF(U406&lt;&gt;0,MIN((W406-U406)/U406/'NSLT Health Risk'!$E$27,'Health Prem &amp; Reserve Risk'!$AC$333),'Health Prem &amp; Reserve Risk'!$AC$333))</f>
        <v>0.17</v>
      </c>
      <c r="AD406" s="81"/>
      <c r="AE406" s="53"/>
      <c r="AF406" s="53"/>
    </row>
    <row r="407" spans="1:32" ht="12.75" customHeight="1" x14ac:dyDescent="0.25">
      <c r="A407" s="53"/>
      <c r="B407" s="257">
        <v>73</v>
      </c>
      <c r="C407" s="652"/>
      <c r="D407" s="80"/>
      <c r="E407" s="80"/>
      <c r="F407" s="256">
        <f t="shared" ca="1" si="16"/>
        <v>0</v>
      </c>
      <c r="G407" s="624"/>
      <c r="H407" s="85"/>
      <c r="I407" s="624"/>
      <c r="J407" s="85"/>
      <c r="K407" s="624"/>
      <c r="L407" s="85"/>
      <c r="M407" s="624"/>
      <c r="N407" s="85"/>
      <c r="O407" s="624"/>
      <c r="P407" s="85"/>
      <c r="Q407" s="626">
        <f t="shared" si="13"/>
        <v>0</v>
      </c>
      <c r="R407" s="85"/>
      <c r="S407" s="624"/>
      <c r="T407" s="260" t="str">
        <f t="shared" si="15"/>
        <v/>
      </c>
      <c r="U407" s="624"/>
      <c r="V407" s="85"/>
      <c r="W407" s="624"/>
      <c r="X407" s="81"/>
      <c r="Y407" s="80"/>
      <c r="Z407" s="737">
        <f ca="1">MAX(0%,IF(Q407&lt;&gt;0,MIN((S407-Q407)/Q407/'NSLT Health Risk'!$E$27,'Health Prem &amp; Reserve Risk'!$Z$333),'Health Prem &amp; Reserve Risk'!$Z$333))</f>
        <v>0.17</v>
      </c>
      <c r="AA407" s="80"/>
      <c r="AB407" s="80"/>
      <c r="AC407" s="737">
        <f ca="1">MAX(0%,IF(U407&lt;&gt;0,MIN((W407-U407)/U407/'NSLT Health Risk'!$E$27,'Health Prem &amp; Reserve Risk'!$AC$333),'Health Prem &amp; Reserve Risk'!$AC$333))</f>
        <v>0.17</v>
      </c>
      <c r="AD407" s="81"/>
      <c r="AE407" s="53"/>
      <c r="AF407" s="53"/>
    </row>
    <row r="408" spans="1:32" ht="12.75" customHeight="1" x14ac:dyDescent="0.25">
      <c r="A408" s="53"/>
      <c r="B408" s="257">
        <v>74</v>
      </c>
      <c r="C408" s="652"/>
      <c r="D408" s="80"/>
      <c r="E408" s="80"/>
      <c r="F408" s="256">
        <f t="shared" ca="1" si="16"/>
        <v>0</v>
      </c>
      <c r="G408" s="624"/>
      <c r="H408" s="85"/>
      <c r="I408" s="624"/>
      <c r="J408" s="85"/>
      <c r="K408" s="624"/>
      <c r="L408" s="85"/>
      <c r="M408" s="624"/>
      <c r="N408" s="85"/>
      <c r="O408" s="624"/>
      <c r="P408" s="85"/>
      <c r="Q408" s="626">
        <f t="shared" si="13"/>
        <v>0</v>
      </c>
      <c r="R408" s="85"/>
      <c r="S408" s="624"/>
      <c r="T408" s="260" t="str">
        <f t="shared" si="15"/>
        <v/>
      </c>
      <c r="U408" s="624"/>
      <c r="V408" s="85"/>
      <c r="W408" s="624"/>
      <c r="X408" s="81"/>
      <c r="Y408" s="80"/>
      <c r="Z408" s="737">
        <f ca="1">MAX(0%,IF(Q408&lt;&gt;0,MIN((S408-Q408)/Q408/'NSLT Health Risk'!$E$27,'Health Prem &amp; Reserve Risk'!$Z$333),'Health Prem &amp; Reserve Risk'!$Z$333))</f>
        <v>0.17</v>
      </c>
      <c r="AA408" s="80"/>
      <c r="AB408" s="80"/>
      <c r="AC408" s="737">
        <f ca="1">MAX(0%,IF(U408&lt;&gt;0,MIN((W408-U408)/U408/'NSLT Health Risk'!$E$27,'Health Prem &amp; Reserve Risk'!$AC$333),'Health Prem &amp; Reserve Risk'!$AC$333))</f>
        <v>0.17</v>
      </c>
      <c r="AD408" s="81"/>
      <c r="AE408" s="53"/>
      <c r="AF408" s="53"/>
    </row>
    <row r="409" spans="1:32" ht="12.75" customHeight="1" x14ac:dyDescent="0.25">
      <c r="A409" s="53"/>
      <c r="B409" s="257">
        <v>75</v>
      </c>
      <c r="C409" s="652"/>
      <c r="D409" s="80"/>
      <c r="E409" s="80"/>
      <c r="F409" s="256">
        <f t="shared" ca="1" si="16"/>
        <v>0</v>
      </c>
      <c r="G409" s="624"/>
      <c r="H409" s="85"/>
      <c r="I409" s="624"/>
      <c r="J409" s="85"/>
      <c r="K409" s="624"/>
      <c r="L409" s="85"/>
      <c r="M409" s="624"/>
      <c r="N409" s="85"/>
      <c r="O409" s="624"/>
      <c r="P409" s="85"/>
      <c r="Q409" s="626">
        <f t="shared" si="13"/>
        <v>0</v>
      </c>
      <c r="R409" s="85"/>
      <c r="S409" s="624"/>
      <c r="T409" s="260" t="str">
        <f t="shared" si="15"/>
        <v/>
      </c>
      <c r="U409" s="624"/>
      <c r="V409" s="85"/>
      <c r="W409" s="624"/>
      <c r="X409" s="81"/>
      <c r="Y409" s="80"/>
      <c r="Z409" s="737">
        <f ca="1">MAX(0%,IF(Q409&lt;&gt;0,MIN((S409-Q409)/Q409/'NSLT Health Risk'!$E$27,'Health Prem &amp; Reserve Risk'!$Z$333),'Health Prem &amp; Reserve Risk'!$Z$333))</f>
        <v>0.17</v>
      </c>
      <c r="AA409" s="80"/>
      <c r="AB409" s="80"/>
      <c r="AC409" s="737">
        <f ca="1">MAX(0%,IF(U409&lt;&gt;0,MIN((W409-U409)/U409/'NSLT Health Risk'!$E$27,'Health Prem &amp; Reserve Risk'!$AC$333),'Health Prem &amp; Reserve Risk'!$AC$333))</f>
        <v>0.17</v>
      </c>
      <c r="AD409" s="81"/>
      <c r="AE409" s="53"/>
      <c r="AF409" s="53"/>
    </row>
    <row r="410" spans="1:32" ht="12.75" customHeight="1" x14ac:dyDescent="0.25">
      <c r="A410" s="53"/>
      <c r="B410" s="257">
        <v>76</v>
      </c>
      <c r="C410" s="652"/>
      <c r="D410" s="80"/>
      <c r="E410" s="80"/>
      <c r="F410" s="256">
        <f t="shared" ca="1" si="16"/>
        <v>0</v>
      </c>
      <c r="G410" s="624"/>
      <c r="H410" s="85"/>
      <c r="I410" s="624"/>
      <c r="J410" s="85"/>
      <c r="K410" s="624"/>
      <c r="L410" s="85"/>
      <c r="M410" s="624"/>
      <c r="N410" s="85"/>
      <c r="O410" s="624"/>
      <c r="P410" s="85"/>
      <c r="Q410" s="626">
        <f t="shared" si="13"/>
        <v>0</v>
      </c>
      <c r="R410" s="85"/>
      <c r="S410" s="624"/>
      <c r="T410" s="260" t="str">
        <f t="shared" si="15"/>
        <v/>
      </c>
      <c r="U410" s="624"/>
      <c r="V410" s="85"/>
      <c r="W410" s="624"/>
      <c r="X410" s="81"/>
      <c r="Y410" s="80"/>
      <c r="Z410" s="737">
        <f ca="1">MAX(0%,IF(Q410&lt;&gt;0,MIN((S410-Q410)/Q410/'NSLT Health Risk'!$E$27,'Health Prem &amp; Reserve Risk'!$Z$333),'Health Prem &amp; Reserve Risk'!$Z$333))</f>
        <v>0.17</v>
      </c>
      <c r="AA410" s="80"/>
      <c r="AB410" s="80"/>
      <c r="AC410" s="737">
        <f ca="1">MAX(0%,IF(U410&lt;&gt;0,MIN((W410-U410)/U410/'NSLT Health Risk'!$E$27,'Health Prem &amp; Reserve Risk'!$AC$333),'Health Prem &amp; Reserve Risk'!$AC$333))</f>
        <v>0.17</v>
      </c>
      <c r="AD410" s="81"/>
      <c r="AE410" s="53"/>
      <c r="AF410" s="53"/>
    </row>
    <row r="411" spans="1:32" ht="12.75" customHeight="1" x14ac:dyDescent="0.25">
      <c r="A411" s="53"/>
      <c r="B411" s="257">
        <v>77</v>
      </c>
      <c r="C411" s="652"/>
      <c r="D411" s="80"/>
      <c r="E411" s="80"/>
      <c r="F411" s="256">
        <f t="shared" ca="1" si="16"/>
        <v>0</v>
      </c>
      <c r="G411" s="624"/>
      <c r="H411" s="85"/>
      <c r="I411" s="624"/>
      <c r="J411" s="85"/>
      <c r="K411" s="624"/>
      <c r="L411" s="85"/>
      <c r="M411" s="624"/>
      <c r="N411" s="85"/>
      <c r="O411" s="624"/>
      <c r="P411" s="85"/>
      <c r="Q411" s="626">
        <f t="shared" si="13"/>
        <v>0</v>
      </c>
      <c r="R411" s="85"/>
      <c r="S411" s="624"/>
      <c r="T411" s="260" t="str">
        <f t="shared" si="15"/>
        <v/>
      </c>
      <c r="U411" s="624"/>
      <c r="V411" s="85"/>
      <c r="W411" s="624"/>
      <c r="X411" s="81"/>
      <c r="Y411" s="80"/>
      <c r="Z411" s="737">
        <f ca="1">MAX(0%,IF(Q411&lt;&gt;0,MIN((S411-Q411)/Q411/'NSLT Health Risk'!$E$27,'Health Prem &amp; Reserve Risk'!$Z$333),'Health Prem &amp; Reserve Risk'!$Z$333))</f>
        <v>0.17</v>
      </c>
      <c r="AA411" s="80"/>
      <c r="AB411" s="80"/>
      <c r="AC411" s="737">
        <f ca="1">MAX(0%,IF(U411&lt;&gt;0,MIN((W411-U411)/U411/'NSLT Health Risk'!$E$27,'Health Prem &amp; Reserve Risk'!$AC$333),'Health Prem &amp; Reserve Risk'!$AC$333))</f>
        <v>0.17</v>
      </c>
      <c r="AD411" s="81"/>
      <c r="AE411" s="53"/>
      <c r="AF411" s="53"/>
    </row>
    <row r="412" spans="1:32" ht="12.75" customHeight="1" x14ac:dyDescent="0.25">
      <c r="A412" s="53"/>
      <c r="B412" s="257">
        <v>78</v>
      </c>
      <c r="C412" s="652"/>
      <c r="D412" s="80"/>
      <c r="E412" s="80"/>
      <c r="F412" s="256">
        <f t="shared" ca="1" si="16"/>
        <v>0</v>
      </c>
      <c r="G412" s="624"/>
      <c r="H412" s="85"/>
      <c r="I412" s="624"/>
      <c r="J412" s="85"/>
      <c r="K412" s="624"/>
      <c r="L412" s="85"/>
      <c r="M412" s="624"/>
      <c r="N412" s="85"/>
      <c r="O412" s="624"/>
      <c r="P412" s="85"/>
      <c r="Q412" s="626">
        <f t="shared" si="13"/>
        <v>0</v>
      </c>
      <c r="R412" s="85"/>
      <c r="S412" s="624"/>
      <c r="T412" s="260" t="str">
        <f t="shared" si="15"/>
        <v/>
      </c>
      <c r="U412" s="624"/>
      <c r="V412" s="85"/>
      <c r="W412" s="624"/>
      <c r="X412" s="81"/>
      <c r="Y412" s="80"/>
      <c r="Z412" s="737">
        <f ca="1">MAX(0%,IF(Q412&lt;&gt;0,MIN((S412-Q412)/Q412/'NSLT Health Risk'!$E$27,'Health Prem &amp; Reserve Risk'!$Z$333),'Health Prem &amp; Reserve Risk'!$Z$333))</f>
        <v>0.17</v>
      </c>
      <c r="AA412" s="80"/>
      <c r="AB412" s="80"/>
      <c r="AC412" s="737">
        <f ca="1">MAX(0%,IF(U412&lt;&gt;0,MIN((W412-U412)/U412/'NSLT Health Risk'!$E$27,'Health Prem &amp; Reserve Risk'!$AC$333),'Health Prem &amp; Reserve Risk'!$AC$333))</f>
        <v>0.17</v>
      </c>
      <c r="AD412" s="81"/>
      <c r="AE412" s="53"/>
      <c r="AF412" s="53"/>
    </row>
    <row r="413" spans="1:32" ht="12.75" customHeight="1" x14ac:dyDescent="0.25">
      <c r="A413" s="53"/>
      <c r="B413" s="257">
        <v>79</v>
      </c>
      <c r="C413" s="652"/>
      <c r="D413" s="80"/>
      <c r="E413" s="80"/>
      <c r="F413" s="256">
        <f t="shared" ca="1" si="16"/>
        <v>0</v>
      </c>
      <c r="G413" s="624"/>
      <c r="H413" s="85"/>
      <c r="I413" s="624"/>
      <c r="J413" s="85"/>
      <c r="K413" s="624"/>
      <c r="L413" s="85"/>
      <c r="M413" s="624"/>
      <c r="N413" s="85"/>
      <c r="O413" s="624"/>
      <c r="P413" s="85"/>
      <c r="Q413" s="626">
        <f t="shared" si="13"/>
        <v>0</v>
      </c>
      <c r="R413" s="85"/>
      <c r="S413" s="624"/>
      <c r="T413" s="260" t="str">
        <f t="shared" si="15"/>
        <v/>
      </c>
      <c r="U413" s="624"/>
      <c r="V413" s="85"/>
      <c r="W413" s="624"/>
      <c r="X413" s="81"/>
      <c r="Y413" s="80"/>
      <c r="Z413" s="737">
        <f ca="1">MAX(0%,IF(Q413&lt;&gt;0,MIN((S413-Q413)/Q413/'NSLT Health Risk'!$E$27,'Health Prem &amp; Reserve Risk'!$Z$333),'Health Prem &amp; Reserve Risk'!$Z$333))</f>
        <v>0.17</v>
      </c>
      <c r="AA413" s="80"/>
      <c r="AB413" s="80"/>
      <c r="AC413" s="737">
        <f ca="1">MAX(0%,IF(U413&lt;&gt;0,MIN((W413-U413)/U413/'NSLT Health Risk'!$E$27,'Health Prem &amp; Reserve Risk'!$AC$333),'Health Prem &amp; Reserve Risk'!$AC$333))</f>
        <v>0.17</v>
      </c>
      <c r="AD413" s="81"/>
      <c r="AE413" s="53"/>
      <c r="AF413" s="53"/>
    </row>
    <row r="414" spans="1:32" ht="12.75" customHeight="1" x14ac:dyDescent="0.25">
      <c r="A414" s="53"/>
      <c r="B414" s="257">
        <v>80</v>
      </c>
      <c r="C414" s="652"/>
      <c r="D414" s="80"/>
      <c r="E414" s="80"/>
      <c r="F414" s="256">
        <f t="shared" ca="1" si="16"/>
        <v>0</v>
      </c>
      <c r="G414" s="624"/>
      <c r="H414" s="85"/>
      <c r="I414" s="624"/>
      <c r="J414" s="85"/>
      <c r="K414" s="624"/>
      <c r="L414" s="85"/>
      <c r="M414" s="624"/>
      <c r="N414" s="85"/>
      <c r="O414" s="624"/>
      <c r="P414" s="85"/>
      <c r="Q414" s="626">
        <f t="shared" si="13"/>
        <v>0</v>
      </c>
      <c r="R414" s="85"/>
      <c r="S414" s="624"/>
      <c r="T414" s="260" t="str">
        <f t="shared" si="15"/>
        <v/>
      </c>
      <c r="U414" s="624"/>
      <c r="V414" s="85"/>
      <c r="W414" s="624"/>
      <c r="X414" s="81"/>
      <c r="Y414" s="80"/>
      <c r="Z414" s="737">
        <f ca="1">MAX(0%,IF(Q414&lt;&gt;0,MIN((S414-Q414)/Q414/'NSLT Health Risk'!$E$27,'Health Prem &amp; Reserve Risk'!$Z$333),'Health Prem &amp; Reserve Risk'!$Z$333))</f>
        <v>0.17</v>
      </c>
      <c r="AA414" s="80"/>
      <c r="AB414" s="80"/>
      <c r="AC414" s="737">
        <f ca="1">MAX(0%,IF(U414&lt;&gt;0,MIN((W414-U414)/U414/'NSLT Health Risk'!$E$27,'Health Prem &amp; Reserve Risk'!$AC$333),'Health Prem &amp; Reserve Risk'!$AC$333))</f>
        <v>0.17</v>
      </c>
      <c r="AD414" s="81"/>
      <c r="AE414" s="53"/>
      <c r="AF414" s="53"/>
    </row>
    <row r="415" spans="1:32" ht="12.75" customHeight="1" x14ac:dyDescent="0.25">
      <c r="A415" s="53"/>
      <c r="B415" s="257">
        <v>81</v>
      </c>
      <c r="C415" s="652"/>
      <c r="D415" s="80"/>
      <c r="E415" s="80"/>
      <c r="F415" s="256">
        <f t="shared" ca="1" si="16"/>
        <v>0</v>
      </c>
      <c r="G415" s="624"/>
      <c r="H415" s="85"/>
      <c r="I415" s="624"/>
      <c r="J415" s="85"/>
      <c r="K415" s="624"/>
      <c r="L415" s="85"/>
      <c r="M415" s="624"/>
      <c r="N415" s="85"/>
      <c r="O415" s="624"/>
      <c r="P415" s="85"/>
      <c r="Q415" s="626">
        <f t="shared" si="13"/>
        <v>0</v>
      </c>
      <c r="R415" s="85"/>
      <c r="S415" s="624"/>
      <c r="T415" s="260" t="str">
        <f t="shared" si="15"/>
        <v/>
      </c>
      <c r="U415" s="624"/>
      <c r="V415" s="85"/>
      <c r="W415" s="624"/>
      <c r="X415" s="81"/>
      <c r="Y415" s="80"/>
      <c r="Z415" s="737">
        <f ca="1">MAX(0%,IF(Q415&lt;&gt;0,MIN((S415-Q415)/Q415/'NSLT Health Risk'!$E$27,'Health Prem &amp; Reserve Risk'!$Z$333),'Health Prem &amp; Reserve Risk'!$Z$333))</f>
        <v>0.17</v>
      </c>
      <c r="AA415" s="80"/>
      <c r="AB415" s="80"/>
      <c r="AC415" s="737">
        <f ca="1">MAX(0%,IF(U415&lt;&gt;0,MIN((W415-U415)/U415/'NSLT Health Risk'!$E$27,'Health Prem &amp; Reserve Risk'!$AC$333),'Health Prem &amp; Reserve Risk'!$AC$333))</f>
        <v>0.17</v>
      </c>
      <c r="AD415" s="81"/>
      <c r="AE415" s="53"/>
      <c r="AF415" s="53"/>
    </row>
    <row r="416" spans="1:32" ht="12.75" customHeight="1" x14ac:dyDescent="0.25">
      <c r="A416" s="53"/>
      <c r="B416" s="257">
        <v>82</v>
      </c>
      <c r="C416" s="652"/>
      <c r="D416" s="80"/>
      <c r="E416" s="80"/>
      <c r="F416" s="256">
        <f t="shared" ca="1" si="16"/>
        <v>0</v>
      </c>
      <c r="G416" s="624"/>
      <c r="H416" s="85"/>
      <c r="I416" s="624"/>
      <c r="J416" s="85"/>
      <c r="K416" s="624"/>
      <c r="L416" s="85"/>
      <c r="M416" s="624"/>
      <c r="N416" s="85"/>
      <c r="O416" s="624"/>
      <c r="P416" s="85"/>
      <c r="Q416" s="626">
        <f t="shared" si="13"/>
        <v>0</v>
      </c>
      <c r="R416" s="85"/>
      <c r="S416" s="624"/>
      <c r="T416" s="260" t="str">
        <f t="shared" si="15"/>
        <v/>
      </c>
      <c r="U416" s="624"/>
      <c r="V416" s="85"/>
      <c r="W416" s="624"/>
      <c r="X416" s="81"/>
      <c r="Y416" s="80"/>
      <c r="Z416" s="737">
        <f ca="1">MAX(0%,IF(Q416&lt;&gt;0,MIN((S416-Q416)/Q416/'NSLT Health Risk'!$E$27,'Health Prem &amp; Reserve Risk'!$Z$333),'Health Prem &amp; Reserve Risk'!$Z$333))</f>
        <v>0.17</v>
      </c>
      <c r="AA416" s="80"/>
      <c r="AB416" s="80"/>
      <c r="AC416" s="737">
        <f ca="1">MAX(0%,IF(U416&lt;&gt;0,MIN((W416-U416)/U416/'NSLT Health Risk'!$E$27,'Health Prem &amp; Reserve Risk'!$AC$333),'Health Prem &amp; Reserve Risk'!$AC$333))</f>
        <v>0.17</v>
      </c>
      <c r="AD416" s="81"/>
      <c r="AE416" s="53"/>
      <c r="AF416" s="53"/>
    </row>
    <row r="417" spans="1:32" ht="12.75" customHeight="1" x14ac:dyDescent="0.25">
      <c r="A417" s="53"/>
      <c r="B417" s="257">
        <v>83</v>
      </c>
      <c r="C417" s="652"/>
      <c r="D417" s="80"/>
      <c r="E417" s="80"/>
      <c r="F417" s="256">
        <f t="shared" ca="1" si="16"/>
        <v>0</v>
      </c>
      <c r="G417" s="624"/>
      <c r="H417" s="85"/>
      <c r="I417" s="624"/>
      <c r="J417" s="85"/>
      <c r="K417" s="624"/>
      <c r="L417" s="85"/>
      <c r="M417" s="624"/>
      <c r="N417" s="85"/>
      <c r="O417" s="624"/>
      <c r="P417" s="85"/>
      <c r="Q417" s="626">
        <f t="shared" si="13"/>
        <v>0</v>
      </c>
      <c r="R417" s="85"/>
      <c r="S417" s="624"/>
      <c r="T417" s="260" t="str">
        <f t="shared" si="15"/>
        <v/>
      </c>
      <c r="U417" s="624"/>
      <c r="V417" s="85"/>
      <c r="W417" s="624"/>
      <c r="X417" s="81"/>
      <c r="Y417" s="80"/>
      <c r="Z417" s="737">
        <f ca="1">MAX(0%,IF(Q417&lt;&gt;0,MIN((S417-Q417)/Q417/'NSLT Health Risk'!$E$27,'Health Prem &amp; Reserve Risk'!$Z$333),'Health Prem &amp; Reserve Risk'!$Z$333))</f>
        <v>0.17</v>
      </c>
      <c r="AA417" s="80"/>
      <c r="AB417" s="80"/>
      <c r="AC417" s="737">
        <f ca="1">MAX(0%,IF(U417&lt;&gt;0,MIN((W417-U417)/U417/'NSLT Health Risk'!$E$27,'Health Prem &amp; Reserve Risk'!$AC$333),'Health Prem &amp; Reserve Risk'!$AC$333))</f>
        <v>0.17</v>
      </c>
      <c r="AD417" s="81"/>
      <c r="AE417" s="53"/>
      <c r="AF417" s="53"/>
    </row>
    <row r="418" spans="1:32" ht="12.75" customHeight="1" x14ac:dyDescent="0.25">
      <c r="A418" s="53"/>
      <c r="B418" s="257">
        <v>84</v>
      </c>
      <c r="C418" s="652"/>
      <c r="D418" s="80"/>
      <c r="E418" s="80"/>
      <c r="F418" s="256">
        <f t="shared" ca="1" si="16"/>
        <v>0</v>
      </c>
      <c r="G418" s="624"/>
      <c r="H418" s="85"/>
      <c r="I418" s="624"/>
      <c r="J418" s="85"/>
      <c r="K418" s="624"/>
      <c r="L418" s="85"/>
      <c r="M418" s="624"/>
      <c r="N418" s="85"/>
      <c r="O418" s="624"/>
      <c r="P418" s="85"/>
      <c r="Q418" s="626">
        <f t="shared" si="13"/>
        <v>0</v>
      </c>
      <c r="R418" s="85"/>
      <c r="S418" s="624"/>
      <c r="T418" s="260" t="str">
        <f t="shared" si="15"/>
        <v/>
      </c>
      <c r="U418" s="624"/>
      <c r="V418" s="85"/>
      <c r="W418" s="624"/>
      <c r="X418" s="81"/>
      <c r="Y418" s="80"/>
      <c r="Z418" s="737">
        <f ca="1">MAX(0%,IF(Q418&lt;&gt;0,MIN((S418-Q418)/Q418/'NSLT Health Risk'!$E$27,'Health Prem &amp; Reserve Risk'!$Z$333),'Health Prem &amp; Reserve Risk'!$Z$333))</f>
        <v>0.17</v>
      </c>
      <c r="AA418" s="80"/>
      <c r="AB418" s="80"/>
      <c r="AC418" s="737">
        <f ca="1">MAX(0%,IF(U418&lt;&gt;0,MIN((W418-U418)/U418/'NSLT Health Risk'!$E$27,'Health Prem &amp; Reserve Risk'!$AC$333),'Health Prem &amp; Reserve Risk'!$AC$333))</f>
        <v>0.17</v>
      </c>
      <c r="AD418" s="81"/>
      <c r="AE418" s="53"/>
      <c r="AF418" s="53"/>
    </row>
    <row r="419" spans="1:32" ht="12.75" customHeight="1" x14ac:dyDescent="0.25">
      <c r="A419" s="53"/>
      <c r="B419" s="257">
        <v>85</v>
      </c>
      <c r="C419" s="652"/>
      <c r="D419" s="80"/>
      <c r="E419" s="80"/>
      <c r="F419" s="256">
        <f t="shared" ca="1" si="16"/>
        <v>0</v>
      </c>
      <c r="G419" s="624"/>
      <c r="H419" s="85"/>
      <c r="I419" s="624"/>
      <c r="J419" s="85"/>
      <c r="K419" s="624"/>
      <c r="L419" s="85"/>
      <c r="M419" s="624"/>
      <c r="N419" s="85"/>
      <c r="O419" s="624"/>
      <c r="P419" s="85"/>
      <c r="Q419" s="626">
        <f t="shared" si="13"/>
        <v>0</v>
      </c>
      <c r="R419" s="85"/>
      <c r="S419" s="624"/>
      <c r="T419" s="260" t="str">
        <f t="shared" si="15"/>
        <v/>
      </c>
      <c r="U419" s="624"/>
      <c r="V419" s="85"/>
      <c r="W419" s="624"/>
      <c r="X419" s="81"/>
      <c r="Y419" s="80"/>
      <c r="Z419" s="737">
        <f ca="1">MAX(0%,IF(Q419&lt;&gt;0,MIN((S419-Q419)/Q419/'NSLT Health Risk'!$E$27,'Health Prem &amp; Reserve Risk'!$Z$333),'Health Prem &amp; Reserve Risk'!$Z$333))</f>
        <v>0.17</v>
      </c>
      <c r="AA419" s="80"/>
      <c r="AB419" s="80"/>
      <c r="AC419" s="737">
        <f ca="1">MAX(0%,IF(U419&lt;&gt;0,MIN((W419-U419)/U419/'NSLT Health Risk'!$E$27,'Health Prem &amp; Reserve Risk'!$AC$333),'Health Prem &amp; Reserve Risk'!$AC$333))</f>
        <v>0.17</v>
      </c>
      <c r="AD419" s="81"/>
      <c r="AE419" s="53"/>
      <c r="AF419" s="53"/>
    </row>
    <row r="420" spans="1:32" ht="12.75" customHeight="1" x14ac:dyDescent="0.25">
      <c r="A420" s="53"/>
      <c r="B420" s="257">
        <v>86</v>
      </c>
      <c r="C420" s="652"/>
      <c r="D420" s="80"/>
      <c r="E420" s="80"/>
      <c r="F420" s="256">
        <f t="shared" ca="1" si="16"/>
        <v>0</v>
      </c>
      <c r="G420" s="624"/>
      <c r="H420" s="85"/>
      <c r="I420" s="624"/>
      <c r="J420" s="85"/>
      <c r="K420" s="624"/>
      <c r="L420" s="85"/>
      <c r="M420" s="624"/>
      <c r="N420" s="85"/>
      <c r="O420" s="624"/>
      <c r="P420" s="85"/>
      <c r="Q420" s="626">
        <f t="shared" si="13"/>
        <v>0</v>
      </c>
      <c r="R420" s="85"/>
      <c r="S420" s="624"/>
      <c r="T420" s="260" t="str">
        <f t="shared" si="15"/>
        <v/>
      </c>
      <c r="U420" s="624"/>
      <c r="V420" s="85"/>
      <c r="W420" s="624"/>
      <c r="X420" s="81"/>
      <c r="Y420" s="80"/>
      <c r="Z420" s="737">
        <f ca="1">MAX(0%,IF(Q420&lt;&gt;0,MIN((S420-Q420)/Q420/'NSLT Health Risk'!$E$27,'Health Prem &amp; Reserve Risk'!$Z$333),'Health Prem &amp; Reserve Risk'!$Z$333))</f>
        <v>0.17</v>
      </c>
      <c r="AA420" s="80"/>
      <c r="AB420" s="80"/>
      <c r="AC420" s="737">
        <f ca="1">MAX(0%,IF(U420&lt;&gt;0,MIN((W420-U420)/U420/'NSLT Health Risk'!$E$27,'Health Prem &amp; Reserve Risk'!$AC$333),'Health Prem &amp; Reserve Risk'!$AC$333))</f>
        <v>0.17</v>
      </c>
      <c r="AD420" s="81"/>
      <c r="AE420" s="53"/>
      <c r="AF420" s="53"/>
    </row>
    <row r="421" spans="1:32" ht="12.75" customHeight="1" x14ac:dyDescent="0.25">
      <c r="A421" s="53"/>
      <c r="B421" s="257">
        <v>87</v>
      </c>
      <c r="C421" s="652"/>
      <c r="D421" s="80"/>
      <c r="E421" s="80"/>
      <c r="F421" s="256">
        <f t="shared" ca="1" si="16"/>
        <v>0</v>
      </c>
      <c r="G421" s="624"/>
      <c r="H421" s="85"/>
      <c r="I421" s="624"/>
      <c r="J421" s="85"/>
      <c r="K421" s="624"/>
      <c r="L421" s="85"/>
      <c r="M421" s="624"/>
      <c r="N421" s="85"/>
      <c r="O421" s="624"/>
      <c r="P421" s="85"/>
      <c r="Q421" s="626">
        <f t="shared" si="13"/>
        <v>0</v>
      </c>
      <c r="R421" s="85"/>
      <c r="S421" s="624"/>
      <c r="T421" s="260" t="str">
        <f t="shared" si="15"/>
        <v/>
      </c>
      <c r="U421" s="624"/>
      <c r="V421" s="85"/>
      <c r="W421" s="624"/>
      <c r="X421" s="81"/>
      <c r="Y421" s="80"/>
      <c r="Z421" s="737">
        <f ca="1">MAX(0%,IF(Q421&lt;&gt;0,MIN((S421-Q421)/Q421/'NSLT Health Risk'!$E$27,'Health Prem &amp; Reserve Risk'!$Z$333),'Health Prem &amp; Reserve Risk'!$Z$333))</f>
        <v>0.17</v>
      </c>
      <c r="AA421" s="80"/>
      <c r="AB421" s="80"/>
      <c r="AC421" s="737">
        <f ca="1">MAX(0%,IF(U421&lt;&gt;0,MIN((W421-U421)/U421/'NSLT Health Risk'!$E$27,'Health Prem &amp; Reserve Risk'!$AC$333),'Health Prem &amp; Reserve Risk'!$AC$333))</f>
        <v>0.17</v>
      </c>
      <c r="AD421" s="81"/>
      <c r="AE421" s="53"/>
      <c r="AF421" s="53"/>
    </row>
    <row r="422" spans="1:32" ht="12.75" customHeight="1" x14ac:dyDescent="0.25">
      <c r="A422" s="53"/>
      <c r="B422" s="257">
        <v>88</v>
      </c>
      <c r="C422" s="652"/>
      <c r="D422" s="80"/>
      <c r="E422" s="80"/>
      <c r="F422" s="256">
        <f t="shared" ca="1" si="16"/>
        <v>0</v>
      </c>
      <c r="G422" s="624"/>
      <c r="H422" s="85"/>
      <c r="I422" s="624"/>
      <c r="J422" s="85"/>
      <c r="K422" s="624"/>
      <c r="L422" s="85"/>
      <c r="M422" s="624"/>
      <c r="N422" s="85"/>
      <c r="O422" s="624"/>
      <c r="P422" s="85"/>
      <c r="Q422" s="626">
        <f t="shared" si="13"/>
        <v>0</v>
      </c>
      <c r="R422" s="85"/>
      <c r="S422" s="624"/>
      <c r="T422" s="260" t="str">
        <f t="shared" si="15"/>
        <v/>
      </c>
      <c r="U422" s="624"/>
      <c r="V422" s="85"/>
      <c r="W422" s="624"/>
      <c r="X422" s="81"/>
      <c r="Y422" s="80"/>
      <c r="Z422" s="737">
        <f ca="1">MAX(0%,IF(Q422&lt;&gt;0,MIN((S422-Q422)/Q422/'NSLT Health Risk'!$E$27,'Health Prem &amp; Reserve Risk'!$Z$333),'Health Prem &amp; Reserve Risk'!$Z$333))</f>
        <v>0.17</v>
      </c>
      <c r="AA422" s="80"/>
      <c r="AB422" s="80"/>
      <c r="AC422" s="737">
        <f ca="1">MAX(0%,IF(U422&lt;&gt;0,MIN((W422-U422)/U422/'NSLT Health Risk'!$E$27,'Health Prem &amp; Reserve Risk'!$AC$333),'Health Prem &amp; Reserve Risk'!$AC$333))</f>
        <v>0.17</v>
      </c>
      <c r="AD422" s="81"/>
      <c r="AE422" s="53"/>
      <c r="AF422" s="53"/>
    </row>
    <row r="423" spans="1:32" ht="12.75" customHeight="1" x14ac:dyDescent="0.25">
      <c r="A423" s="53"/>
      <c r="B423" s="257">
        <v>89</v>
      </c>
      <c r="C423" s="652"/>
      <c r="D423" s="80"/>
      <c r="E423" s="80"/>
      <c r="F423" s="256">
        <f t="shared" ca="1" si="16"/>
        <v>0</v>
      </c>
      <c r="G423" s="624"/>
      <c r="H423" s="85"/>
      <c r="I423" s="624"/>
      <c r="J423" s="85"/>
      <c r="K423" s="624"/>
      <c r="L423" s="85"/>
      <c r="M423" s="624"/>
      <c r="N423" s="85"/>
      <c r="O423" s="624"/>
      <c r="P423" s="85"/>
      <c r="Q423" s="626">
        <f t="shared" si="13"/>
        <v>0</v>
      </c>
      <c r="R423" s="85"/>
      <c r="S423" s="624"/>
      <c r="T423" s="260" t="str">
        <f t="shared" si="15"/>
        <v/>
      </c>
      <c r="U423" s="624"/>
      <c r="V423" s="85"/>
      <c r="W423" s="624"/>
      <c r="X423" s="81"/>
      <c r="Y423" s="80"/>
      <c r="Z423" s="737">
        <f ca="1">MAX(0%,IF(Q423&lt;&gt;0,MIN((S423-Q423)/Q423/'NSLT Health Risk'!$E$27,'Health Prem &amp; Reserve Risk'!$Z$333),'Health Prem &amp; Reserve Risk'!$Z$333))</f>
        <v>0.17</v>
      </c>
      <c r="AA423" s="80"/>
      <c r="AB423" s="80"/>
      <c r="AC423" s="737">
        <f ca="1">MAX(0%,IF(U423&lt;&gt;0,MIN((W423-U423)/U423/'NSLT Health Risk'!$E$27,'Health Prem &amp; Reserve Risk'!$AC$333),'Health Prem &amp; Reserve Risk'!$AC$333))</f>
        <v>0.17</v>
      </c>
      <c r="AD423" s="81"/>
      <c r="AE423" s="53"/>
      <c r="AF423" s="53"/>
    </row>
    <row r="424" spans="1:32" ht="12.75" customHeight="1" x14ac:dyDescent="0.25">
      <c r="A424" s="53"/>
      <c r="B424" s="257">
        <v>90</v>
      </c>
      <c r="C424" s="652"/>
      <c r="D424" s="80"/>
      <c r="E424" s="80"/>
      <c r="F424" s="256">
        <f t="shared" ca="1" si="16"/>
        <v>0</v>
      </c>
      <c r="G424" s="624"/>
      <c r="H424" s="85"/>
      <c r="I424" s="624"/>
      <c r="J424" s="85"/>
      <c r="K424" s="624"/>
      <c r="L424" s="85"/>
      <c r="M424" s="624"/>
      <c r="N424" s="85"/>
      <c r="O424" s="624"/>
      <c r="P424" s="85"/>
      <c r="Q424" s="626">
        <f t="shared" si="13"/>
        <v>0</v>
      </c>
      <c r="R424" s="85"/>
      <c r="S424" s="624"/>
      <c r="T424" s="260" t="str">
        <f t="shared" si="15"/>
        <v/>
      </c>
      <c r="U424" s="624"/>
      <c r="V424" s="85"/>
      <c r="W424" s="624"/>
      <c r="X424" s="81"/>
      <c r="Y424" s="80"/>
      <c r="Z424" s="737">
        <f ca="1">MAX(0%,IF(Q424&lt;&gt;0,MIN((S424-Q424)/Q424/'NSLT Health Risk'!$E$27,'Health Prem &amp; Reserve Risk'!$Z$333),'Health Prem &amp; Reserve Risk'!$Z$333))</f>
        <v>0.17</v>
      </c>
      <c r="AA424" s="80"/>
      <c r="AB424" s="80"/>
      <c r="AC424" s="737">
        <f ca="1">MAX(0%,IF(U424&lt;&gt;0,MIN((W424-U424)/U424/'NSLT Health Risk'!$E$27,'Health Prem &amp; Reserve Risk'!$AC$333),'Health Prem &amp; Reserve Risk'!$AC$333))</f>
        <v>0.17</v>
      </c>
      <c r="AD424" s="81"/>
      <c r="AE424" s="53"/>
      <c r="AF424" s="53"/>
    </row>
    <row r="425" spans="1:32" ht="12.75" customHeight="1" x14ac:dyDescent="0.25">
      <c r="A425" s="53"/>
      <c r="B425" s="257">
        <v>91</v>
      </c>
      <c r="C425" s="652"/>
      <c r="D425" s="80"/>
      <c r="E425" s="80"/>
      <c r="F425" s="256">
        <f t="shared" ca="1" si="16"/>
        <v>0</v>
      </c>
      <c r="G425" s="624"/>
      <c r="H425" s="85"/>
      <c r="I425" s="624"/>
      <c r="J425" s="85"/>
      <c r="K425" s="624"/>
      <c r="L425" s="85"/>
      <c r="M425" s="624"/>
      <c r="N425" s="85"/>
      <c r="O425" s="624"/>
      <c r="P425" s="85"/>
      <c r="Q425" s="626">
        <f t="shared" si="13"/>
        <v>0</v>
      </c>
      <c r="R425" s="85"/>
      <c r="S425" s="624"/>
      <c r="T425" s="260" t="str">
        <f t="shared" si="15"/>
        <v/>
      </c>
      <c r="U425" s="624"/>
      <c r="V425" s="85"/>
      <c r="W425" s="624"/>
      <c r="X425" s="81"/>
      <c r="Y425" s="80"/>
      <c r="Z425" s="737">
        <f ca="1">MAX(0%,IF(Q425&lt;&gt;0,MIN((S425-Q425)/Q425/'NSLT Health Risk'!$E$27,'Health Prem &amp; Reserve Risk'!$Z$333),'Health Prem &amp; Reserve Risk'!$Z$333))</f>
        <v>0.17</v>
      </c>
      <c r="AA425" s="80"/>
      <c r="AB425" s="80"/>
      <c r="AC425" s="737">
        <f ca="1">MAX(0%,IF(U425&lt;&gt;0,MIN((W425-U425)/U425/'NSLT Health Risk'!$E$27,'Health Prem &amp; Reserve Risk'!$AC$333),'Health Prem &amp; Reserve Risk'!$AC$333))</f>
        <v>0.17</v>
      </c>
      <c r="AD425" s="81"/>
      <c r="AE425" s="53"/>
      <c r="AF425" s="53"/>
    </row>
    <row r="426" spans="1:32" ht="12.75" customHeight="1" x14ac:dyDescent="0.25">
      <c r="A426" s="53"/>
      <c r="B426" s="257">
        <v>92</v>
      </c>
      <c r="C426" s="652"/>
      <c r="D426" s="80"/>
      <c r="E426" s="80"/>
      <c r="F426" s="256">
        <f t="shared" ca="1" si="16"/>
        <v>0</v>
      </c>
      <c r="G426" s="624"/>
      <c r="H426" s="85"/>
      <c r="I426" s="624"/>
      <c r="J426" s="85"/>
      <c r="K426" s="624"/>
      <c r="L426" s="85"/>
      <c r="M426" s="624"/>
      <c r="N426" s="85"/>
      <c r="O426" s="624"/>
      <c r="P426" s="85"/>
      <c r="Q426" s="626">
        <f t="shared" si="13"/>
        <v>0</v>
      </c>
      <c r="R426" s="85"/>
      <c r="S426" s="624"/>
      <c r="T426" s="260" t="str">
        <f t="shared" si="15"/>
        <v/>
      </c>
      <c r="U426" s="624"/>
      <c r="V426" s="85"/>
      <c r="W426" s="624"/>
      <c r="X426" s="81"/>
      <c r="Y426" s="80"/>
      <c r="Z426" s="737">
        <f ca="1">MAX(0%,IF(Q426&lt;&gt;0,MIN((S426-Q426)/Q426/'NSLT Health Risk'!$E$27,'Health Prem &amp; Reserve Risk'!$Z$333),'Health Prem &amp; Reserve Risk'!$Z$333))</f>
        <v>0.17</v>
      </c>
      <c r="AA426" s="80"/>
      <c r="AB426" s="80"/>
      <c r="AC426" s="737">
        <f ca="1">MAX(0%,IF(U426&lt;&gt;0,MIN((W426-U426)/U426/'NSLT Health Risk'!$E$27,'Health Prem &amp; Reserve Risk'!$AC$333),'Health Prem &amp; Reserve Risk'!$AC$333))</f>
        <v>0.17</v>
      </c>
      <c r="AD426" s="81"/>
      <c r="AE426" s="53"/>
      <c r="AF426" s="53"/>
    </row>
    <row r="427" spans="1:32" ht="12.75" customHeight="1" x14ac:dyDescent="0.25">
      <c r="A427" s="53"/>
      <c r="B427" s="257">
        <v>93</v>
      </c>
      <c r="C427" s="652"/>
      <c r="D427" s="80"/>
      <c r="E427" s="80"/>
      <c r="F427" s="256">
        <f t="shared" ca="1" si="16"/>
        <v>0</v>
      </c>
      <c r="G427" s="624"/>
      <c r="H427" s="85"/>
      <c r="I427" s="624"/>
      <c r="J427" s="85"/>
      <c r="K427" s="624"/>
      <c r="L427" s="85"/>
      <c r="M427" s="624"/>
      <c r="N427" s="85"/>
      <c r="O427" s="624"/>
      <c r="P427" s="85"/>
      <c r="Q427" s="626">
        <f t="shared" si="13"/>
        <v>0</v>
      </c>
      <c r="R427" s="85"/>
      <c r="S427" s="624"/>
      <c r="T427" s="260" t="str">
        <f t="shared" si="15"/>
        <v/>
      </c>
      <c r="U427" s="624"/>
      <c r="V427" s="85"/>
      <c r="W427" s="624"/>
      <c r="X427" s="81"/>
      <c r="Y427" s="80"/>
      <c r="Z427" s="737">
        <f ca="1">MAX(0%,IF(Q427&lt;&gt;0,MIN((S427-Q427)/Q427/'NSLT Health Risk'!$E$27,'Health Prem &amp; Reserve Risk'!$Z$333),'Health Prem &amp; Reserve Risk'!$Z$333))</f>
        <v>0.17</v>
      </c>
      <c r="AA427" s="80"/>
      <c r="AB427" s="80"/>
      <c r="AC427" s="737">
        <f ca="1">MAX(0%,IF(U427&lt;&gt;0,MIN((W427-U427)/U427/'NSLT Health Risk'!$E$27,'Health Prem &amp; Reserve Risk'!$AC$333),'Health Prem &amp; Reserve Risk'!$AC$333))</f>
        <v>0.17</v>
      </c>
      <c r="AD427" s="81"/>
      <c r="AE427" s="53"/>
      <c r="AF427" s="53"/>
    </row>
    <row r="428" spans="1:32" ht="12.75" customHeight="1" x14ac:dyDescent="0.25">
      <c r="A428" s="53"/>
      <c r="B428" s="257">
        <v>94</v>
      </c>
      <c r="C428" s="652"/>
      <c r="D428" s="80"/>
      <c r="E428" s="80"/>
      <c r="F428" s="256">
        <f t="shared" ca="1" si="16"/>
        <v>0</v>
      </c>
      <c r="G428" s="624"/>
      <c r="H428" s="85"/>
      <c r="I428" s="624"/>
      <c r="J428" s="85"/>
      <c r="K428" s="624"/>
      <c r="L428" s="85"/>
      <c r="M428" s="624"/>
      <c r="N428" s="85"/>
      <c r="O428" s="624"/>
      <c r="P428" s="85"/>
      <c r="Q428" s="626">
        <f t="shared" si="13"/>
        <v>0</v>
      </c>
      <c r="R428" s="85"/>
      <c r="S428" s="624"/>
      <c r="T428" s="260" t="str">
        <f t="shared" si="15"/>
        <v/>
      </c>
      <c r="U428" s="624"/>
      <c r="V428" s="85"/>
      <c r="W428" s="624"/>
      <c r="X428" s="81"/>
      <c r="Y428" s="80"/>
      <c r="Z428" s="737">
        <f ca="1">MAX(0%,IF(Q428&lt;&gt;0,MIN((S428-Q428)/Q428/'NSLT Health Risk'!$E$27,'Health Prem &amp; Reserve Risk'!$Z$333),'Health Prem &amp; Reserve Risk'!$Z$333))</f>
        <v>0.17</v>
      </c>
      <c r="AA428" s="80"/>
      <c r="AB428" s="80"/>
      <c r="AC428" s="737">
        <f ca="1">MAX(0%,IF(U428&lt;&gt;0,MIN((W428-U428)/U428/'NSLT Health Risk'!$E$27,'Health Prem &amp; Reserve Risk'!$AC$333),'Health Prem &amp; Reserve Risk'!$AC$333))</f>
        <v>0.17</v>
      </c>
      <c r="AD428" s="81"/>
      <c r="AE428" s="53"/>
      <c r="AF428" s="53"/>
    </row>
    <row r="429" spans="1:32" ht="12.75" customHeight="1" x14ac:dyDescent="0.25">
      <c r="A429" s="53"/>
      <c r="B429" s="257">
        <v>95</v>
      </c>
      <c r="C429" s="652"/>
      <c r="D429" s="80"/>
      <c r="E429" s="80"/>
      <c r="F429" s="256">
        <f t="shared" ca="1" si="16"/>
        <v>0</v>
      </c>
      <c r="G429" s="624"/>
      <c r="H429" s="85"/>
      <c r="I429" s="624"/>
      <c r="J429" s="85"/>
      <c r="K429" s="624"/>
      <c r="L429" s="85"/>
      <c r="M429" s="624"/>
      <c r="N429" s="85"/>
      <c r="O429" s="624"/>
      <c r="P429" s="85"/>
      <c r="Q429" s="626">
        <f t="shared" si="13"/>
        <v>0</v>
      </c>
      <c r="R429" s="85"/>
      <c r="S429" s="624"/>
      <c r="T429" s="260" t="str">
        <f t="shared" si="15"/>
        <v/>
      </c>
      <c r="U429" s="624"/>
      <c r="V429" s="85"/>
      <c r="W429" s="624"/>
      <c r="X429" s="81"/>
      <c r="Y429" s="80"/>
      <c r="Z429" s="737">
        <f ca="1">MAX(0%,IF(Q429&lt;&gt;0,MIN((S429-Q429)/Q429/'NSLT Health Risk'!$E$27,'Health Prem &amp; Reserve Risk'!$Z$333),'Health Prem &amp; Reserve Risk'!$Z$333))</f>
        <v>0.17</v>
      </c>
      <c r="AA429" s="80"/>
      <c r="AB429" s="80"/>
      <c r="AC429" s="737">
        <f ca="1">MAX(0%,IF(U429&lt;&gt;0,MIN((W429-U429)/U429/'NSLT Health Risk'!$E$27,'Health Prem &amp; Reserve Risk'!$AC$333),'Health Prem &amp; Reserve Risk'!$AC$333))</f>
        <v>0.17</v>
      </c>
      <c r="AD429" s="81"/>
      <c r="AE429" s="53"/>
      <c r="AF429" s="53"/>
    </row>
    <row r="430" spans="1:32" ht="12.75" customHeight="1" x14ac:dyDescent="0.25">
      <c r="A430" s="53"/>
      <c r="B430" s="257">
        <v>96</v>
      </c>
      <c r="C430" s="652"/>
      <c r="D430" s="80"/>
      <c r="E430" s="80"/>
      <c r="F430" s="256">
        <f t="shared" ca="1" si="16"/>
        <v>0</v>
      </c>
      <c r="G430" s="624"/>
      <c r="H430" s="85"/>
      <c r="I430" s="624"/>
      <c r="J430" s="85"/>
      <c r="K430" s="624"/>
      <c r="L430" s="85"/>
      <c r="M430" s="624"/>
      <c r="N430" s="85"/>
      <c r="O430" s="624"/>
      <c r="P430" s="85"/>
      <c r="Q430" s="626">
        <f t="shared" si="13"/>
        <v>0</v>
      </c>
      <c r="R430" s="85"/>
      <c r="S430" s="624"/>
      <c r="T430" s="260" t="str">
        <f t="shared" si="15"/>
        <v/>
      </c>
      <c r="U430" s="624"/>
      <c r="V430" s="85"/>
      <c r="W430" s="624"/>
      <c r="X430" s="81"/>
      <c r="Y430" s="80"/>
      <c r="Z430" s="737">
        <f ca="1">MAX(0%,IF(Q430&lt;&gt;0,MIN((S430-Q430)/Q430/'NSLT Health Risk'!$E$27,'Health Prem &amp; Reserve Risk'!$Z$333),'Health Prem &amp; Reserve Risk'!$Z$333))</f>
        <v>0.17</v>
      </c>
      <c r="AA430" s="80"/>
      <c r="AB430" s="80"/>
      <c r="AC430" s="737">
        <f ca="1">MAX(0%,IF(U430&lt;&gt;0,MIN((W430-U430)/U430/'NSLT Health Risk'!$E$27,'Health Prem &amp; Reserve Risk'!$AC$333),'Health Prem &amp; Reserve Risk'!$AC$333))</f>
        <v>0.17</v>
      </c>
      <c r="AD430" s="81"/>
      <c r="AE430" s="53"/>
      <c r="AF430" s="53"/>
    </row>
    <row r="431" spans="1:32" ht="12.75" customHeight="1" x14ac:dyDescent="0.25">
      <c r="A431" s="53"/>
      <c r="B431" s="257">
        <v>97</v>
      </c>
      <c r="C431" s="652"/>
      <c r="D431" s="80"/>
      <c r="E431" s="80"/>
      <c r="F431" s="256">
        <f t="shared" ca="1" si="16"/>
        <v>0</v>
      </c>
      <c r="G431" s="624"/>
      <c r="H431" s="85"/>
      <c r="I431" s="624"/>
      <c r="J431" s="85"/>
      <c r="K431" s="624"/>
      <c r="L431" s="85"/>
      <c r="M431" s="624"/>
      <c r="N431" s="85"/>
      <c r="O431" s="624"/>
      <c r="P431" s="85"/>
      <c r="Q431" s="626">
        <f t="shared" si="13"/>
        <v>0</v>
      </c>
      <c r="R431" s="85"/>
      <c r="S431" s="624"/>
      <c r="T431" s="260" t="str">
        <f t="shared" si="15"/>
        <v/>
      </c>
      <c r="U431" s="624"/>
      <c r="V431" s="85"/>
      <c r="W431" s="624"/>
      <c r="X431" s="81"/>
      <c r="Y431" s="80"/>
      <c r="Z431" s="737">
        <f ca="1">MAX(0%,IF(Q431&lt;&gt;0,MIN((S431-Q431)/Q431/'NSLT Health Risk'!$E$27,'Health Prem &amp; Reserve Risk'!$Z$333),'Health Prem &amp; Reserve Risk'!$Z$333))</f>
        <v>0.17</v>
      </c>
      <c r="AA431" s="80"/>
      <c r="AB431" s="80"/>
      <c r="AC431" s="737">
        <f ca="1">MAX(0%,IF(U431&lt;&gt;0,MIN((W431-U431)/U431/'NSLT Health Risk'!$E$27,'Health Prem &amp; Reserve Risk'!$AC$333),'Health Prem &amp; Reserve Risk'!$AC$333))</f>
        <v>0.17</v>
      </c>
      <c r="AD431" s="81"/>
      <c r="AE431" s="53"/>
      <c r="AF431" s="53"/>
    </row>
    <row r="432" spans="1:32" ht="12.75" customHeight="1" x14ac:dyDescent="0.25">
      <c r="A432" s="53"/>
      <c r="B432" s="257">
        <v>98</v>
      </c>
      <c r="C432" s="652"/>
      <c r="D432" s="80"/>
      <c r="E432" s="80"/>
      <c r="F432" s="256">
        <f t="shared" ca="1" si="16"/>
        <v>0</v>
      </c>
      <c r="G432" s="624"/>
      <c r="H432" s="85"/>
      <c r="I432" s="624"/>
      <c r="J432" s="85"/>
      <c r="K432" s="624"/>
      <c r="L432" s="85"/>
      <c r="M432" s="624"/>
      <c r="N432" s="85"/>
      <c r="O432" s="624"/>
      <c r="P432" s="85"/>
      <c r="Q432" s="626">
        <f t="shared" si="13"/>
        <v>0</v>
      </c>
      <c r="R432" s="85"/>
      <c r="S432" s="624"/>
      <c r="T432" s="260" t="str">
        <f t="shared" si="15"/>
        <v/>
      </c>
      <c r="U432" s="624"/>
      <c r="V432" s="85"/>
      <c r="W432" s="624"/>
      <c r="X432" s="81"/>
      <c r="Y432" s="80"/>
      <c r="Z432" s="737">
        <f ca="1">MAX(0%,IF(Q432&lt;&gt;0,MIN((S432-Q432)/Q432/'NSLT Health Risk'!$E$27,'Health Prem &amp; Reserve Risk'!$Z$333),'Health Prem &amp; Reserve Risk'!$Z$333))</f>
        <v>0.17</v>
      </c>
      <c r="AA432" s="80"/>
      <c r="AB432" s="80"/>
      <c r="AC432" s="737">
        <f ca="1">MAX(0%,IF(U432&lt;&gt;0,MIN((W432-U432)/U432/'NSLT Health Risk'!$E$27,'Health Prem &amp; Reserve Risk'!$AC$333),'Health Prem &amp; Reserve Risk'!$AC$333))</f>
        <v>0.17</v>
      </c>
      <c r="AD432" s="81"/>
      <c r="AE432" s="53"/>
      <c r="AF432" s="53"/>
    </row>
    <row r="433" spans="1:32" ht="12.75" customHeight="1" x14ac:dyDescent="0.25">
      <c r="A433" s="53"/>
      <c r="B433" s="257">
        <v>99</v>
      </c>
      <c r="C433" s="652"/>
      <c r="D433" s="80"/>
      <c r="E433" s="80"/>
      <c r="F433" s="256">
        <f t="shared" ca="1" si="16"/>
        <v>0</v>
      </c>
      <c r="G433" s="624"/>
      <c r="H433" s="85"/>
      <c r="I433" s="624"/>
      <c r="J433" s="85"/>
      <c r="K433" s="624"/>
      <c r="L433" s="85"/>
      <c r="M433" s="624"/>
      <c r="N433" s="85"/>
      <c r="O433" s="624"/>
      <c r="P433" s="85"/>
      <c r="Q433" s="626">
        <f t="shared" si="13"/>
        <v>0</v>
      </c>
      <c r="R433" s="85"/>
      <c r="S433" s="624"/>
      <c r="T433" s="260" t="str">
        <f t="shared" si="15"/>
        <v/>
      </c>
      <c r="U433" s="624"/>
      <c r="V433" s="85"/>
      <c r="W433" s="624"/>
      <c r="X433" s="81"/>
      <c r="Y433" s="80"/>
      <c r="Z433" s="737">
        <f ca="1">MAX(0%,IF(Q433&lt;&gt;0,MIN((S433-Q433)/Q433/'NSLT Health Risk'!$E$27,'Health Prem &amp; Reserve Risk'!$Z$333),'Health Prem &amp; Reserve Risk'!$Z$333))</f>
        <v>0.17</v>
      </c>
      <c r="AA433" s="80"/>
      <c r="AB433" s="80"/>
      <c r="AC433" s="737">
        <f ca="1">MAX(0%,IF(U433&lt;&gt;0,MIN((W433-U433)/U433/'NSLT Health Risk'!$E$27,'Health Prem &amp; Reserve Risk'!$AC$333),'Health Prem &amp; Reserve Risk'!$AC$333))</f>
        <v>0.17</v>
      </c>
      <c r="AD433" s="81"/>
      <c r="AE433" s="53"/>
      <c r="AF433" s="53"/>
    </row>
    <row r="434" spans="1:32" ht="12.75" customHeight="1" x14ac:dyDescent="0.25">
      <c r="A434" s="53"/>
      <c r="B434" s="257">
        <v>100</v>
      </c>
      <c r="C434" s="652"/>
      <c r="D434" s="80"/>
      <c r="E434" s="80"/>
      <c r="F434" s="256">
        <f t="shared" ca="1" si="16"/>
        <v>0</v>
      </c>
      <c r="G434" s="624"/>
      <c r="H434" s="85"/>
      <c r="I434" s="624"/>
      <c r="J434" s="85"/>
      <c r="K434" s="624"/>
      <c r="L434" s="85"/>
      <c r="M434" s="624"/>
      <c r="N434" s="85"/>
      <c r="O434" s="624"/>
      <c r="P434" s="85"/>
      <c r="Q434" s="626">
        <f t="shared" si="13"/>
        <v>0</v>
      </c>
      <c r="R434" s="85"/>
      <c r="S434" s="624"/>
      <c r="T434" s="260" t="str">
        <f t="shared" ref="T434" si="17">IF(Q434&gt;0,IF(S434&lt;&gt;0,"","CAP MUST NOT BE 0"),"")</f>
        <v/>
      </c>
      <c r="U434" s="624"/>
      <c r="V434" s="85"/>
      <c r="W434" s="624"/>
      <c r="X434" s="81"/>
      <c r="Y434" s="80"/>
      <c r="Z434" s="737">
        <f ca="1">MAX(0%,IF(Q434&lt;&gt;0,MIN((S434-Q434)/Q434/'NSLT Health Risk'!$E$27,'Health Prem &amp; Reserve Risk'!$Z$333),'Health Prem &amp; Reserve Risk'!$Z$333))</f>
        <v>0.17</v>
      </c>
      <c r="AA434" s="80"/>
      <c r="AB434" s="80"/>
      <c r="AC434" s="737">
        <f ca="1">MAX(0%,IF(U434&lt;&gt;0,MIN((W434-U434)/U434/'NSLT Health Risk'!$E$27,'Health Prem &amp; Reserve Risk'!$AC$333),'Health Prem &amp; Reserve Risk'!$AC$333))</f>
        <v>0.17</v>
      </c>
      <c r="AD434" s="81"/>
      <c r="AE434" s="53"/>
      <c r="AF434" s="53"/>
    </row>
    <row r="435" spans="1:32" ht="6" customHeight="1" thickBot="1" x14ac:dyDescent="0.3">
      <c r="A435" s="53"/>
      <c r="B435" s="110"/>
      <c r="C435" s="93"/>
      <c r="D435" s="93"/>
      <c r="E435" s="93"/>
      <c r="F435" s="272">
        <f ca="1">IF(OFFSET($Z$8,$B$332-25,0)=0,1,0)</f>
        <v>0</v>
      </c>
      <c r="G435" s="93"/>
      <c r="H435" s="93"/>
      <c r="I435" s="93"/>
      <c r="J435" s="93"/>
      <c r="K435" s="93"/>
      <c r="L435" s="93"/>
      <c r="M435" s="93"/>
      <c r="N435" s="93"/>
      <c r="O435" s="93"/>
      <c r="P435" s="93"/>
      <c r="Q435" s="93"/>
      <c r="R435" s="93"/>
      <c r="S435" s="93"/>
      <c r="T435" s="93"/>
      <c r="U435" s="93"/>
      <c r="V435" s="93"/>
      <c r="W435" s="93"/>
      <c r="X435" s="94"/>
      <c r="Y435" s="93"/>
      <c r="Z435" s="93"/>
      <c r="AA435" s="93"/>
      <c r="AB435" s="93"/>
      <c r="AC435" s="93"/>
      <c r="AD435" s="94"/>
      <c r="AE435" s="53"/>
      <c r="AF435" s="53"/>
    </row>
    <row r="436" spans="1:32" ht="15.75"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row>
    <row r="437" spans="1:32" ht="15.75"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row>
    <row r="438" spans="1:32" ht="15.75"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row>
    <row r="439" spans="1:32" ht="15.75"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row>
    <row r="440" spans="1:32" ht="15.75"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row>
    <row r="441" spans="1:32" ht="15.75"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row>
    <row r="442" spans="1:32" ht="15.75"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row>
    <row r="443" spans="1:32" ht="15.75"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row>
    <row r="444" spans="1:32" ht="15.75"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row>
    <row r="445" spans="1:32" ht="15.75"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row>
    <row r="446" spans="1:32" ht="15.75"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row>
    <row r="447" spans="1:32" ht="15.75"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row>
    <row r="448" spans="1:32" ht="15.75"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row>
    <row r="449" spans="1:32" ht="15.75"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row>
    <row r="450" spans="1:32" ht="15.75"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row>
    <row r="451" spans="1:32" ht="15.75" x14ac:dyDescent="0.25">
      <c r="A451" s="56"/>
      <c r="B451" s="56"/>
      <c r="C451" s="56"/>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row>
    <row r="452" spans="1:32" ht="15.75" x14ac:dyDescent="0.25">
      <c r="A452" s="56"/>
      <c r="B452" s="56"/>
      <c r="C452" s="56"/>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row>
    <row r="453" spans="1:32" ht="15.75" x14ac:dyDescent="0.25">
      <c r="A453" s="56"/>
      <c r="B453" s="56"/>
      <c r="C453" s="56"/>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row>
    <row r="454" spans="1:32" ht="15.75" x14ac:dyDescent="0.25">
      <c r="A454" s="56"/>
      <c r="B454" s="56"/>
      <c r="C454" s="56"/>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row>
    <row r="455" spans="1:32" ht="15.75" x14ac:dyDescent="0.25">
      <c r="A455" s="56"/>
      <c r="B455" s="56"/>
      <c r="C455" s="56"/>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row>
    <row r="456" spans="1:32" ht="15.75" x14ac:dyDescent="0.25">
      <c r="A456" s="56"/>
      <c r="B456" s="56"/>
      <c r="C456" s="56"/>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row>
    <row r="457" spans="1:32" ht="15.75" x14ac:dyDescent="0.25">
      <c r="A457" s="56"/>
      <c r="B457" s="56"/>
      <c r="C457" s="56"/>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row>
    <row r="458" spans="1:32" ht="15.75" x14ac:dyDescent="0.25">
      <c r="A458" s="56"/>
      <c r="B458" s="56"/>
      <c r="C458" s="56"/>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row>
    <row r="459" spans="1:32" ht="15.75" x14ac:dyDescent="0.25">
      <c r="A459" s="56"/>
      <c r="B459" s="56"/>
      <c r="C459" s="56"/>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row>
    <row r="460" spans="1:32" ht="15.75" x14ac:dyDescent="0.25">
      <c r="A460" s="56"/>
      <c r="B460" s="56"/>
      <c r="C460" s="56"/>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row>
    <row r="461" spans="1:32" ht="15.75" x14ac:dyDescent="0.25">
      <c r="A461" s="56"/>
      <c r="B461" s="56"/>
      <c r="C461" s="56"/>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row>
    <row r="462" spans="1:32" ht="15.75" x14ac:dyDescent="0.25">
      <c r="A462" s="56"/>
      <c r="B462" s="56"/>
      <c r="C462" s="56"/>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row>
    <row r="463" spans="1:32" ht="15.75" x14ac:dyDescent="0.25">
      <c r="A463" s="56"/>
      <c r="B463" s="56"/>
      <c r="C463" s="56"/>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row>
    <row r="464" spans="1:32" ht="15.75" x14ac:dyDescent="0.25">
      <c r="A464" s="56"/>
      <c r="B464" s="56"/>
      <c r="C464" s="56"/>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row>
    <row r="465" spans="1:32" ht="15.75" x14ac:dyDescent="0.25">
      <c r="A465" s="56"/>
      <c r="B465" s="56"/>
      <c r="C465" s="56"/>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row>
    <row r="466" spans="1:32" ht="15.75" x14ac:dyDescent="0.25">
      <c r="A466" s="56"/>
      <c r="B466" s="56"/>
      <c r="C466" s="56"/>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row>
    <row r="467" spans="1:32" ht="15.75" x14ac:dyDescent="0.25">
      <c r="A467" s="56"/>
      <c r="B467" s="56"/>
      <c r="C467" s="56"/>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row>
    <row r="468" spans="1:32" ht="15.75" x14ac:dyDescent="0.25">
      <c r="A468" s="56"/>
      <c r="B468" s="56"/>
      <c r="C468" s="56"/>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row>
    <row r="469" spans="1:32" ht="15.75" x14ac:dyDescent="0.25">
      <c r="A469" s="56"/>
      <c r="B469" s="56"/>
      <c r="C469" s="56"/>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row>
    <row r="470" spans="1:32" ht="15.75" x14ac:dyDescent="0.25">
      <c r="A470" s="56"/>
      <c r="B470" s="56"/>
      <c r="C470" s="56"/>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row>
    <row r="471" spans="1:32" ht="15.75" x14ac:dyDescent="0.25">
      <c r="A471" s="56"/>
      <c r="B471" s="56"/>
      <c r="C471" s="56"/>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row>
    <row r="472" spans="1:32" ht="15.75" x14ac:dyDescent="0.25">
      <c r="A472" s="56"/>
      <c r="B472" s="56"/>
      <c r="C472" s="56"/>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row>
    <row r="473" spans="1:32" ht="15.75" x14ac:dyDescent="0.25">
      <c r="A473" s="56"/>
      <c r="B473" s="56"/>
      <c r="C473" s="56"/>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row>
    <row r="474" spans="1:32" ht="15.75" x14ac:dyDescent="0.25">
      <c r="A474" s="56"/>
      <c r="B474" s="56"/>
      <c r="C474" s="56"/>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row>
    <row r="475" spans="1:32" ht="15.75" x14ac:dyDescent="0.25">
      <c r="A475" s="56"/>
      <c r="B475" s="56"/>
      <c r="C475" s="56"/>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row>
    <row r="476" spans="1:32" ht="15.75" x14ac:dyDescent="0.25">
      <c r="A476" s="56"/>
      <c r="B476" s="56"/>
      <c r="C476" s="56"/>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row>
    <row r="477" spans="1:32" ht="15.75" x14ac:dyDescent="0.25">
      <c r="A477" s="56"/>
      <c r="B477" s="56"/>
      <c r="C477" s="56"/>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row>
    <row r="478" spans="1:32" ht="15.75" x14ac:dyDescent="0.25">
      <c r="A478" s="56"/>
      <c r="B478" s="56"/>
      <c r="C478" s="56"/>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row>
    <row r="479" spans="1:32" ht="15.75" x14ac:dyDescent="0.25">
      <c r="A479" s="56"/>
      <c r="B479" s="56"/>
      <c r="C479" s="56"/>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row>
    <row r="480" spans="1:32" ht="15.75" x14ac:dyDescent="0.25">
      <c r="A480" s="56"/>
      <c r="B480" s="56"/>
      <c r="C480" s="56"/>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row>
    <row r="481" spans="1:32" ht="15.75" x14ac:dyDescent="0.25">
      <c r="A481" s="56"/>
      <c r="B481" s="56"/>
      <c r="C481" s="56"/>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row>
    <row r="482" spans="1:32" ht="15.75" x14ac:dyDescent="0.25">
      <c r="A482" s="56"/>
      <c r="B482" s="56"/>
      <c r="C482" s="56"/>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row>
    <row r="483" spans="1:32" ht="15.75" x14ac:dyDescent="0.25">
      <c r="A483" s="56"/>
      <c r="B483" s="56"/>
      <c r="C483" s="56"/>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row>
    <row r="484" spans="1:32" ht="15.75" x14ac:dyDescent="0.25">
      <c r="A484" s="56"/>
      <c r="B484" s="56"/>
      <c r="C484" s="56"/>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row>
    <row r="485" spans="1:32" ht="15.75" x14ac:dyDescent="0.25">
      <c r="A485" s="56"/>
      <c r="B485" s="56"/>
      <c r="C485" s="56"/>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row>
    <row r="486" spans="1:32" ht="15.75" x14ac:dyDescent="0.25">
      <c r="A486" s="56"/>
      <c r="B486" s="56"/>
      <c r="C486" s="56"/>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row>
    <row r="487" spans="1:32" ht="15.75" x14ac:dyDescent="0.25">
      <c r="A487" s="56"/>
      <c r="B487" s="56"/>
      <c r="C487" s="56"/>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row>
    <row r="488" spans="1:32" ht="15.75" x14ac:dyDescent="0.25">
      <c r="A488" s="56"/>
      <c r="B488" s="56"/>
      <c r="C488" s="56"/>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row>
    <row r="489" spans="1:32" ht="15.75" x14ac:dyDescent="0.25">
      <c r="A489" s="56"/>
      <c r="B489" s="56"/>
      <c r="C489" s="56"/>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row>
    <row r="490" spans="1:32" ht="15.75" x14ac:dyDescent="0.25">
      <c r="A490" s="56"/>
      <c r="B490" s="56"/>
      <c r="C490" s="56"/>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row>
    <row r="491" spans="1:32" ht="15.75" x14ac:dyDescent="0.25">
      <c r="A491" s="56"/>
      <c r="B491" s="56"/>
      <c r="C491" s="56"/>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row>
    <row r="492" spans="1:32" ht="15.75" x14ac:dyDescent="0.25">
      <c r="A492" s="56"/>
      <c r="B492" s="56"/>
      <c r="C492" s="56"/>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row>
    <row r="493" spans="1:32" ht="15.75" x14ac:dyDescent="0.25">
      <c r="A493" s="56"/>
      <c r="B493" s="56"/>
      <c r="C493" s="56"/>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row>
    <row r="494" spans="1:32" ht="15.75" x14ac:dyDescent="0.25">
      <c r="A494" s="56"/>
      <c r="B494" s="56"/>
      <c r="C494" s="56"/>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row>
    <row r="495" spans="1:32" ht="15.75" x14ac:dyDescent="0.25">
      <c r="A495" s="56"/>
      <c r="B495" s="56"/>
      <c r="C495" s="56"/>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row>
    <row r="496" spans="1:32" ht="15.75" x14ac:dyDescent="0.25">
      <c r="A496" s="56"/>
      <c r="B496" s="56"/>
      <c r="C496" s="56"/>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row>
    <row r="497" spans="1:32" ht="15.75" x14ac:dyDescent="0.25">
      <c r="A497" s="56"/>
      <c r="B497" s="56"/>
      <c r="C497" s="56"/>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row>
    <row r="498" spans="1:32" ht="15.75" x14ac:dyDescent="0.25">
      <c r="A498" s="56"/>
      <c r="B498" s="56"/>
      <c r="C498" s="56"/>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row>
    <row r="499" spans="1:32" ht="15.75" x14ac:dyDescent="0.25">
      <c r="A499" s="56"/>
      <c r="B499" s="56"/>
      <c r="C499" s="56"/>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row>
    <row r="500" spans="1:32" ht="15.75" x14ac:dyDescent="0.25">
      <c r="A500" s="56"/>
      <c r="B500" s="56"/>
      <c r="C500" s="56"/>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row>
    <row r="501" spans="1:32" ht="15.75" x14ac:dyDescent="0.25">
      <c r="A501" s="56"/>
      <c r="B501" s="56"/>
      <c r="C501" s="56"/>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row>
  </sheetData>
  <sheetProtection algorithmName="SHA-512" hashValue="0ti/haRBBTYDa7uip3jEjGrBOktD+Zffu0LGnEoA4NGdYdfGYxblABLHtjBpZG3+fbNotQcZfc1smk1u/VudoA==" saltValue="2ai+A7YfdMIlJ+3up0R1SQ==" spinCount="100000" sheet="1" objects="1" scenarios="1"/>
  <mergeCells count="1">
    <mergeCell ref="C4:O4"/>
  </mergeCells>
  <conditionalFormatting sqref="AC1:AC3">
    <cfRule type="cellIs" dxfId="557" priority="11" operator="equal">
      <formula>"OK"</formula>
    </cfRule>
    <cfRule type="cellIs" dxfId="556" priority="12" operator="equal">
      <formula>"ERROR"</formula>
    </cfRule>
  </conditionalFormatting>
  <conditionalFormatting sqref="AC4">
    <cfRule type="cellIs" dxfId="555" priority="5" operator="equal">
      <formula>"Complete"</formula>
    </cfRule>
    <cfRule type="cellIs" dxfId="554" priority="6" operator="equal">
      <formula>"Incomplete"</formula>
    </cfRule>
  </conditionalFormatting>
  <conditionalFormatting sqref="AC5:AC7">
    <cfRule type="cellIs" dxfId="553" priority="7" operator="equal">
      <formula>"OK"</formula>
    </cfRule>
    <cfRule type="cellIs" dxfId="552" priority="8" operator="equal">
      <formula>"ERROR"</formula>
    </cfRule>
  </conditionalFormatting>
  <conditionalFormatting sqref="AC8:AC11">
    <cfRule type="cellIs" dxfId="551" priority="3" operator="equal">
      <formula>"Complete"</formula>
    </cfRule>
    <cfRule type="cellIs" dxfId="550" priority="4" operator="equal">
      <formula>"Incomplete"</formula>
    </cfRule>
  </conditionalFormatting>
  <conditionalFormatting sqref="AC12:AC14 AC436:AC450">
    <cfRule type="cellIs" dxfId="549" priority="13" operator="equal">
      <formula>"OK"</formula>
    </cfRule>
    <cfRule type="cellIs" dxfId="548" priority="14" operator="equal">
      <formula>"ERROR"</formula>
    </cfRule>
  </conditionalFormatting>
  <conditionalFormatting sqref="AC226 AC331">
    <cfRule type="cellIs" dxfId="547" priority="1" operator="equal">
      <formula>"OK"</formula>
    </cfRule>
    <cfRule type="cellIs" dxfId="546" priority="2" operator="equal">
      <formula>"ERROR"</formula>
    </cfRule>
  </conditionalFormatting>
  <dataValidations count="15">
    <dataValidation allowBlank="1" showInputMessage="1" showErrorMessage="1" prompt="This should be the aggregate cap less any claims which have already been paid in respect of this contract." sqref="W228 W123 W18 W333" xr:uid="{00000000-0002-0000-1400-000000000000}"/>
    <dataValidation allowBlank="1" showInputMessage="1" showErrorMessage="1" prompt="Input the maximum exposure (the aggregate cap) to claims from the premiums in column Q for the contract(s) to which this cap applies." sqref="S333 S18 S123 S228" xr:uid="{00000000-0002-0000-1400-000001000000}"/>
    <dataValidation allowBlank="1" showErrorMessage="1" promptTitle="V(s)" prompt="See TS(200) 2.7.4.17. - the overall net volume measure for each segment, s." sqref="W5" xr:uid="{00000000-0002-0000-1400-000002000000}"/>
    <dataValidation allowBlank="1" showErrorMessage="1" promptTitle="V(res,s)" prompt="See TS(200) 2.7.4.12. - best estimate for claims outstanding for each segment, s, this amount should be net, with deduction of the amounts recoverable from reinsurance &amp; SPVs." sqref="U5 S5" xr:uid="{00000000-0002-0000-1400-000003000000}"/>
    <dataValidation allowBlank="1" showErrorMessage="1" promptTitle="V(prem,s)" prompt="See TS(200) 2.7.4.6. - volume measure for net premium risk for each segment, s." sqref="Q5 Q18 Q123 Q228 Q333" xr:uid="{00000000-0002-0000-1400-000004000000}"/>
    <dataValidation allowBlank="1" showErrorMessage="1" promptTitle="Segmentation by Line of Business" prompt="See TS(10) 2.7.4.5. for the proposed segmentation by LoB, this differs slightly to that used for the Technical Provisions since proportional reinsurance is included within each of the segments, s." sqref="B5" xr:uid="{00000000-0002-0000-1400-000005000000}"/>
    <dataValidation allowBlank="1" showInputMessage="1" showErrorMessage="1" prompt="Enter the reserve (as included in S8:S19) for the contract(s) to which this aggregate cap applies." sqref="U333 U18 U123 U228" xr:uid="{00000000-0002-0000-1400-000006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228 N18 N5 N123 N333" xr:uid="{00000000-0002-0000-1400-000007000000}"/>
    <dataValidation allowBlank="1" showErrorMessage="1" sqref="A13:AF13 A19:AF19 A124:AF124 A229:AF229 AD6:AF6 A6:AB6 A334:AF334" xr:uid="{00000000-0002-0000-1400-000008000000}"/>
    <dataValidation allowBlank="1" showInputMessage="1" showErrorMessage="1" prompt="Premiums earned by an insurer in the 12 months before the valuation date. Premiums should be net of reinsurance, SPVs &amp; commission._x000a__x000a_If Regulation 40, paragraph 7 applies. enter 0." sqref="I228 I5 I18 I123 I333" xr:uid="{00000000-0002-0000-1400-000009000000}"/>
    <dataValidation allowBlank="1" showInputMessage="1" showErrorMessage="1" prompt="Input number of aggregate caps affecting the LOB s. " sqref="Z5" xr:uid="{00000000-0002-0000-1400-00000A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18 K123 K228 K333" xr:uid="{00000000-0002-0000-1400-00000B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18 O123 O228 O333" xr:uid="{00000000-0002-0000-1400-00000C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18 M123 M228 M333" xr:uid="{00000000-0002-0000-1400-00000D000000}"/>
    <dataValidation allowBlank="1" showInputMessage="1" showErrorMessage="1" prompt="Estimate of premiums to be earned on existing and planned contracts in the 12 months after the valuation date. Premiums should be net of reinsurance, SPVs &amp; commission. " sqref="G5 G18 G123 G228 G333" xr:uid="{00000000-0002-0000-1400-00000E000000}"/>
  </dataValidations>
  <hyperlinks>
    <hyperlink ref="Z8" location="'Health Prem &amp; Reserve Risk'!A17" display=" 10  - Medical expense &amp; 22 Prop. Reins." xr:uid="{00000000-0004-0000-1400-000000000000}"/>
    <hyperlink ref="Z9" location="'Health Prem &amp; Reserve Risk'!A122" display=" 11  - Income Protection &amp; 23 Prop. Reins." xr:uid="{00000000-0004-0000-1400-000001000000}"/>
    <hyperlink ref="Z10" location="'Health Prem &amp; Reserve Risk'!A227" display=" 12  - Workers' compensation &amp; 24 Prop. Reins." xr:uid="{00000000-0004-0000-1400-000002000000}"/>
    <hyperlink ref="Z11" location="'Health Prem &amp; Reserve Risk'!A332" display=" 28 - Non-prop. reinsurance - Health" xr:uid="{00000000-0004-0000-1400-000003000000}"/>
  </hyperlinks>
  <pageMargins left="0.7" right="0.7" top="0.75" bottom="0.75" header="0.3" footer="0.3"/>
  <pageSetup paperSize="9" scale="8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00B050"/>
    <pageSetUpPr fitToPage="1"/>
  </sheetPr>
  <dimension ref="A1:BI28"/>
  <sheetViews>
    <sheetView workbookViewId="0"/>
  </sheetViews>
  <sheetFormatPr defaultColWidth="0" defaultRowHeight="14.25" zeroHeight="1" x14ac:dyDescent="0.2"/>
  <cols>
    <col min="1" max="1" width="1.875" customWidth="1"/>
    <col min="2" max="2" width="12.375" customWidth="1"/>
    <col min="3" max="3" width="1.875" customWidth="1"/>
    <col min="4" max="4" width="9" customWidth="1"/>
    <col min="5" max="5" width="1.875" customWidth="1"/>
    <col min="6" max="6" width="19.125" customWidth="1"/>
    <col min="7" max="7" width="1.875" customWidth="1"/>
    <col min="8" max="8" width="19.125" customWidth="1"/>
    <col min="9" max="9" width="1.875" customWidth="1"/>
    <col min="10" max="10" width="18.625" customWidth="1"/>
    <col min="11" max="11" width="1.875" customWidth="1"/>
    <col min="12" max="12" width="18.375" customWidth="1"/>
    <col min="13" max="13" width="1.875" customWidth="1"/>
    <col min="14" max="14" width="19.375" customWidth="1"/>
    <col min="15" max="15" width="1.875" customWidth="1"/>
    <col min="16" max="16" width="18.875" customWidth="1"/>
    <col min="17" max="17" width="1.875" customWidth="1"/>
    <col min="18" max="18" width="18.375" customWidth="1"/>
    <col min="19" max="19" width="1.875" customWidth="1"/>
    <col min="20" max="20" width="19" customWidth="1"/>
    <col min="21" max="21" width="1.875" customWidth="1"/>
    <col min="22" max="22" width="18.875" customWidth="1"/>
    <col min="23" max="23" width="1.875" customWidth="1"/>
    <col min="24" max="24" width="19" customWidth="1"/>
    <col min="25" max="25" width="1.875" customWidth="1"/>
    <col min="26" max="26" width="19.125" customWidth="1"/>
    <col min="27" max="27" width="1.875" customWidth="1"/>
    <col min="28" max="28" width="18.375" customWidth="1"/>
    <col min="29" max="29" width="1.875" customWidth="1"/>
    <col min="30" max="30" width="18.625" customWidth="1"/>
    <col min="31" max="31" width="1.875" customWidth="1"/>
    <col min="32" max="32" width="18.375" customWidth="1"/>
    <col min="33" max="33" width="1.875" customWidth="1"/>
    <col min="34" max="34" width="18.625" customWidth="1"/>
    <col min="35" max="35" width="1.875" customWidth="1"/>
    <col min="36" max="36" width="18.625" customWidth="1"/>
    <col min="37" max="37" width="1.875" customWidth="1"/>
    <col min="38" max="38" width="14.125" customWidth="1"/>
    <col min="39" max="39" width="1.875" customWidth="1"/>
    <col min="40" max="40" width="18.375" customWidth="1"/>
    <col min="41" max="41" width="1.875" customWidth="1"/>
    <col min="42" max="42" width="19.375" customWidth="1"/>
    <col min="43" max="43" width="1.875" customWidth="1"/>
    <col min="44" max="44" width="18.375" customWidth="1"/>
    <col min="45" max="46" width="1.875" customWidth="1"/>
    <col min="47" max="47" width="10.375" customWidth="1"/>
    <col min="48" max="48" width="1.875" customWidth="1"/>
    <col min="49" max="61" width="9" hidden="1"/>
  </cols>
  <sheetData>
    <row r="1" spans="1:48" ht="15.75" x14ac:dyDescent="0.25">
      <c r="A1" s="59">
        <v>1</v>
      </c>
      <c r="B1" s="59"/>
      <c r="C1" s="59"/>
      <c r="D1" s="59"/>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59"/>
      <c r="AU1" s="60"/>
      <c r="AV1" s="59"/>
    </row>
    <row r="2" spans="1:48" ht="48.75" customHeight="1" x14ac:dyDescent="0.25">
      <c r="A2" s="60"/>
      <c r="B2" s="60"/>
      <c r="C2" s="60"/>
      <c r="D2" s="60"/>
      <c r="E2" s="60"/>
      <c r="F2" s="60"/>
      <c r="G2" s="60"/>
      <c r="H2" s="52" t="s">
        <v>518</v>
      </c>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1"/>
      <c r="AT2" s="60"/>
      <c r="AU2" s="61"/>
      <c r="AV2" s="60"/>
    </row>
    <row r="3" spans="1:48" ht="15.75" x14ac:dyDescent="0.25">
      <c r="A3" s="53"/>
      <c r="B3" s="53" t="s">
        <v>465</v>
      </c>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row>
    <row r="4" spans="1:48" ht="16.5" thickBot="1" x14ac:dyDescent="0.3">
      <c r="A4" s="53"/>
      <c r="B4" s="53"/>
      <c r="C4" s="53"/>
      <c r="D4" s="53"/>
      <c r="E4" s="53"/>
      <c r="F4" s="262"/>
      <c r="G4" s="263"/>
      <c r="H4" s="264"/>
      <c r="I4" s="263"/>
      <c r="J4" s="264"/>
      <c r="K4" s="263"/>
      <c r="L4" s="264"/>
      <c r="M4" s="263"/>
      <c r="N4" s="264"/>
      <c r="O4" s="263"/>
      <c r="P4" s="264"/>
      <c r="Q4" s="263"/>
      <c r="R4" s="264"/>
      <c r="S4" s="263"/>
      <c r="T4" s="264"/>
      <c r="U4" s="263"/>
      <c r="V4" s="264"/>
      <c r="W4" s="263"/>
      <c r="X4" s="264"/>
      <c r="Y4" s="263"/>
      <c r="Z4" s="264"/>
      <c r="AA4" s="263"/>
      <c r="AB4" s="264"/>
      <c r="AC4" s="263"/>
      <c r="AD4" s="264"/>
      <c r="AE4" s="263"/>
      <c r="AF4" s="264"/>
      <c r="AG4" s="263"/>
      <c r="AH4" s="264"/>
      <c r="AI4" s="263"/>
      <c r="AJ4" s="264"/>
      <c r="AK4" s="263"/>
      <c r="AL4" s="264"/>
      <c r="AM4" s="263"/>
      <c r="AN4" s="264"/>
      <c r="AO4" s="264"/>
      <c r="AP4" s="264"/>
      <c r="AQ4" s="263"/>
      <c r="AR4" s="264"/>
      <c r="AS4" s="53"/>
      <c r="AT4" s="53"/>
      <c r="AU4" s="334" t="str">
        <f>IF(COUNTIF(AU9:AU28,"Incomplete")&gt;0,"Incomplete","Complete")</f>
        <v>Complete</v>
      </c>
      <c r="AV4" s="53"/>
    </row>
    <row r="5" spans="1:48" ht="16.5" thickBot="1" x14ac:dyDescent="0.3">
      <c r="A5" s="53"/>
      <c r="B5" s="265" t="s">
        <v>52</v>
      </c>
      <c r="C5" s="266"/>
      <c r="D5" s="165"/>
      <c r="E5" s="165"/>
      <c r="F5" s="267"/>
      <c r="G5" s="164"/>
      <c r="H5" s="165"/>
      <c r="I5" s="164"/>
      <c r="J5" s="165"/>
      <c r="K5" s="164"/>
      <c r="L5" s="165"/>
      <c r="M5" s="164"/>
      <c r="N5" s="165"/>
      <c r="O5" s="164"/>
      <c r="P5" s="165"/>
      <c r="Q5" s="164"/>
      <c r="R5" s="165"/>
      <c r="S5" s="164"/>
      <c r="T5" s="165"/>
      <c r="U5" s="164"/>
      <c r="V5" s="165"/>
      <c r="W5" s="164"/>
      <c r="X5" s="165"/>
      <c r="Y5" s="164"/>
      <c r="Z5" s="165"/>
      <c r="AA5" s="164"/>
      <c r="AB5" s="165"/>
      <c r="AC5" s="164"/>
      <c r="AD5" s="165"/>
      <c r="AE5" s="164"/>
      <c r="AF5" s="165"/>
      <c r="AG5" s="164"/>
      <c r="AH5" s="165"/>
      <c r="AI5" s="164"/>
      <c r="AJ5" s="165"/>
      <c r="AK5" s="164"/>
      <c r="AL5" s="165"/>
      <c r="AM5" s="164"/>
      <c r="AN5" s="165"/>
      <c r="AO5" s="165"/>
      <c r="AP5" s="165"/>
      <c r="AQ5" s="164"/>
      <c r="AR5" s="165"/>
      <c r="AS5" s="268"/>
      <c r="AT5" s="53"/>
      <c r="AU5" s="53"/>
      <c r="AV5" s="53"/>
    </row>
    <row r="6" spans="1:48" ht="6" customHeight="1" x14ac:dyDescent="0.25">
      <c r="A6" s="53"/>
      <c r="B6" s="23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3"/>
      <c r="AT6" s="53"/>
      <c r="AU6" s="53"/>
      <c r="AV6" s="53"/>
    </row>
    <row r="7" spans="1:48" ht="15.75" x14ac:dyDescent="0.25">
      <c r="A7" s="53"/>
      <c r="B7" s="107" t="s">
        <v>519</v>
      </c>
      <c r="C7" s="654"/>
      <c r="D7" s="644"/>
      <c r="E7" s="655"/>
      <c r="F7" s="644"/>
      <c r="G7" s="655"/>
      <c r="H7" s="644" t="s">
        <v>467</v>
      </c>
      <c r="I7" s="644"/>
      <c r="J7" s="644" t="s">
        <v>468</v>
      </c>
      <c r="K7" s="644"/>
      <c r="L7" s="644" t="s">
        <v>469</v>
      </c>
      <c r="M7" s="644"/>
      <c r="N7" s="644" t="s">
        <v>470</v>
      </c>
      <c r="O7" s="644"/>
      <c r="P7" s="644" t="s">
        <v>471</v>
      </c>
      <c r="Q7" s="644"/>
      <c r="R7" s="644" t="s">
        <v>472</v>
      </c>
      <c r="S7" s="644"/>
      <c r="T7" s="644" t="s">
        <v>473</v>
      </c>
      <c r="U7" s="644"/>
      <c r="V7" s="644" t="s">
        <v>474</v>
      </c>
      <c r="W7" s="644"/>
      <c r="X7" s="644" t="s">
        <v>475</v>
      </c>
      <c r="Y7" s="644"/>
      <c r="Z7" s="644" t="s">
        <v>476</v>
      </c>
      <c r="AA7" s="644"/>
      <c r="AB7" s="644" t="s">
        <v>477</v>
      </c>
      <c r="AC7" s="644"/>
      <c r="AD7" s="644" t="s">
        <v>478</v>
      </c>
      <c r="AE7" s="644"/>
      <c r="AF7" s="644" t="s">
        <v>479</v>
      </c>
      <c r="AG7" s="644"/>
      <c r="AH7" s="644" t="s">
        <v>480</v>
      </c>
      <c r="AI7" s="644"/>
      <c r="AJ7" s="644" t="s">
        <v>481</v>
      </c>
      <c r="AK7" s="644"/>
      <c r="AL7" s="644" t="s">
        <v>482</v>
      </c>
      <c r="AM7" s="644"/>
      <c r="AN7" s="644" t="s">
        <v>483</v>
      </c>
      <c r="AO7" s="644"/>
      <c r="AP7" s="644" t="s">
        <v>484</v>
      </c>
      <c r="AQ7" s="644"/>
      <c r="AR7" s="644" t="s">
        <v>485</v>
      </c>
      <c r="AS7" s="646"/>
      <c r="AT7" s="53"/>
      <c r="AU7" s="66"/>
      <c r="AV7" s="53"/>
    </row>
    <row r="8" spans="1:48" ht="6" customHeight="1" x14ac:dyDescent="0.25">
      <c r="A8" s="53"/>
      <c r="B8" s="106"/>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1"/>
      <c r="AT8" s="53"/>
      <c r="AU8" s="53"/>
      <c r="AV8" s="53"/>
    </row>
    <row r="9" spans="1:48" ht="15.75" x14ac:dyDescent="0.25">
      <c r="A9" s="53"/>
      <c r="B9" s="269" t="s">
        <v>520</v>
      </c>
      <c r="C9" s="154"/>
      <c r="D9" s="80"/>
      <c r="E9" s="154"/>
      <c r="F9" s="626">
        <f>SUM(H9:AR9)</f>
        <v>0</v>
      </c>
      <c r="G9" s="85"/>
      <c r="H9" s="624">
        <v>0</v>
      </c>
      <c r="I9" s="85"/>
      <c r="J9" s="624">
        <v>0</v>
      </c>
      <c r="K9" s="85"/>
      <c r="L9" s="624">
        <v>0</v>
      </c>
      <c r="M9" s="85"/>
      <c r="N9" s="624">
        <v>0</v>
      </c>
      <c r="O9" s="85"/>
      <c r="P9" s="624">
        <v>0</v>
      </c>
      <c r="Q9" s="85"/>
      <c r="R9" s="624">
        <v>0</v>
      </c>
      <c r="S9" s="85"/>
      <c r="T9" s="624">
        <v>0</v>
      </c>
      <c r="U9" s="85"/>
      <c r="V9" s="624">
        <v>0</v>
      </c>
      <c r="W9" s="85"/>
      <c r="X9" s="624">
        <v>0</v>
      </c>
      <c r="Y9" s="85"/>
      <c r="Z9" s="624">
        <v>0</v>
      </c>
      <c r="AA9" s="85"/>
      <c r="AB9" s="624">
        <v>0</v>
      </c>
      <c r="AC9" s="85"/>
      <c r="AD9" s="624">
        <v>0</v>
      </c>
      <c r="AE9" s="85"/>
      <c r="AF9" s="624">
        <v>0</v>
      </c>
      <c r="AG9" s="85"/>
      <c r="AH9" s="624">
        <v>0</v>
      </c>
      <c r="AI9" s="85"/>
      <c r="AJ9" s="624">
        <v>0</v>
      </c>
      <c r="AK9" s="85"/>
      <c r="AL9" s="624">
        <v>0</v>
      </c>
      <c r="AM9" s="85"/>
      <c r="AN9" s="624">
        <v>0</v>
      </c>
      <c r="AO9" s="85"/>
      <c r="AP9" s="624">
        <v>0</v>
      </c>
      <c r="AQ9" s="85"/>
      <c r="AR9" s="624">
        <v>0</v>
      </c>
      <c r="AS9" s="81"/>
      <c r="AT9" s="53"/>
      <c r="AU9" s="334" t="str">
        <f>IF(OR(H9="",J9="",L9="",N9="",P9="",R9="",T9="",V9="",X9="",Z9="",AB9="",AD9="",AF9="",AH9="",AJ9="",AL9="",AN9="",AP9="",AR9=""),"Incomplete","Complete")</f>
        <v>Complete</v>
      </c>
      <c r="AV9" s="53"/>
    </row>
    <row r="10" spans="1:48" ht="15.75" x14ac:dyDescent="0.25">
      <c r="A10" s="53"/>
      <c r="B10" s="269" t="s">
        <v>521</v>
      </c>
      <c r="C10" s="154"/>
      <c r="D10" s="80"/>
      <c r="E10" s="154"/>
      <c r="F10" s="626">
        <f>SUM(H10:AR10)</f>
        <v>0</v>
      </c>
      <c r="G10" s="85"/>
      <c r="H10" s="624">
        <v>0</v>
      </c>
      <c r="I10" s="85"/>
      <c r="J10" s="624">
        <v>0</v>
      </c>
      <c r="K10" s="85"/>
      <c r="L10" s="624">
        <v>0</v>
      </c>
      <c r="M10" s="85"/>
      <c r="N10" s="624">
        <v>0</v>
      </c>
      <c r="O10" s="85"/>
      <c r="P10" s="624">
        <v>0</v>
      </c>
      <c r="Q10" s="85"/>
      <c r="R10" s="624">
        <v>0</v>
      </c>
      <c r="S10" s="85"/>
      <c r="T10" s="624">
        <v>0</v>
      </c>
      <c r="U10" s="85"/>
      <c r="V10" s="624">
        <v>0</v>
      </c>
      <c r="W10" s="85"/>
      <c r="X10" s="624">
        <v>0</v>
      </c>
      <c r="Y10" s="85"/>
      <c r="Z10" s="624">
        <v>0</v>
      </c>
      <c r="AA10" s="85"/>
      <c r="AB10" s="624">
        <v>0</v>
      </c>
      <c r="AC10" s="85"/>
      <c r="AD10" s="624">
        <v>0</v>
      </c>
      <c r="AE10" s="85"/>
      <c r="AF10" s="624">
        <v>0</v>
      </c>
      <c r="AG10" s="85"/>
      <c r="AH10" s="624">
        <v>0</v>
      </c>
      <c r="AI10" s="85"/>
      <c r="AJ10" s="624">
        <v>0</v>
      </c>
      <c r="AK10" s="85"/>
      <c r="AL10" s="624">
        <v>0</v>
      </c>
      <c r="AM10" s="85"/>
      <c r="AN10" s="624">
        <v>0</v>
      </c>
      <c r="AO10" s="85"/>
      <c r="AP10" s="624">
        <v>0</v>
      </c>
      <c r="AQ10" s="85"/>
      <c r="AR10" s="624">
        <v>0</v>
      </c>
      <c r="AS10" s="81"/>
      <c r="AT10" s="53"/>
      <c r="AU10" s="334" t="str">
        <f t="shared" ref="AU10:AU11" si="0">IF(OR(H10="",J10="",L10="",N10="",P10="",R10="",T10="",V10="",X10="",Z10="",AB10="",AD10="",AF10="",AH10="",AJ10="",AL10="",AN10="",AP10="",AR10=""),"Incomplete","Complete")</f>
        <v>Complete</v>
      </c>
      <c r="AV10" s="53"/>
    </row>
    <row r="11" spans="1:48" ht="15.75" x14ac:dyDescent="0.25">
      <c r="A11" s="53"/>
      <c r="B11" s="269" t="s">
        <v>522</v>
      </c>
      <c r="C11" s="154"/>
      <c r="D11" s="80"/>
      <c r="E11" s="154"/>
      <c r="F11" s="626">
        <f>SUM(H11:AR11)</f>
        <v>0</v>
      </c>
      <c r="G11" s="85"/>
      <c r="H11" s="624">
        <v>0</v>
      </c>
      <c r="I11" s="85"/>
      <c r="J11" s="624">
        <v>0</v>
      </c>
      <c r="K11" s="85"/>
      <c r="L11" s="624">
        <v>0</v>
      </c>
      <c r="M11" s="85"/>
      <c r="N11" s="624">
        <v>0</v>
      </c>
      <c r="O11" s="85"/>
      <c r="P11" s="624">
        <v>0</v>
      </c>
      <c r="Q11" s="85"/>
      <c r="R11" s="624">
        <v>0</v>
      </c>
      <c r="S11" s="85"/>
      <c r="T11" s="624">
        <v>0</v>
      </c>
      <c r="U11" s="85"/>
      <c r="V11" s="624">
        <v>0</v>
      </c>
      <c r="W11" s="85"/>
      <c r="X11" s="624">
        <v>0</v>
      </c>
      <c r="Y11" s="85"/>
      <c r="Z11" s="624">
        <v>0</v>
      </c>
      <c r="AA11" s="85"/>
      <c r="AB11" s="624">
        <v>0</v>
      </c>
      <c r="AC11" s="85"/>
      <c r="AD11" s="624">
        <v>0</v>
      </c>
      <c r="AE11" s="85"/>
      <c r="AF11" s="624">
        <v>0</v>
      </c>
      <c r="AG11" s="85"/>
      <c r="AH11" s="624">
        <v>0</v>
      </c>
      <c r="AI11" s="85"/>
      <c r="AJ11" s="624">
        <v>0</v>
      </c>
      <c r="AK11" s="85"/>
      <c r="AL11" s="624">
        <v>0</v>
      </c>
      <c r="AM11" s="85"/>
      <c r="AN11" s="624">
        <v>0</v>
      </c>
      <c r="AO11" s="85"/>
      <c r="AP11" s="624">
        <v>0</v>
      </c>
      <c r="AQ11" s="85"/>
      <c r="AR11" s="624">
        <v>0</v>
      </c>
      <c r="AS11" s="81"/>
      <c r="AT11" s="53"/>
      <c r="AU11" s="334" t="str">
        <f t="shared" si="0"/>
        <v>Complete</v>
      </c>
      <c r="AV11" s="53"/>
    </row>
    <row r="12" spans="1:48" ht="15.75" x14ac:dyDescent="0.25">
      <c r="A12" s="53"/>
      <c r="B12" s="269" t="s">
        <v>523</v>
      </c>
      <c r="C12" s="154"/>
      <c r="D12" s="80"/>
      <c r="E12" s="154"/>
      <c r="F12" s="626">
        <f>SUM(H12:AR12)</f>
        <v>0</v>
      </c>
      <c r="G12" s="85"/>
      <c r="H12" s="663">
        <v>0</v>
      </c>
      <c r="I12" s="85"/>
      <c r="J12" s="663">
        <v>0</v>
      </c>
      <c r="K12" s="85"/>
      <c r="L12" s="663">
        <v>0</v>
      </c>
      <c r="M12" s="85"/>
      <c r="N12" s="663">
        <v>0</v>
      </c>
      <c r="O12" s="85"/>
      <c r="P12" s="663">
        <v>0</v>
      </c>
      <c r="Q12" s="85"/>
      <c r="R12" s="663">
        <v>0</v>
      </c>
      <c r="S12" s="85"/>
      <c r="T12" s="663">
        <v>0</v>
      </c>
      <c r="U12" s="85"/>
      <c r="V12" s="663">
        <v>0</v>
      </c>
      <c r="W12" s="85"/>
      <c r="X12" s="663">
        <v>0</v>
      </c>
      <c r="Y12" s="85"/>
      <c r="Z12" s="663">
        <v>0</v>
      </c>
      <c r="AA12" s="85"/>
      <c r="AB12" s="663">
        <v>0</v>
      </c>
      <c r="AC12" s="85"/>
      <c r="AD12" s="663">
        <v>0</v>
      </c>
      <c r="AE12" s="85"/>
      <c r="AF12" s="663">
        <v>0</v>
      </c>
      <c r="AG12" s="85"/>
      <c r="AH12" s="663">
        <v>0</v>
      </c>
      <c r="AI12" s="85"/>
      <c r="AJ12" s="663">
        <v>0</v>
      </c>
      <c r="AK12" s="85"/>
      <c r="AL12" s="663">
        <v>0</v>
      </c>
      <c r="AM12" s="85"/>
      <c r="AN12" s="663">
        <v>0</v>
      </c>
      <c r="AO12" s="85"/>
      <c r="AP12" s="663">
        <v>0</v>
      </c>
      <c r="AQ12" s="85"/>
      <c r="AR12" s="663">
        <v>0</v>
      </c>
      <c r="AS12" s="81"/>
      <c r="AT12" s="53"/>
      <c r="AU12" s="66"/>
      <c r="AV12" s="53"/>
    </row>
    <row r="13" spans="1:48" ht="6" customHeight="1" x14ac:dyDescent="0.25">
      <c r="A13" s="53"/>
      <c r="B13" s="106"/>
      <c r="C13" s="80"/>
      <c r="D13" s="80"/>
      <c r="E13" s="80"/>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1"/>
      <c r="AT13" s="53"/>
      <c r="AU13" s="53"/>
      <c r="AV13" s="53"/>
    </row>
    <row r="14" spans="1:48" ht="15.75" x14ac:dyDescent="0.25">
      <c r="A14" s="53"/>
      <c r="B14" s="107" t="s">
        <v>524</v>
      </c>
      <c r="C14" s="654"/>
      <c r="D14" s="644"/>
      <c r="E14" s="655"/>
      <c r="F14" s="657"/>
      <c r="G14" s="656"/>
      <c r="H14" s="657"/>
      <c r="I14" s="656"/>
      <c r="J14" s="657"/>
      <c r="K14" s="656"/>
      <c r="L14" s="657"/>
      <c r="M14" s="656"/>
      <c r="N14" s="657"/>
      <c r="O14" s="656"/>
      <c r="P14" s="657"/>
      <c r="Q14" s="656"/>
      <c r="R14" s="657"/>
      <c r="S14" s="656"/>
      <c r="T14" s="657"/>
      <c r="U14" s="656"/>
      <c r="V14" s="657"/>
      <c r="W14" s="656"/>
      <c r="X14" s="657"/>
      <c r="Y14" s="656"/>
      <c r="Z14" s="657"/>
      <c r="AA14" s="656"/>
      <c r="AB14" s="657"/>
      <c r="AC14" s="656"/>
      <c r="AD14" s="657"/>
      <c r="AE14" s="656"/>
      <c r="AF14" s="657"/>
      <c r="AG14" s="656"/>
      <c r="AH14" s="657"/>
      <c r="AI14" s="656"/>
      <c r="AJ14" s="657"/>
      <c r="AK14" s="656"/>
      <c r="AL14" s="657"/>
      <c r="AM14" s="656"/>
      <c r="AN14" s="657"/>
      <c r="AO14" s="656"/>
      <c r="AP14" s="657"/>
      <c r="AQ14" s="656"/>
      <c r="AR14" s="657"/>
      <c r="AS14" s="658"/>
      <c r="AT14" s="53"/>
      <c r="AU14" s="66"/>
      <c r="AV14" s="53"/>
    </row>
    <row r="15" spans="1:48" ht="6" customHeight="1" x14ac:dyDescent="0.25">
      <c r="A15" s="53"/>
      <c r="B15" s="106"/>
      <c r="C15" s="80"/>
      <c r="D15" s="80"/>
      <c r="E15" s="80"/>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1"/>
      <c r="AT15" s="53"/>
      <c r="AU15" s="53"/>
      <c r="AV15" s="53"/>
    </row>
    <row r="16" spans="1:48" ht="15.75" x14ac:dyDescent="0.25">
      <c r="A16" s="53"/>
      <c r="B16" s="269" t="s">
        <v>520</v>
      </c>
      <c r="C16" s="154"/>
      <c r="D16" s="80"/>
      <c r="E16" s="154"/>
      <c r="F16" s="626">
        <f>SUM(H16:AR16)</f>
        <v>0</v>
      </c>
      <c r="G16" s="85"/>
      <c r="H16" s="624">
        <v>0</v>
      </c>
      <c r="I16" s="85"/>
      <c r="J16" s="624">
        <v>0</v>
      </c>
      <c r="K16" s="85"/>
      <c r="L16" s="624">
        <v>0</v>
      </c>
      <c r="M16" s="85"/>
      <c r="N16" s="624">
        <v>0</v>
      </c>
      <c r="O16" s="85"/>
      <c r="P16" s="624">
        <v>0</v>
      </c>
      <c r="Q16" s="85"/>
      <c r="R16" s="624">
        <v>0</v>
      </c>
      <c r="S16" s="85"/>
      <c r="T16" s="624">
        <v>0</v>
      </c>
      <c r="U16" s="85"/>
      <c r="V16" s="624">
        <v>0</v>
      </c>
      <c r="W16" s="85"/>
      <c r="X16" s="624">
        <v>0</v>
      </c>
      <c r="Y16" s="85"/>
      <c r="Z16" s="624">
        <v>0</v>
      </c>
      <c r="AA16" s="85"/>
      <c r="AB16" s="624">
        <v>0</v>
      </c>
      <c r="AC16" s="85"/>
      <c r="AD16" s="624">
        <v>0</v>
      </c>
      <c r="AE16" s="85"/>
      <c r="AF16" s="624">
        <v>0</v>
      </c>
      <c r="AG16" s="85"/>
      <c r="AH16" s="624">
        <v>0</v>
      </c>
      <c r="AI16" s="85"/>
      <c r="AJ16" s="624">
        <v>0</v>
      </c>
      <c r="AK16" s="85"/>
      <c r="AL16" s="624">
        <v>0</v>
      </c>
      <c r="AM16" s="85"/>
      <c r="AN16" s="624">
        <v>0</v>
      </c>
      <c r="AO16" s="85"/>
      <c r="AP16" s="624">
        <v>0</v>
      </c>
      <c r="AQ16" s="85"/>
      <c r="AR16" s="624">
        <v>0</v>
      </c>
      <c r="AS16" s="81"/>
      <c r="AT16" s="53"/>
      <c r="AU16" s="334" t="str">
        <f t="shared" ref="AU16:AU18" si="1">IF(OR(H16="",J16="",L16="",N16="",P16="",R16="",T16="",V16="",X16="",Z16="",AB16="",AD16="",AF16="",AH16="",AJ16="",AL16="",AN16="",AP16="",AR16=""),"Incomplete","Complete")</f>
        <v>Complete</v>
      </c>
      <c r="AV16" s="53"/>
    </row>
    <row r="17" spans="1:48" ht="15.75" x14ac:dyDescent="0.25">
      <c r="A17" s="53"/>
      <c r="B17" s="269" t="s">
        <v>521</v>
      </c>
      <c r="C17" s="154"/>
      <c r="D17" s="80"/>
      <c r="E17" s="154"/>
      <c r="F17" s="626">
        <f>SUM(H17:AR17)</f>
        <v>0</v>
      </c>
      <c r="G17" s="85"/>
      <c r="H17" s="624">
        <v>0</v>
      </c>
      <c r="I17" s="85"/>
      <c r="J17" s="624">
        <v>0</v>
      </c>
      <c r="K17" s="85"/>
      <c r="L17" s="624">
        <v>0</v>
      </c>
      <c r="M17" s="85"/>
      <c r="N17" s="624">
        <v>0</v>
      </c>
      <c r="O17" s="85"/>
      <c r="P17" s="624">
        <v>0</v>
      </c>
      <c r="Q17" s="85"/>
      <c r="R17" s="624">
        <v>0</v>
      </c>
      <c r="S17" s="85"/>
      <c r="T17" s="624">
        <v>0</v>
      </c>
      <c r="U17" s="85"/>
      <c r="V17" s="624">
        <v>0</v>
      </c>
      <c r="W17" s="85"/>
      <c r="X17" s="624">
        <v>0</v>
      </c>
      <c r="Y17" s="85"/>
      <c r="Z17" s="624">
        <v>0</v>
      </c>
      <c r="AA17" s="85"/>
      <c r="AB17" s="624">
        <v>0</v>
      </c>
      <c r="AC17" s="85"/>
      <c r="AD17" s="624">
        <v>0</v>
      </c>
      <c r="AE17" s="85"/>
      <c r="AF17" s="624">
        <v>0</v>
      </c>
      <c r="AG17" s="85"/>
      <c r="AH17" s="624">
        <v>0</v>
      </c>
      <c r="AI17" s="85"/>
      <c r="AJ17" s="624">
        <v>0</v>
      </c>
      <c r="AK17" s="85"/>
      <c r="AL17" s="624">
        <v>0</v>
      </c>
      <c r="AM17" s="85"/>
      <c r="AN17" s="624">
        <v>0</v>
      </c>
      <c r="AO17" s="85"/>
      <c r="AP17" s="624">
        <v>0</v>
      </c>
      <c r="AQ17" s="85"/>
      <c r="AR17" s="624">
        <v>0</v>
      </c>
      <c r="AS17" s="81"/>
      <c r="AT17" s="53"/>
      <c r="AU17" s="334" t="str">
        <f t="shared" si="1"/>
        <v>Complete</v>
      </c>
      <c r="AV17" s="53"/>
    </row>
    <row r="18" spans="1:48" ht="15.75" x14ac:dyDescent="0.25">
      <c r="A18" s="53"/>
      <c r="B18" s="269" t="s">
        <v>522</v>
      </c>
      <c r="C18" s="154"/>
      <c r="D18" s="80"/>
      <c r="E18" s="154"/>
      <c r="F18" s="626">
        <f>SUM(H18:AR18)</f>
        <v>0</v>
      </c>
      <c r="G18" s="85"/>
      <c r="H18" s="624">
        <v>0</v>
      </c>
      <c r="I18" s="85"/>
      <c r="J18" s="624">
        <v>0</v>
      </c>
      <c r="K18" s="85"/>
      <c r="L18" s="624">
        <v>0</v>
      </c>
      <c r="M18" s="85"/>
      <c r="N18" s="624">
        <v>0</v>
      </c>
      <c r="O18" s="85"/>
      <c r="P18" s="624">
        <v>0</v>
      </c>
      <c r="Q18" s="85"/>
      <c r="R18" s="624">
        <v>0</v>
      </c>
      <c r="S18" s="85"/>
      <c r="T18" s="624">
        <v>0</v>
      </c>
      <c r="U18" s="85"/>
      <c r="V18" s="624">
        <v>0</v>
      </c>
      <c r="W18" s="85"/>
      <c r="X18" s="624">
        <v>0</v>
      </c>
      <c r="Y18" s="85"/>
      <c r="Z18" s="624">
        <v>0</v>
      </c>
      <c r="AA18" s="85"/>
      <c r="AB18" s="624">
        <v>0</v>
      </c>
      <c r="AC18" s="85"/>
      <c r="AD18" s="624">
        <v>0</v>
      </c>
      <c r="AE18" s="85"/>
      <c r="AF18" s="624">
        <v>0</v>
      </c>
      <c r="AG18" s="85"/>
      <c r="AH18" s="624">
        <v>0</v>
      </c>
      <c r="AI18" s="85"/>
      <c r="AJ18" s="624">
        <v>0</v>
      </c>
      <c r="AK18" s="85"/>
      <c r="AL18" s="624">
        <v>0</v>
      </c>
      <c r="AM18" s="85"/>
      <c r="AN18" s="624">
        <v>0</v>
      </c>
      <c r="AO18" s="85"/>
      <c r="AP18" s="624">
        <v>0</v>
      </c>
      <c r="AQ18" s="85"/>
      <c r="AR18" s="624">
        <v>0</v>
      </c>
      <c r="AS18" s="81"/>
      <c r="AT18" s="53"/>
      <c r="AU18" s="334" t="str">
        <f t="shared" si="1"/>
        <v>Complete</v>
      </c>
      <c r="AV18" s="53"/>
    </row>
    <row r="19" spans="1:48" ht="15.75" x14ac:dyDescent="0.25">
      <c r="A19" s="53"/>
      <c r="B19" s="269" t="s">
        <v>523</v>
      </c>
      <c r="C19" s="154"/>
      <c r="D19" s="80"/>
      <c r="E19" s="154"/>
      <c r="F19" s="626">
        <f>SUM(H19:AR19)</f>
        <v>0</v>
      </c>
      <c r="G19" s="85"/>
      <c r="H19" s="663">
        <v>0</v>
      </c>
      <c r="I19" s="85"/>
      <c r="J19" s="663">
        <v>0</v>
      </c>
      <c r="K19" s="85"/>
      <c r="L19" s="663">
        <v>0</v>
      </c>
      <c r="M19" s="85"/>
      <c r="N19" s="663">
        <v>0</v>
      </c>
      <c r="O19" s="85"/>
      <c r="P19" s="663">
        <v>0</v>
      </c>
      <c r="Q19" s="85"/>
      <c r="R19" s="663">
        <v>0</v>
      </c>
      <c r="S19" s="85"/>
      <c r="T19" s="663">
        <v>0</v>
      </c>
      <c r="U19" s="85"/>
      <c r="V19" s="663">
        <v>0</v>
      </c>
      <c r="W19" s="85"/>
      <c r="X19" s="663">
        <v>0</v>
      </c>
      <c r="Y19" s="85"/>
      <c r="Z19" s="663">
        <v>0</v>
      </c>
      <c r="AA19" s="85"/>
      <c r="AB19" s="663">
        <v>0</v>
      </c>
      <c r="AC19" s="85"/>
      <c r="AD19" s="663">
        <v>0</v>
      </c>
      <c r="AE19" s="85"/>
      <c r="AF19" s="663">
        <v>0</v>
      </c>
      <c r="AG19" s="85"/>
      <c r="AH19" s="663">
        <v>0</v>
      </c>
      <c r="AI19" s="85"/>
      <c r="AJ19" s="663">
        <v>0</v>
      </c>
      <c r="AK19" s="85"/>
      <c r="AL19" s="663">
        <v>0</v>
      </c>
      <c r="AM19" s="85"/>
      <c r="AN19" s="663">
        <v>0</v>
      </c>
      <c r="AO19" s="85"/>
      <c r="AP19" s="663">
        <v>0</v>
      </c>
      <c r="AQ19" s="85"/>
      <c r="AR19" s="663">
        <v>0</v>
      </c>
      <c r="AS19" s="81"/>
      <c r="AT19" s="53"/>
      <c r="AU19" s="66"/>
      <c r="AV19" s="53"/>
    </row>
    <row r="20" spans="1:48" ht="6" customHeight="1" x14ac:dyDescent="0.25">
      <c r="A20" s="53"/>
      <c r="B20" s="106"/>
      <c r="C20" s="80"/>
      <c r="D20" s="80"/>
      <c r="E20" s="80"/>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1"/>
      <c r="AT20" s="53"/>
      <c r="AU20" s="53"/>
      <c r="AV20" s="53"/>
    </row>
    <row r="21" spans="1:48" ht="15.75" x14ac:dyDescent="0.25">
      <c r="A21" s="53"/>
      <c r="B21" s="866" t="s">
        <v>54</v>
      </c>
      <c r="C21" s="867"/>
      <c r="D21" s="867"/>
      <c r="E21" s="867"/>
      <c r="F21" s="867"/>
      <c r="G21" s="656"/>
      <c r="H21" s="644" t="s">
        <v>467</v>
      </c>
      <c r="I21" s="644"/>
      <c r="J21" s="644" t="s">
        <v>468</v>
      </c>
      <c r="K21" s="644"/>
      <c r="L21" s="644" t="s">
        <v>469</v>
      </c>
      <c r="M21" s="644"/>
      <c r="N21" s="644" t="s">
        <v>470</v>
      </c>
      <c r="O21" s="644"/>
      <c r="P21" s="644" t="s">
        <v>471</v>
      </c>
      <c r="Q21" s="644"/>
      <c r="R21" s="644" t="s">
        <v>472</v>
      </c>
      <c r="S21" s="644"/>
      <c r="T21" s="644" t="s">
        <v>473</v>
      </c>
      <c r="U21" s="644"/>
      <c r="V21" s="644" t="s">
        <v>474</v>
      </c>
      <c r="W21" s="644"/>
      <c r="X21" s="644" t="s">
        <v>475</v>
      </c>
      <c r="Y21" s="644"/>
      <c r="Z21" s="644" t="s">
        <v>476</v>
      </c>
      <c r="AA21" s="644"/>
      <c r="AB21" s="644" t="s">
        <v>477</v>
      </c>
      <c r="AC21" s="644"/>
      <c r="AD21" s="644" t="s">
        <v>478</v>
      </c>
      <c r="AE21" s="644"/>
      <c r="AF21" s="644" t="s">
        <v>479</v>
      </c>
      <c r="AG21" s="644"/>
      <c r="AH21" s="644" t="s">
        <v>480</v>
      </c>
      <c r="AI21" s="644"/>
      <c r="AJ21" s="644" t="s">
        <v>481</v>
      </c>
      <c r="AK21" s="644"/>
      <c r="AL21" s="644" t="s">
        <v>482</v>
      </c>
      <c r="AM21" s="644"/>
      <c r="AN21" s="644" t="s">
        <v>483</v>
      </c>
      <c r="AO21" s="644"/>
      <c r="AP21" s="644" t="s">
        <v>484</v>
      </c>
      <c r="AQ21" s="644"/>
      <c r="AR21" s="644" t="s">
        <v>485</v>
      </c>
      <c r="AS21" s="646"/>
      <c r="AT21" s="53"/>
      <c r="AU21" s="66"/>
      <c r="AV21" s="53"/>
    </row>
    <row r="22" spans="1:48" ht="6" customHeight="1" x14ac:dyDescent="0.25">
      <c r="A22" s="53"/>
      <c r="B22" s="106"/>
      <c r="C22" s="80"/>
      <c r="D22" s="80"/>
      <c r="E22" s="80"/>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1"/>
      <c r="AT22" s="53"/>
      <c r="AU22" s="53"/>
      <c r="AV22" s="53"/>
    </row>
    <row r="23" spans="1:48" ht="15.75" customHeight="1" x14ac:dyDescent="0.25">
      <c r="A23" s="53"/>
      <c r="B23" s="269" t="s">
        <v>520</v>
      </c>
      <c r="C23" s="80"/>
      <c r="D23" s="659">
        <f>IF(OR(F9+F16=0,SUM(H23:AR23)=0),1,SUM(H23:AR23)/((F9+F16)^2))</f>
        <v>1</v>
      </c>
      <c r="E23" s="80"/>
      <c r="F23" s="85"/>
      <c r="G23" s="85"/>
      <c r="H23" s="626">
        <f>(H9+H16)^2</f>
        <v>0</v>
      </c>
      <c r="I23" s="85"/>
      <c r="J23" s="626">
        <f>(J9+J16)^2</f>
        <v>0</v>
      </c>
      <c r="K23" s="85"/>
      <c r="L23" s="626">
        <f>(L9+L16)^2</f>
        <v>0</v>
      </c>
      <c r="M23" s="85"/>
      <c r="N23" s="626">
        <f>(N9+N16)^2</f>
        <v>0</v>
      </c>
      <c r="O23" s="85"/>
      <c r="P23" s="626">
        <f>(P9+P16)^2</f>
        <v>0</v>
      </c>
      <c r="Q23" s="85"/>
      <c r="R23" s="626">
        <f>(R9+R16)^2</f>
        <v>0</v>
      </c>
      <c r="S23" s="85"/>
      <c r="T23" s="626">
        <f>(T9+T16)^2</f>
        <v>0</v>
      </c>
      <c r="U23" s="85"/>
      <c r="V23" s="626">
        <f>(V9+V16)^2</f>
        <v>0</v>
      </c>
      <c r="W23" s="85"/>
      <c r="X23" s="626">
        <f>(X9+X16)^2</f>
        <v>0</v>
      </c>
      <c r="Y23" s="85"/>
      <c r="Z23" s="626">
        <f>(Z9+Z16)^2</f>
        <v>0</v>
      </c>
      <c r="AA23" s="85"/>
      <c r="AB23" s="626">
        <f>(AB9+AB16)^2</f>
        <v>0</v>
      </c>
      <c r="AC23" s="85"/>
      <c r="AD23" s="626">
        <f>(AD9+AD16)^2</f>
        <v>0</v>
      </c>
      <c r="AE23" s="85"/>
      <c r="AF23" s="626">
        <f>(AF9+AF16)^2</f>
        <v>0</v>
      </c>
      <c r="AG23" s="85"/>
      <c r="AH23" s="626">
        <f>(AH9+AH16)^2</f>
        <v>0</v>
      </c>
      <c r="AI23" s="85"/>
      <c r="AJ23" s="626">
        <f>(AJ9+AJ16)^2</f>
        <v>0</v>
      </c>
      <c r="AK23" s="85"/>
      <c r="AL23" s="626">
        <f>(AL9+AL16)^2</f>
        <v>0</v>
      </c>
      <c r="AM23" s="85"/>
      <c r="AN23" s="626">
        <f>(AN9+AN16)^2</f>
        <v>0</v>
      </c>
      <c r="AO23" s="85"/>
      <c r="AP23" s="626">
        <f>(AP9+AP16)^2</f>
        <v>0</v>
      </c>
      <c r="AQ23" s="85"/>
      <c r="AR23" s="626">
        <f>(AR9+AR16)^2</f>
        <v>0</v>
      </c>
      <c r="AS23" s="81"/>
      <c r="AT23" s="53"/>
      <c r="AU23" s="66"/>
      <c r="AV23" s="53"/>
    </row>
    <row r="24" spans="1:48" ht="15.75" customHeight="1" x14ac:dyDescent="0.25">
      <c r="A24" s="53"/>
      <c r="B24" s="269" t="s">
        <v>521</v>
      </c>
      <c r="C24" s="80"/>
      <c r="D24" s="659">
        <f>IF(OR(F10+F17=0,SUM(H24:AR24)=0),1,SUM(H24:AR24)/((F10+F17)^2))</f>
        <v>1</v>
      </c>
      <c r="E24" s="80"/>
      <c r="F24" s="85"/>
      <c r="G24" s="85"/>
      <c r="H24" s="626">
        <f>(H10+H17)^2</f>
        <v>0</v>
      </c>
      <c r="I24" s="85"/>
      <c r="J24" s="626">
        <f>(J10+J17)^2</f>
        <v>0</v>
      </c>
      <c r="K24" s="85"/>
      <c r="L24" s="626">
        <f>(L10+L17)^2</f>
        <v>0</v>
      </c>
      <c r="M24" s="85"/>
      <c r="N24" s="626">
        <f>(N10+N17)^2</f>
        <v>0</v>
      </c>
      <c r="O24" s="85"/>
      <c r="P24" s="626">
        <f>(P10+P17)^2</f>
        <v>0</v>
      </c>
      <c r="Q24" s="85"/>
      <c r="R24" s="626">
        <f>(R10+R17)^2</f>
        <v>0</v>
      </c>
      <c r="S24" s="85"/>
      <c r="T24" s="626">
        <f>(T10+T17)^2</f>
        <v>0</v>
      </c>
      <c r="U24" s="85"/>
      <c r="V24" s="626">
        <f>(V10+V17)^2</f>
        <v>0</v>
      </c>
      <c r="W24" s="85"/>
      <c r="X24" s="626">
        <f>(X10+X17)^2</f>
        <v>0</v>
      </c>
      <c r="Y24" s="85"/>
      <c r="Z24" s="626">
        <f>(Z10+Z17)^2</f>
        <v>0</v>
      </c>
      <c r="AA24" s="85"/>
      <c r="AB24" s="626">
        <f>(AB10+AB17)^2</f>
        <v>0</v>
      </c>
      <c r="AC24" s="85"/>
      <c r="AD24" s="626">
        <f>(AD10+AD17)^2</f>
        <v>0</v>
      </c>
      <c r="AE24" s="85"/>
      <c r="AF24" s="626">
        <f>(AF10+AF17)^2</f>
        <v>0</v>
      </c>
      <c r="AG24" s="85"/>
      <c r="AH24" s="626">
        <f>(AH10+AH17)^2</f>
        <v>0</v>
      </c>
      <c r="AI24" s="85"/>
      <c r="AJ24" s="626">
        <f>(AJ10+AJ17)^2</f>
        <v>0</v>
      </c>
      <c r="AK24" s="85"/>
      <c r="AL24" s="626">
        <f>(AL10+AL17)^2</f>
        <v>0</v>
      </c>
      <c r="AM24" s="85"/>
      <c r="AN24" s="626">
        <f>(AN10+AN17)^2</f>
        <v>0</v>
      </c>
      <c r="AO24" s="85"/>
      <c r="AP24" s="626">
        <f>(AP10+AP17)^2</f>
        <v>0</v>
      </c>
      <c r="AQ24" s="85"/>
      <c r="AR24" s="626">
        <f>(AR10+AR17)^2</f>
        <v>0</v>
      </c>
      <c r="AS24" s="81"/>
      <c r="AT24" s="53"/>
      <c r="AU24" s="66"/>
      <c r="AV24" s="53"/>
    </row>
    <row r="25" spans="1:48" ht="15.75" customHeight="1" x14ac:dyDescent="0.25">
      <c r="A25" s="53"/>
      <c r="B25" s="269" t="s">
        <v>522</v>
      </c>
      <c r="C25" s="80"/>
      <c r="D25" s="659">
        <f>IF(OR(F11+F18=0,SUM(H25:AR25)=0),1,SUM(H25:AR25)/((F11+F18)^2))</f>
        <v>1</v>
      </c>
      <c r="E25" s="80"/>
      <c r="F25" s="85"/>
      <c r="G25" s="85"/>
      <c r="H25" s="626">
        <f>(H11+H18)^2</f>
        <v>0</v>
      </c>
      <c r="I25" s="85"/>
      <c r="J25" s="626">
        <f>(J11+J18)^2</f>
        <v>0</v>
      </c>
      <c r="K25" s="85"/>
      <c r="L25" s="626">
        <f>(L11+L18)^2</f>
        <v>0</v>
      </c>
      <c r="M25" s="85"/>
      <c r="N25" s="626">
        <f>(N11+N18)^2</f>
        <v>0</v>
      </c>
      <c r="O25" s="85"/>
      <c r="P25" s="626">
        <f>(P11+P18)^2</f>
        <v>0</v>
      </c>
      <c r="Q25" s="85"/>
      <c r="R25" s="626">
        <f>(R11+R18)^2</f>
        <v>0</v>
      </c>
      <c r="S25" s="85"/>
      <c r="T25" s="626">
        <f>(T11+T18)^2</f>
        <v>0</v>
      </c>
      <c r="U25" s="85"/>
      <c r="V25" s="626">
        <f>(V11+V18)^2</f>
        <v>0</v>
      </c>
      <c r="W25" s="85"/>
      <c r="X25" s="626">
        <f>(X11+X18)^2</f>
        <v>0</v>
      </c>
      <c r="Y25" s="85"/>
      <c r="Z25" s="626">
        <f>(Z11+Z18)^2</f>
        <v>0</v>
      </c>
      <c r="AA25" s="85"/>
      <c r="AB25" s="626">
        <f>(AB11+AB18)^2</f>
        <v>0</v>
      </c>
      <c r="AC25" s="85"/>
      <c r="AD25" s="626">
        <f>(AD11+AD18)^2</f>
        <v>0</v>
      </c>
      <c r="AE25" s="85"/>
      <c r="AF25" s="626">
        <f>(AF11+AF18)^2</f>
        <v>0</v>
      </c>
      <c r="AG25" s="85"/>
      <c r="AH25" s="626">
        <f>(AH11+AH18)^2</f>
        <v>0</v>
      </c>
      <c r="AI25" s="85"/>
      <c r="AJ25" s="626">
        <f>(AJ11+AJ18)^2</f>
        <v>0</v>
      </c>
      <c r="AK25" s="85"/>
      <c r="AL25" s="626">
        <f>(AL11+AL18)^2</f>
        <v>0</v>
      </c>
      <c r="AM25" s="85"/>
      <c r="AN25" s="626">
        <f>(AN11+AN18)^2</f>
        <v>0</v>
      </c>
      <c r="AO25" s="85"/>
      <c r="AP25" s="626">
        <f>(AP11+AP18)^2</f>
        <v>0</v>
      </c>
      <c r="AQ25" s="85"/>
      <c r="AR25" s="626">
        <f>(AR11+AR18)^2</f>
        <v>0</v>
      </c>
      <c r="AS25" s="81"/>
      <c r="AT25" s="53"/>
      <c r="AU25" s="66"/>
      <c r="AV25" s="53"/>
    </row>
    <row r="26" spans="1:48" ht="15.75" customHeight="1" x14ac:dyDescent="0.25">
      <c r="A26" s="53"/>
      <c r="B26" s="269" t="s">
        <v>523</v>
      </c>
      <c r="C26" s="80"/>
      <c r="D26" s="659">
        <f>IF(OR(F12+F19=0,SUM(H26:AR26)=0),1,SUM(H26:AR26)/((F12+F19)^2))</f>
        <v>1</v>
      </c>
      <c r="E26" s="80"/>
      <c r="F26" s="85"/>
      <c r="G26" s="85"/>
      <c r="H26" s="626">
        <f>(H12+H19)^2</f>
        <v>0</v>
      </c>
      <c r="I26" s="85"/>
      <c r="J26" s="626">
        <f>(J12+J19)^2</f>
        <v>0</v>
      </c>
      <c r="K26" s="85"/>
      <c r="L26" s="626">
        <f>(L12+L19)^2</f>
        <v>0</v>
      </c>
      <c r="M26" s="85"/>
      <c r="N26" s="626">
        <f>(N12+N19)^2</f>
        <v>0</v>
      </c>
      <c r="O26" s="85"/>
      <c r="P26" s="626">
        <f>(P12+P19)^2</f>
        <v>0</v>
      </c>
      <c r="Q26" s="85"/>
      <c r="R26" s="626">
        <f>(R12+R19)^2</f>
        <v>0</v>
      </c>
      <c r="S26" s="85"/>
      <c r="T26" s="626">
        <f>(T12+T19)^2</f>
        <v>0</v>
      </c>
      <c r="U26" s="85"/>
      <c r="V26" s="626">
        <f>(V12+V19)^2</f>
        <v>0</v>
      </c>
      <c r="W26" s="85"/>
      <c r="X26" s="626">
        <f>(X12+X19)^2</f>
        <v>0</v>
      </c>
      <c r="Y26" s="85"/>
      <c r="Z26" s="626">
        <f>(Z12+Z19)^2</f>
        <v>0</v>
      </c>
      <c r="AA26" s="85"/>
      <c r="AB26" s="626">
        <f>(AB12+AB19)^2</f>
        <v>0</v>
      </c>
      <c r="AC26" s="85"/>
      <c r="AD26" s="626">
        <f>(AD12+AD19)^2</f>
        <v>0</v>
      </c>
      <c r="AE26" s="85"/>
      <c r="AF26" s="626">
        <f>(AF12+AF19)^2</f>
        <v>0</v>
      </c>
      <c r="AG26" s="85"/>
      <c r="AH26" s="626">
        <f>(AH12+AH19)^2</f>
        <v>0</v>
      </c>
      <c r="AI26" s="85"/>
      <c r="AJ26" s="626">
        <f>(AJ12+AJ19)^2</f>
        <v>0</v>
      </c>
      <c r="AK26" s="85"/>
      <c r="AL26" s="626">
        <f>(AL12+AL19)^2</f>
        <v>0</v>
      </c>
      <c r="AM26" s="85"/>
      <c r="AN26" s="626">
        <f>(AN12+AN19)^2</f>
        <v>0</v>
      </c>
      <c r="AO26" s="85"/>
      <c r="AP26" s="626">
        <f>(AP12+AP19)^2</f>
        <v>0</v>
      </c>
      <c r="AQ26" s="85"/>
      <c r="AR26" s="626">
        <f>(AR12+AR19)^2</f>
        <v>0</v>
      </c>
      <c r="AS26" s="81"/>
      <c r="AT26" s="53"/>
      <c r="AU26" s="66"/>
      <c r="AV26" s="53"/>
    </row>
    <row r="27" spans="1:48" ht="6" customHeight="1" thickBot="1" x14ac:dyDescent="0.3">
      <c r="A27" s="53"/>
      <c r="B27" s="110"/>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4"/>
      <c r="AT27" s="53"/>
      <c r="AU27" s="53"/>
      <c r="AV27" s="53"/>
    </row>
    <row r="28" spans="1:48" ht="6"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row>
  </sheetData>
  <sheetProtection algorithmName="SHA-512" hashValue="B/D45sZbJt5cWt4QospXQ/WcHzRwcQj7aMypfkPPJ3h0ufnwV8lftZP1Obcu2kE8oJAimM1yPj/w9bpdzXTwvw==" saltValue="/eKXA0GyALmXR7A1piFNSA==" spinCount="100000" sheet="1" objects="1" scenarios="1"/>
  <mergeCells count="1">
    <mergeCell ref="B21:F21"/>
  </mergeCells>
  <conditionalFormatting sqref="AU1 AU3 AU12:AU15">
    <cfRule type="cellIs" dxfId="545" priority="23" operator="equal">
      <formula>"ZERO"</formula>
    </cfRule>
  </conditionalFormatting>
  <conditionalFormatting sqref="AU1:AU3">
    <cfRule type="cellIs" dxfId="544" priority="21" operator="equal">
      <formula>"OK"</formula>
    </cfRule>
    <cfRule type="cellIs" dxfId="543" priority="22" operator="equal">
      <formula>"ERROR"</formula>
    </cfRule>
  </conditionalFormatting>
  <conditionalFormatting sqref="AU4">
    <cfRule type="cellIs" dxfId="542" priority="7" operator="equal">
      <formula>"Complete"</formula>
    </cfRule>
    <cfRule type="cellIs" dxfId="541" priority="8" operator="equal">
      <formula>"Incomplete"</formula>
    </cfRule>
  </conditionalFormatting>
  <conditionalFormatting sqref="AU5:AU8">
    <cfRule type="cellIs" dxfId="540" priority="9" operator="equal">
      <formula>"ZERO"</formula>
    </cfRule>
    <cfRule type="cellIs" dxfId="539" priority="10" operator="equal">
      <formula>"OK"</formula>
    </cfRule>
    <cfRule type="cellIs" dxfId="538" priority="11" operator="equal">
      <formula>"ERROR"</formula>
    </cfRule>
  </conditionalFormatting>
  <conditionalFormatting sqref="AU9:AU11">
    <cfRule type="cellIs" dxfId="537" priority="3" operator="equal">
      <formula>"Complete"</formula>
    </cfRule>
    <cfRule type="cellIs" dxfId="536" priority="4" operator="equal">
      <formula>"Incomplete"</formula>
    </cfRule>
  </conditionalFormatting>
  <conditionalFormatting sqref="AU12:AU15">
    <cfRule type="cellIs" dxfId="535" priority="24" operator="equal">
      <formula>"OK"</formula>
    </cfRule>
    <cfRule type="cellIs" dxfId="534" priority="25" operator="equal">
      <formula>"ERROR"</formula>
    </cfRule>
  </conditionalFormatting>
  <conditionalFormatting sqref="AU16:AU18">
    <cfRule type="cellIs" dxfId="533" priority="1" operator="equal">
      <formula>"Complete"</formula>
    </cfRule>
    <cfRule type="cellIs" dxfId="532" priority="2" operator="equal">
      <formula>"Incomplete"</formula>
    </cfRule>
  </conditionalFormatting>
  <conditionalFormatting sqref="AU19:AU28">
    <cfRule type="cellIs" dxfId="531" priority="15" operator="equal">
      <formula>"ZERO"</formula>
    </cfRule>
    <cfRule type="cellIs" dxfId="530" priority="16" operator="equal">
      <formula>"OK"</formula>
    </cfRule>
    <cfRule type="cellIs" dxfId="529" priority="17" operator="equal">
      <formula>"ERROR"</formula>
    </cfRule>
  </conditionalFormatting>
  <dataValidations count="22">
    <dataValidation allowBlank="1" showInputMessage="1" showErrorMessage="1" promptTitle="Region 18" prompt="Western USA" sqref="AP21 AP7" xr:uid="{00000000-0002-0000-1500-000000000000}"/>
    <dataValidation allowBlank="1" showInputMessage="1" showErrorMessage="1" promptTitle="Region 17" prompt="Mid-west USA" sqref="AN21:AO21 AN7:AO7" xr:uid="{00000000-0002-0000-1500-000001000000}"/>
    <dataValidation allowBlank="1" showInputMessage="1" showErrorMessage="1" promptTitle="Region 16" prompt="South-east USA" sqref="AL21 AL7" xr:uid="{00000000-0002-0000-1500-000002000000}"/>
    <dataValidation allowBlank="1" showInputMessage="1" showErrorMessage="1" promptTitle="Region 15" prompt="North-east USA" sqref="AJ21 AJ7" xr:uid="{00000000-0002-0000-1500-000003000000}"/>
    <dataValidation allowBlank="1" showInputMessage="1" showErrorMessage="1" promptTitle="Region 14" prompt="Northern, Southern and Western South America" sqref="AH21 AH7" xr:uid="{00000000-0002-0000-1500-000004000000}"/>
    <dataValidation allowBlank="1" showInputMessage="1" showErrorMessage="1" promptTitle="Region 13" prompt="Eastern South America" sqref="AF21 AF7" xr:uid="{00000000-0002-0000-1500-000005000000}"/>
    <dataValidation allowBlank="1" showInputMessage="1" showErrorMessage="1" promptTitle="Region 12" prompt="Caribbean and Central America" sqref="AD21 AD7" xr:uid="{00000000-0002-0000-1500-000006000000}"/>
    <dataValidation allowBlank="1" showInputMessage="1" showErrorMessage="1" promptTitle="Region 11" prompt="Northern America excluding USA" sqref="AB21 AB7" xr:uid="{00000000-0002-0000-1500-000007000000}"/>
    <dataValidation allowBlank="1" showInputMessage="1" showErrorMessage="1" promptTitle="Region 10" prompt="Southern Africa" sqref="Z21 Z7" xr:uid="{00000000-0002-0000-1500-000008000000}"/>
    <dataValidation allowBlank="1" showInputMessage="1" showErrorMessage="1" promptTitle="Region 9" prompt="Northern Africa" sqref="X21 X7" xr:uid="{00000000-0002-0000-1500-000009000000}"/>
    <dataValidation allowBlank="1" showInputMessage="1" showErrorMessage="1" promptTitle="Region 8" prompt="Oceania" sqref="V21 V7" xr:uid="{00000000-0002-0000-1500-00000A000000}"/>
    <dataValidation allowBlank="1" showInputMessage="1" showErrorMessage="1" promptTitle="Region 7" prompt="South and South-Eastern Asia" sqref="T21 T7" xr:uid="{00000000-0002-0000-1500-00000B000000}"/>
    <dataValidation allowBlank="1" showInputMessage="1" showErrorMessage="1" promptTitle="Region 6" prompt="Eastern Asia" sqref="R21 R7" xr:uid="{00000000-0002-0000-1500-00000C000000}"/>
    <dataValidation allowBlank="1" showInputMessage="1" showErrorMessage="1" promptTitle="Region 5" prompt="Central and Western Asia" sqref="P21 P7" xr:uid="{00000000-0002-0000-1500-00000D000000}"/>
    <dataValidation allowBlank="1" showInputMessage="1" showErrorMessage="1" promptTitle="Region 4" prompt="Southern Europe" sqref="N21 N7" xr:uid="{00000000-0002-0000-1500-00000E000000}"/>
    <dataValidation allowBlank="1" showInputMessage="1" showErrorMessage="1" promptTitle="Region 3" prompt="Eastern Europe" sqref="L21 L7" xr:uid="{00000000-0002-0000-1500-00000F000000}"/>
    <dataValidation allowBlank="1" showInputMessage="1" showErrorMessage="1" promptTitle="Region 2" prompt="Western Europe" sqref="J21 J7" xr:uid="{00000000-0002-0000-1500-000010000000}"/>
    <dataValidation allowBlank="1" showInputMessage="1" showErrorMessage="1" promptTitle="Region 1" prompt="Northern Europe" sqref="H21 H7" xr:uid="{00000000-0002-0000-1500-000011000000}"/>
    <dataValidation allowBlank="1" showInputMessage="1" showErrorMessage="1" promptTitle="Region 19" prompt="Unallocated Region_x000a__x000a_Not directly allocated to region 1 to 18. Please be careful not to include business in any region which does have business allocated to it." sqref="AR21 AR7" xr:uid="{00000000-0002-0000-1500-000012000000}"/>
    <dataValidation allowBlank="1" showInputMessage="1" showErrorMessage="1" prompt="Enter the premium volume measure for the relevant line of business, split by geographical zones 1-19.  The total premium in F9:F12 must equal the total in cells O8:O11 of the &quot;Health_Prem and Reserve Risk&quot; tab." sqref="B7" xr:uid="{00000000-0002-0000-1500-000013000000}"/>
    <dataValidation allowBlank="1" showInputMessage="1" showErrorMessage="1" prompt="Enter the reserve volume measure for the relevant lines of business, split by geographical zones 1-19.  The total reserve measure in cells F16:F19 must equal the total in cells Q8:Q11 of the &quot;Health_Prem and Reserve Risk&quot; tab." sqref="B14" xr:uid="{00000000-0002-0000-1500-000014000000}"/>
    <dataValidation allowBlank="1" showErrorMessage="1" promptTitle="Div(s)" prompt="This allows for the diversification between geographical regions ." sqref="B21" xr:uid="{00000000-0002-0000-1500-000015000000}"/>
  </dataValidations>
  <pageMargins left="0.7" right="0.7" top="0.75" bottom="0.75" header="0.3" footer="0.3"/>
  <pageSetup paperSize="9" scale="4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50"/>
    <pageSetUpPr fitToPage="1"/>
  </sheetPr>
  <dimension ref="A1:BX73"/>
  <sheetViews>
    <sheetView workbookViewId="0"/>
  </sheetViews>
  <sheetFormatPr defaultColWidth="0" defaultRowHeight="14.25" zeroHeight="1" x14ac:dyDescent="0.2"/>
  <cols>
    <col min="1" max="1" width="1.875" customWidth="1"/>
    <col min="2" max="2" width="18.125" customWidth="1"/>
    <col min="3" max="3" width="1.875" customWidth="1"/>
    <col min="4" max="4" width="4.625" customWidth="1"/>
    <col min="5" max="5" width="1.875" customWidth="1"/>
    <col min="6" max="6" width="32.125" customWidth="1"/>
    <col min="7" max="7" width="1.875" customWidth="1"/>
    <col min="8" max="8" width="31.375" bestFit="1" customWidth="1"/>
    <col min="9" max="9" width="1.875" customWidth="1"/>
    <col min="10" max="10" width="17.125" customWidth="1"/>
    <col min="11" max="11" width="1.875" customWidth="1"/>
    <col min="12" max="12" width="12.625" customWidth="1"/>
    <col min="13" max="13" width="1.875" customWidth="1"/>
    <col min="14" max="14" width="14.375" customWidth="1"/>
    <col min="15" max="16" width="1.875" customWidth="1"/>
    <col min="17" max="17" width="11.125" customWidth="1"/>
    <col min="18" max="19" width="1.875" customWidth="1"/>
    <col min="20" max="20" width="18.125" customWidth="1"/>
    <col min="21" max="21" width="1.875" customWidth="1"/>
    <col min="22" max="76" width="9" hidden="1"/>
  </cols>
  <sheetData>
    <row r="1" spans="1:21" ht="15.75" x14ac:dyDescent="0.25">
      <c r="A1" s="59">
        <v>1</v>
      </c>
      <c r="B1" s="59"/>
      <c r="C1" s="60"/>
      <c r="D1" s="60"/>
      <c r="E1" s="60"/>
      <c r="F1" s="60"/>
      <c r="G1" s="60"/>
      <c r="H1" s="60"/>
      <c r="I1" s="60"/>
      <c r="J1" s="60"/>
      <c r="K1" s="60"/>
      <c r="L1" s="60"/>
      <c r="M1" s="60"/>
      <c r="N1" s="60"/>
      <c r="O1" s="59"/>
      <c r="P1" s="59"/>
      <c r="Q1" s="59"/>
      <c r="R1" s="59"/>
      <c r="S1" s="59"/>
      <c r="T1" s="60"/>
      <c r="U1" s="59"/>
    </row>
    <row r="2" spans="1:21" ht="50.25" customHeight="1" x14ac:dyDescent="0.25">
      <c r="A2" s="60"/>
      <c r="B2" s="60"/>
      <c r="C2" s="60"/>
      <c r="D2" s="60"/>
      <c r="E2" s="60"/>
      <c r="F2" s="60"/>
      <c r="G2" s="60"/>
      <c r="H2" s="52" t="s">
        <v>62</v>
      </c>
      <c r="I2" s="60"/>
      <c r="J2" s="60"/>
      <c r="K2" s="60"/>
      <c r="L2" s="60"/>
      <c r="M2" s="60"/>
      <c r="N2" s="60"/>
      <c r="O2" s="60"/>
      <c r="P2" s="60"/>
      <c r="Q2" s="60"/>
      <c r="R2" s="60"/>
      <c r="S2" s="60"/>
      <c r="T2" s="61"/>
      <c r="U2" s="60"/>
    </row>
    <row r="3" spans="1:21" ht="47.25" customHeight="1" x14ac:dyDescent="0.25">
      <c r="A3" s="842" t="s">
        <v>525</v>
      </c>
      <c r="B3" s="842"/>
      <c r="C3" s="842"/>
      <c r="D3" s="842"/>
      <c r="E3" s="842"/>
      <c r="F3" s="842"/>
      <c r="G3" s="842"/>
      <c r="H3" s="842"/>
      <c r="I3" s="842"/>
      <c r="J3" s="842"/>
      <c r="K3" s="842"/>
      <c r="L3" s="842"/>
      <c r="M3" s="842"/>
      <c r="N3" s="842"/>
      <c r="O3" s="842"/>
      <c r="P3" s="842"/>
      <c r="Q3" s="842"/>
      <c r="R3" s="53"/>
      <c r="S3" s="53"/>
      <c r="T3" s="53"/>
      <c r="U3" s="53"/>
    </row>
    <row r="4" spans="1:21" ht="16.5" thickBot="1" x14ac:dyDescent="0.3">
      <c r="A4" s="53"/>
      <c r="B4" s="53"/>
      <c r="C4" s="53"/>
      <c r="D4" s="53"/>
      <c r="E4" s="53"/>
      <c r="F4" s="96" t="s">
        <v>501</v>
      </c>
      <c r="G4" s="53"/>
      <c r="H4" s="661" t="s">
        <v>361</v>
      </c>
      <c r="I4" s="53"/>
      <c r="J4" s="53"/>
      <c r="K4" s="53"/>
      <c r="L4" s="53"/>
      <c r="M4" s="53"/>
      <c r="N4" s="53"/>
      <c r="O4" s="53"/>
      <c r="P4" s="53"/>
      <c r="Q4" s="53"/>
      <c r="R4" s="53"/>
      <c r="S4" s="53"/>
      <c r="T4" s="334" t="str">
        <f>IF(H4="No","Complete",IF(COUNTIF(T10,"Incomplete")&gt;0,"Incomplete","Complete"))</f>
        <v>Complete</v>
      </c>
      <c r="U4" s="53"/>
    </row>
    <row r="5" spans="1:21" ht="42.75" customHeight="1" x14ac:dyDescent="0.25">
      <c r="A5" s="53"/>
      <c r="B5" s="145" t="s">
        <v>62</v>
      </c>
      <c r="C5" s="69"/>
      <c r="D5" s="69"/>
      <c r="E5" s="69"/>
      <c r="F5" s="69" t="s">
        <v>502</v>
      </c>
      <c r="G5" s="69"/>
      <c r="H5" s="69" t="s">
        <v>503</v>
      </c>
      <c r="I5" s="69"/>
      <c r="J5" s="69" t="s">
        <v>504</v>
      </c>
      <c r="K5" s="358"/>
      <c r="L5" s="69" t="s">
        <v>505</v>
      </c>
      <c r="M5" s="358"/>
      <c r="N5" s="69" t="s">
        <v>506</v>
      </c>
      <c r="O5" s="366"/>
      <c r="P5" s="366"/>
      <c r="Q5" s="69" t="s">
        <v>507</v>
      </c>
      <c r="R5" s="138"/>
      <c r="S5" s="53"/>
      <c r="T5" s="442"/>
      <c r="U5" s="53"/>
    </row>
    <row r="6" spans="1:21" ht="16.5" thickBot="1" x14ac:dyDescent="0.3">
      <c r="A6" s="53"/>
      <c r="B6" s="147"/>
      <c r="C6" s="148"/>
      <c r="D6" s="148"/>
      <c r="E6" s="148"/>
      <c r="F6" s="148"/>
      <c r="G6" s="148"/>
      <c r="H6" s="148"/>
      <c r="I6" s="148"/>
      <c r="J6" s="148" t="s">
        <v>164</v>
      </c>
      <c r="K6" s="148"/>
      <c r="L6" s="148" t="s">
        <v>508</v>
      </c>
      <c r="M6" s="364"/>
      <c r="N6" s="148" t="s">
        <v>508</v>
      </c>
      <c r="O6" s="199"/>
      <c r="P6" s="199"/>
      <c r="Q6" s="148" t="s">
        <v>164</v>
      </c>
      <c r="R6" s="77"/>
      <c r="S6" s="53"/>
      <c r="T6" s="442"/>
      <c r="U6" s="53"/>
    </row>
    <row r="7" spans="1:21" ht="6" customHeight="1" x14ac:dyDescent="0.25">
      <c r="A7" s="53"/>
      <c r="B7" s="106"/>
      <c r="C7" s="150"/>
      <c r="D7" s="80"/>
      <c r="E7" s="80"/>
      <c r="F7" s="80"/>
      <c r="G7" s="80"/>
      <c r="H7" s="80"/>
      <c r="I7" s="80"/>
      <c r="J7" s="80"/>
      <c r="K7" s="80"/>
      <c r="L7" s="80"/>
      <c r="M7" s="80"/>
      <c r="N7" s="80"/>
      <c r="O7" s="80"/>
      <c r="P7" s="150"/>
      <c r="Q7" s="80"/>
      <c r="R7" s="81"/>
      <c r="S7" s="53"/>
      <c r="T7" s="442"/>
      <c r="U7" s="53"/>
    </row>
    <row r="8" spans="1:21" ht="15.75" x14ac:dyDescent="0.25">
      <c r="A8" s="53"/>
      <c r="B8" s="121" t="s">
        <v>526</v>
      </c>
      <c r="C8" s="170"/>
      <c r="D8" s="122"/>
      <c r="E8" s="122"/>
      <c r="F8" s="122"/>
      <c r="G8" s="122"/>
      <c r="H8" s="122"/>
      <c r="I8" s="122"/>
      <c r="J8" s="123"/>
      <c r="K8" s="122"/>
      <c r="L8" s="123"/>
      <c r="M8" s="122"/>
      <c r="N8" s="123"/>
      <c r="O8" s="122"/>
      <c r="P8" s="170"/>
      <c r="Q8" s="123"/>
      <c r="R8" s="124"/>
      <c r="S8" s="53"/>
      <c r="T8" s="442"/>
      <c r="U8" s="53"/>
    </row>
    <row r="9" spans="1:21" ht="6" customHeight="1" x14ac:dyDescent="0.25">
      <c r="A9" s="53"/>
      <c r="B9" s="168"/>
      <c r="C9" s="152"/>
      <c r="D9" s="154"/>
      <c r="E9" s="154"/>
      <c r="F9" s="154"/>
      <c r="G9" s="154"/>
      <c r="H9" s="154"/>
      <c r="I9" s="154"/>
      <c r="J9" s="153"/>
      <c r="K9" s="154"/>
      <c r="L9" s="153"/>
      <c r="M9" s="154"/>
      <c r="N9" s="153"/>
      <c r="O9" s="154"/>
      <c r="P9" s="152"/>
      <c r="Q9" s="153"/>
      <c r="R9" s="157"/>
      <c r="S9" s="53"/>
      <c r="T9" s="442"/>
      <c r="U9" s="53"/>
    </row>
    <row r="10" spans="1:21" ht="15.75" x14ac:dyDescent="0.25">
      <c r="A10" s="53"/>
      <c r="B10" s="168"/>
      <c r="C10" s="152"/>
      <c r="D10" s="153">
        <v>1</v>
      </c>
      <c r="E10" s="154"/>
      <c r="F10" s="662"/>
      <c r="G10" s="155"/>
      <c r="H10" s="662"/>
      <c r="I10" s="155"/>
      <c r="J10" s="664">
        <v>0</v>
      </c>
      <c r="K10" s="155"/>
      <c r="L10" s="665">
        <v>0</v>
      </c>
      <c r="M10" s="273"/>
      <c r="N10" s="665">
        <v>0</v>
      </c>
      <c r="O10" s="154"/>
      <c r="P10" s="152"/>
      <c r="Q10" s="626">
        <f>MAX(20%*(1-L10-N10)*J10,0)</f>
        <v>0</v>
      </c>
      <c r="R10" s="157"/>
      <c r="S10" s="53"/>
      <c r="T10" s="334" t="str">
        <f>IF(H4="No","Complete",IF(OR(F10="",H10="",J10="",L10="",N10=""),"Incomplete","Complete"))</f>
        <v>Complete</v>
      </c>
      <c r="U10" s="53"/>
    </row>
    <row r="11" spans="1:21" ht="15.75" x14ac:dyDescent="0.25">
      <c r="A11" s="53"/>
      <c r="B11" s="168"/>
      <c r="C11" s="152"/>
      <c r="D11" s="153">
        <v>2</v>
      </c>
      <c r="E11" s="154"/>
      <c r="F11" s="662"/>
      <c r="G11" s="155"/>
      <c r="H11" s="662"/>
      <c r="I11" s="155"/>
      <c r="J11" s="664">
        <v>0</v>
      </c>
      <c r="K11" s="155"/>
      <c r="L11" s="665">
        <v>0</v>
      </c>
      <c r="M11" s="156"/>
      <c r="N11" s="665">
        <v>0</v>
      </c>
      <c r="O11" s="154"/>
      <c r="P11" s="152"/>
      <c r="Q11" s="626">
        <f t="shared" ref="Q11:Q69" si="0">MAX(20%*(1-L11-N11)*J11,0)</f>
        <v>0</v>
      </c>
      <c r="R11" s="157"/>
      <c r="S11" s="53"/>
      <c r="T11" s="342"/>
      <c r="U11" s="53"/>
    </row>
    <row r="12" spans="1:21" ht="15.75" x14ac:dyDescent="0.25">
      <c r="A12" s="53"/>
      <c r="B12" s="168"/>
      <c r="C12" s="152"/>
      <c r="D12" s="153">
        <v>3</v>
      </c>
      <c r="E12" s="154"/>
      <c r="F12" s="662"/>
      <c r="G12" s="155"/>
      <c r="H12" s="662"/>
      <c r="I12" s="155"/>
      <c r="J12" s="664">
        <v>0</v>
      </c>
      <c r="K12" s="155"/>
      <c r="L12" s="665">
        <v>0</v>
      </c>
      <c r="M12" s="156"/>
      <c r="N12" s="665">
        <v>0</v>
      </c>
      <c r="O12" s="154"/>
      <c r="P12" s="152"/>
      <c r="Q12" s="626">
        <f t="shared" si="0"/>
        <v>0</v>
      </c>
      <c r="R12" s="157"/>
      <c r="S12" s="53"/>
      <c r="T12" s="342"/>
      <c r="U12" s="53"/>
    </row>
    <row r="13" spans="1:21" ht="15.75" x14ac:dyDescent="0.25">
      <c r="A13" s="53"/>
      <c r="B13" s="168"/>
      <c r="C13" s="152"/>
      <c r="D13" s="153">
        <v>4</v>
      </c>
      <c r="E13" s="154"/>
      <c r="F13" s="662"/>
      <c r="G13" s="155"/>
      <c r="H13" s="662"/>
      <c r="I13" s="155"/>
      <c r="J13" s="664">
        <v>0</v>
      </c>
      <c r="K13" s="155"/>
      <c r="L13" s="665">
        <v>0</v>
      </c>
      <c r="M13" s="156"/>
      <c r="N13" s="665">
        <v>0</v>
      </c>
      <c r="O13" s="154"/>
      <c r="P13" s="152"/>
      <c r="Q13" s="626">
        <f t="shared" si="0"/>
        <v>0</v>
      </c>
      <c r="R13" s="157"/>
      <c r="S13" s="53"/>
      <c r="T13" s="342"/>
      <c r="U13" s="53"/>
    </row>
    <row r="14" spans="1:21" ht="15.75" x14ac:dyDescent="0.25">
      <c r="A14" s="53"/>
      <c r="B14" s="168"/>
      <c r="C14" s="152"/>
      <c r="D14" s="153">
        <v>5</v>
      </c>
      <c r="E14" s="154"/>
      <c r="F14" s="662"/>
      <c r="G14" s="155"/>
      <c r="H14" s="662"/>
      <c r="I14" s="155"/>
      <c r="J14" s="664">
        <v>0</v>
      </c>
      <c r="K14" s="155"/>
      <c r="L14" s="665">
        <v>0</v>
      </c>
      <c r="M14" s="156"/>
      <c r="N14" s="665">
        <v>0</v>
      </c>
      <c r="O14" s="154"/>
      <c r="P14" s="152"/>
      <c r="Q14" s="626">
        <f t="shared" si="0"/>
        <v>0</v>
      </c>
      <c r="R14" s="157"/>
      <c r="S14" s="53"/>
      <c r="T14" s="342"/>
      <c r="U14" s="53"/>
    </row>
    <row r="15" spans="1:21" ht="15.75" x14ac:dyDescent="0.25">
      <c r="A15" s="53"/>
      <c r="B15" s="168"/>
      <c r="C15" s="152"/>
      <c r="D15" s="153">
        <v>6</v>
      </c>
      <c r="E15" s="154"/>
      <c r="F15" s="662"/>
      <c r="G15" s="155"/>
      <c r="H15" s="662"/>
      <c r="I15" s="155"/>
      <c r="J15" s="664">
        <v>0</v>
      </c>
      <c r="K15" s="155"/>
      <c r="L15" s="665">
        <v>0</v>
      </c>
      <c r="M15" s="156"/>
      <c r="N15" s="665">
        <v>0</v>
      </c>
      <c r="O15" s="154"/>
      <c r="P15" s="152"/>
      <c r="Q15" s="626">
        <f t="shared" si="0"/>
        <v>0</v>
      </c>
      <c r="R15" s="157"/>
      <c r="S15" s="53"/>
      <c r="T15" s="342"/>
      <c r="U15" s="53"/>
    </row>
    <row r="16" spans="1:21" ht="15.75" x14ac:dyDescent="0.25">
      <c r="A16" s="53"/>
      <c r="B16" s="168"/>
      <c r="C16" s="152"/>
      <c r="D16" s="153">
        <v>7</v>
      </c>
      <c r="E16" s="154"/>
      <c r="F16" s="662"/>
      <c r="G16" s="155"/>
      <c r="H16" s="662"/>
      <c r="I16" s="155"/>
      <c r="J16" s="664">
        <v>0</v>
      </c>
      <c r="K16" s="155"/>
      <c r="L16" s="665">
        <v>0</v>
      </c>
      <c r="M16" s="156"/>
      <c r="N16" s="665">
        <v>0</v>
      </c>
      <c r="O16" s="154"/>
      <c r="P16" s="152"/>
      <c r="Q16" s="626">
        <f t="shared" si="0"/>
        <v>0</v>
      </c>
      <c r="R16" s="157"/>
      <c r="S16" s="53"/>
      <c r="T16" s="342"/>
      <c r="U16" s="53"/>
    </row>
    <row r="17" spans="1:21" ht="15.75" x14ac:dyDescent="0.25">
      <c r="A17" s="53"/>
      <c r="B17" s="168"/>
      <c r="C17" s="152"/>
      <c r="D17" s="153">
        <v>8</v>
      </c>
      <c r="E17" s="154"/>
      <c r="F17" s="662"/>
      <c r="G17" s="155"/>
      <c r="H17" s="662"/>
      <c r="I17" s="155"/>
      <c r="J17" s="664">
        <v>0</v>
      </c>
      <c r="K17" s="155"/>
      <c r="L17" s="665">
        <v>0</v>
      </c>
      <c r="M17" s="156"/>
      <c r="N17" s="665">
        <v>0</v>
      </c>
      <c r="O17" s="154"/>
      <c r="P17" s="152"/>
      <c r="Q17" s="626">
        <f t="shared" si="0"/>
        <v>0</v>
      </c>
      <c r="R17" s="157"/>
      <c r="S17" s="53"/>
      <c r="T17" s="342"/>
      <c r="U17" s="53"/>
    </row>
    <row r="18" spans="1:21" ht="15.75" x14ac:dyDescent="0.25">
      <c r="A18" s="53"/>
      <c r="B18" s="168"/>
      <c r="C18" s="152"/>
      <c r="D18" s="153">
        <v>9</v>
      </c>
      <c r="E18" s="154"/>
      <c r="F18" s="662"/>
      <c r="G18" s="155"/>
      <c r="H18" s="662"/>
      <c r="I18" s="155"/>
      <c r="J18" s="664">
        <v>0</v>
      </c>
      <c r="K18" s="155"/>
      <c r="L18" s="665">
        <v>0</v>
      </c>
      <c r="M18" s="156"/>
      <c r="N18" s="665">
        <v>0</v>
      </c>
      <c r="O18" s="154"/>
      <c r="P18" s="152"/>
      <c r="Q18" s="626">
        <f t="shared" si="0"/>
        <v>0</v>
      </c>
      <c r="R18" s="157"/>
      <c r="S18" s="53"/>
      <c r="T18" s="342"/>
      <c r="U18" s="53"/>
    </row>
    <row r="19" spans="1:21" ht="15.75" x14ac:dyDescent="0.25">
      <c r="A19" s="53"/>
      <c r="B19" s="168"/>
      <c r="C19" s="152"/>
      <c r="D19" s="153">
        <v>10</v>
      </c>
      <c r="E19" s="154"/>
      <c r="F19" s="662"/>
      <c r="G19" s="155"/>
      <c r="H19" s="662"/>
      <c r="I19" s="155"/>
      <c r="J19" s="664">
        <v>0</v>
      </c>
      <c r="K19" s="155"/>
      <c r="L19" s="665">
        <v>0</v>
      </c>
      <c r="M19" s="156"/>
      <c r="N19" s="665">
        <v>0</v>
      </c>
      <c r="O19" s="154"/>
      <c r="P19" s="152"/>
      <c r="Q19" s="626">
        <f t="shared" si="0"/>
        <v>0</v>
      </c>
      <c r="R19" s="157"/>
      <c r="S19" s="53"/>
      <c r="T19" s="342"/>
      <c r="U19" s="53"/>
    </row>
    <row r="20" spans="1:21" ht="15.75" x14ac:dyDescent="0.25">
      <c r="A20" s="53"/>
      <c r="B20" s="168"/>
      <c r="C20" s="152"/>
      <c r="D20" s="153">
        <v>11</v>
      </c>
      <c r="E20" s="154"/>
      <c r="F20" s="662"/>
      <c r="G20" s="155"/>
      <c r="H20" s="662"/>
      <c r="I20" s="155"/>
      <c r="J20" s="664">
        <v>0</v>
      </c>
      <c r="K20" s="155"/>
      <c r="L20" s="665">
        <v>0</v>
      </c>
      <c r="M20" s="156"/>
      <c r="N20" s="665">
        <v>0</v>
      </c>
      <c r="O20" s="154"/>
      <c r="P20" s="152"/>
      <c r="Q20" s="626">
        <f t="shared" si="0"/>
        <v>0</v>
      </c>
      <c r="R20" s="157"/>
      <c r="S20" s="53"/>
      <c r="T20" s="342"/>
      <c r="U20" s="53"/>
    </row>
    <row r="21" spans="1:21" ht="15.75" x14ac:dyDescent="0.25">
      <c r="A21" s="53"/>
      <c r="B21" s="168"/>
      <c r="C21" s="152"/>
      <c r="D21" s="153">
        <v>12</v>
      </c>
      <c r="E21" s="154"/>
      <c r="F21" s="662"/>
      <c r="G21" s="155"/>
      <c r="H21" s="662"/>
      <c r="I21" s="155"/>
      <c r="J21" s="664">
        <v>0</v>
      </c>
      <c r="K21" s="155"/>
      <c r="L21" s="665">
        <v>0</v>
      </c>
      <c r="M21" s="156"/>
      <c r="N21" s="665">
        <v>0</v>
      </c>
      <c r="O21" s="154"/>
      <c r="P21" s="152"/>
      <c r="Q21" s="626">
        <f t="shared" si="0"/>
        <v>0</v>
      </c>
      <c r="R21" s="157"/>
      <c r="S21" s="53"/>
      <c r="T21" s="342"/>
      <c r="U21" s="53"/>
    </row>
    <row r="22" spans="1:21" ht="15.75" x14ac:dyDescent="0.25">
      <c r="A22" s="53"/>
      <c r="B22" s="168"/>
      <c r="C22" s="152"/>
      <c r="D22" s="153">
        <v>13</v>
      </c>
      <c r="E22" s="154"/>
      <c r="F22" s="662"/>
      <c r="G22" s="155"/>
      <c r="H22" s="662"/>
      <c r="I22" s="155"/>
      <c r="J22" s="664">
        <v>0</v>
      </c>
      <c r="K22" s="155"/>
      <c r="L22" s="665">
        <v>0</v>
      </c>
      <c r="M22" s="156"/>
      <c r="N22" s="665">
        <v>0</v>
      </c>
      <c r="O22" s="154"/>
      <c r="P22" s="152"/>
      <c r="Q22" s="626">
        <f t="shared" si="0"/>
        <v>0</v>
      </c>
      <c r="R22" s="157"/>
      <c r="S22" s="53"/>
      <c r="T22" s="342"/>
      <c r="U22" s="53"/>
    </row>
    <row r="23" spans="1:21" ht="15.75" x14ac:dyDescent="0.25">
      <c r="A23" s="53"/>
      <c r="B23" s="168"/>
      <c r="C23" s="152"/>
      <c r="D23" s="153">
        <v>14</v>
      </c>
      <c r="E23" s="154"/>
      <c r="F23" s="662"/>
      <c r="G23" s="155"/>
      <c r="H23" s="662"/>
      <c r="I23" s="155"/>
      <c r="J23" s="664">
        <v>0</v>
      </c>
      <c r="K23" s="155"/>
      <c r="L23" s="665">
        <v>0</v>
      </c>
      <c r="M23" s="156"/>
      <c r="N23" s="665">
        <v>0</v>
      </c>
      <c r="O23" s="154"/>
      <c r="P23" s="152"/>
      <c r="Q23" s="626">
        <f t="shared" si="0"/>
        <v>0</v>
      </c>
      <c r="R23" s="157"/>
      <c r="S23" s="53"/>
      <c r="T23" s="342"/>
      <c r="U23" s="53"/>
    </row>
    <row r="24" spans="1:21" ht="15.75" x14ac:dyDescent="0.25">
      <c r="A24" s="53"/>
      <c r="B24" s="168"/>
      <c r="C24" s="152"/>
      <c r="D24" s="153">
        <v>15</v>
      </c>
      <c r="E24" s="154"/>
      <c r="F24" s="662"/>
      <c r="G24" s="155"/>
      <c r="H24" s="662"/>
      <c r="I24" s="155"/>
      <c r="J24" s="664">
        <v>0</v>
      </c>
      <c r="K24" s="155"/>
      <c r="L24" s="665">
        <v>0</v>
      </c>
      <c r="M24" s="156"/>
      <c r="N24" s="665">
        <v>0</v>
      </c>
      <c r="O24" s="154"/>
      <c r="P24" s="152"/>
      <c r="Q24" s="626">
        <f t="shared" si="0"/>
        <v>0</v>
      </c>
      <c r="R24" s="157"/>
      <c r="S24" s="53"/>
      <c r="T24" s="342"/>
      <c r="U24" s="53"/>
    </row>
    <row r="25" spans="1:21" ht="15.75" x14ac:dyDescent="0.25">
      <c r="A25" s="53"/>
      <c r="B25" s="168"/>
      <c r="C25" s="152"/>
      <c r="D25" s="153">
        <v>16</v>
      </c>
      <c r="E25" s="154"/>
      <c r="F25" s="662"/>
      <c r="G25" s="155"/>
      <c r="H25" s="662"/>
      <c r="I25" s="155"/>
      <c r="J25" s="664">
        <v>0</v>
      </c>
      <c r="K25" s="155"/>
      <c r="L25" s="665">
        <v>0</v>
      </c>
      <c r="M25" s="156"/>
      <c r="N25" s="665">
        <v>0</v>
      </c>
      <c r="O25" s="154"/>
      <c r="P25" s="152"/>
      <c r="Q25" s="626">
        <f t="shared" si="0"/>
        <v>0</v>
      </c>
      <c r="R25" s="157"/>
      <c r="S25" s="53"/>
      <c r="T25" s="342"/>
      <c r="U25" s="53"/>
    </row>
    <row r="26" spans="1:21" ht="15.75" x14ac:dyDescent="0.25">
      <c r="A26" s="53"/>
      <c r="B26" s="168"/>
      <c r="C26" s="152"/>
      <c r="D26" s="153">
        <v>17</v>
      </c>
      <c r="E26" s="154"/>
      <c r="F26" s="662"/>
      <c r="G26" s="155"/>
      <c r="H26" s="662"/>
      <c r="I26" s="155"/>
      <c r="J26" s="664">
        <v>0</v>
      </c>
      <c r="K26" s="155"/>
      <c r="L26" s="665">
        <v>0</v>
      </c>
      <c r="M26" s="156"/>
      <c r="N26" s="665">
        <v>0</v>
      </c>
      <c r="O26" s="154"/>
      <c r="P26" s="152"/>
      <c r="Q26" s="626">
        <f t="shared" si="0"/>
        <v>0</v>
      </c>
      <c r="R26" s="157"/>
      <c r="S26" s="53"/>
      <c r="T26" s="342"/>
      <c r="U26" s="53"/>
    </row>
    <row r="27" spans="1:21" ht="15.75" x14ac:dyDescent="0.25">
      <c r="A27" s="53"/>
      <c r="B27" s="168"/>
      <c r="C27" s="152"/>
      <c r="D27" s="153">
        <v>18</v>
      </c>
      <c r="E27" s="154"/>
      <c r="F27" s="662"/>
      <c r="G27" s="155"/>
      <c r="H27" s="662"/>
      <c r="I27" s="155"/>
      <c r="J27" s="664">
        <v>0</v>
      </c>
      <c r="K27" s="155"/>
      <c r="L27" s="665">
        <v>0</v>
      </c>
      <c r="M27" s="156"/>
      <c r="N27" s="665">
        <v>0</v>
      </c>
      <c r="O27" s="154"/>
      <c r="P27" s="152"/>
      <c r="Q27" s="626">
        <f t="shared" si="0"/>
        <v>0</v>
      </c>
      <c r="R27" s="157"/>
      <c r="S27" s="53"/>
      <c r="T27" s="342"/>
      <c r="U27" s="53"/>
    </row>
    <row r="28" spans="1:21" ht="15.75" x14ac:dyDescent="0.25">
      <c r="A28" s="53"/>
      <c r="B28" s="168"/>
      <c r="C28" s="152"/>
      <c r="D28" s="153">
        <v>19</v>
      </c>
      <c r="E28" s="154"/>
      <c r="F28" s="662"/>
      <c r="G28" s="155"/>
      <c r="H28" s="662"/>
      <c r="I28" s="155"/>
      <c r="J28" s="664">
        <v>0</v>
      </c>
      <c r="K28" s="155"/>
      <c r="L28" s="665">
        <v>0</v>
      </c>
      <c r="M28" s="156"/>
      <c r="N28" s="665">
        <v>0</v>
      </c>
      <c r="O28" s="154"/>
      <c r="P28" s="152"/>
      <c r="Q28" s="626">
        <f t="shared" si="0"/>
        <v>0</v>
      </c>
      <c r="R28" s="157"/>
      <c r="S28" s="53"/>
      <c r="T28" s="342"/>
      <c r="U28" s="53"/>
    </row>
    <row r="29" spans="1:21" ht="15.75" x14ac:dyDescent="0.25">
      <c r="A29" s="53"/>
      <c r="B29" s="168"/>
      <c r="C29" s="152"/>
      <c r="D29" s="153">
        <v>20</v>
      </c>
      <c r="E29" s="154"/>
      <c r="F29" s="662"/>
      <c r="G29" s="155"/>
      <c r="H29" s="662"/>
      <c r="I29" s="155"/>
      <c r="J29" s="664">
        <v>0</v>
      </c>
      <c r="K29" s="155"/>
      <c r="L29" s="665">
        <v>0</v>
      </c>
      <c r="M29" s="156"/>
      <c r="N29" s="665">
        <v>0</v>
      </c>
      <c r="O29" s="154"/>
      <c r="P29" s="152"/>
      <c r="Q29" s="626">
        <f t="shared" si="0"/>
        <v>0</v>
      </c>
      <c r="R29" s="157"/>
      <c r="S29" s="53"/>
      <c r="T29" s="342"/>
      <c r="U29" s="53"/>
    </row>
    <row r="30" spans="1:21" ht="15.75" x14ac:dyDescent="0.25">
      <c r="A30" s="53"/>
      <c r="B30" s="168"/>
      <c r="C30" s="152"/>
      <c r="D30" s="153">
        <v>21</v>
      </c>
      <c r="E30" s="154"/>
      <c r="F30" s="662"/>
      <c r="G30" s="155"/>
      <c r="H30" s="662"/>
      <c r="I30" s="155"/>
      <c r="J30" s="664">
        <v>0</v>
      </c>
      <c r="K30" s="155"/>
      <c r="L30" s="665">
        <v>0</v>
      </c>
      <c r="M30" s="156"/>
      <c r="N30" s="665">
        <v>0</v>
      </c>
      <c r="O30" s="154"/>
      <c r="P30" s="152"/>
      <c r="Q30" s="626">
        <f t="shared" si="0"/>
        <v>0</v>
      </c>
      <c r="R30" s="157"/>
      <c r="S30" s="53"/>
      <c r="T30" s="342"/>
      <c r="U30" s="53"/>
    </row>
    <row r="31" spans="1:21" ht="15.75" x14ac:dyDescent="0.25">
      <c r="A31" s="53"/>
      <c r="B31" s="168"/>
      <c r="C31" s="152"/>
      <c r="D31" s="153">
        <v>22</v>
      </c>
      <c r="E31" s="154"/>
      <c r="F31" s="662"/>
      <c r="G31" s="155"/>
      <c r="H31" s="662"/>
      <c r="I31" s="155"/>
      <c r="J31" s="664">
        <v>0</v>
      </c>
      <c r="K31" s="155"/>
      <c r="L31" s="665">
        <v>0</v>
      </c>
      <c r="M31" s="156"/>
      <c r="N31" s="665">
        <v>0</v>
      </c>
      <c r="O31" s="154"/>
      <c r="P31" s="152"/>
      <c r="Q31" s="626">
        <f t="shared" si="0"/>
        <v>0</v>
      </c>
      <c r="R31" s="157"/>
      <c r="S31" s="53"/>
      <c r="T31" s="342"/>
      <c r="U31" s="53"/>
    </row>
    <row r="32" spans="1:21" ht="15.75" x14ac:dyDescent="0.25">
      <c r="A32" s="53"/>
      <c r="B32" s="168"/>
      <c r="C32" s="152"/>
      <c r="D32" s="153">
        <v>23</v>
      </c>
      <c r="E32" s="154"/>
      <c r="F32" s="662"/>
      <c r="G32" s="155"/>
      <c r="H32" s="662"/>
      <c r="I32" s="155"/>
      <c r="J32" s="664">
        <v>0</v>
      </c>
      <c r="K32" s="155"/>
      <c r="L32" s="665">
        <v>0</v>
      </c>
      <c r="M32" s="156"/>
      <c r="N32" s="665">
        <v>0</v>
      </c>
      <c r="O32" s="154"/>
      <c r="P32" s="152"/>
      <c r="Q32" s="626">
        <f t="shared" si="0"/>
        <v>0</v>
      </c>
      <c r="R32" s="157"/>
      <c r="S32" s="53"/>
      <c r="T32" s="342"/>
      <c r="U32" s="53"/>
    </row>
    <row r="33" spans="1:21" ht="15.75" x14ac:dyDescent="0.25">
      <c r="A33" s="53"/>
      <c r="B33" s="168"/>
      <c r="C33" s="152"/>
      <c r="D33" s="153">
        <v>24</v>
      </c>
      <c r="E33" s="154"/>
      <c r="F33" s="662"/>
      <c r="G33" s="155"/>
      <c r="H33" s="662"/>
      <c r="I33" s="155"/>
      <c r="J33" s="664">
        <v>0</v>
      </c>
      <c r="K33" s="155"/>
      <c r="L33" s="665">
        <v>0</v>
      </c>
      <c r="M33" s="156"/>
      <c r="N33" s="665">
        <v>0</v>
      </c>
      <c r="O33" s="154"/>
      <c r="P33" s="152"/>
      <c r="Q33" s="626">
        <f t="shared" si="0"/>
        <v>0</v>
      </c>
      <c r="R33" s="157"/>
      <c r="S33" s="53"/>
      <c r="T33" s="342"/>
      <c r="U33" s="53"/>
    </row>
    <row r="34" spans="1:21" ht="15.75" x14ac:dyDescent="0.25">
      <c r="A34" s="53"/>
      <c r="B34" s="168"/>
      <c r="C34" s="152"/>
      <c r="D34" s="153">
        <v>25</v>
      </c>
      <c r="E34" s="154"/>
      <c r="F34" s="662"/>
      <c r="G34" s="155"/>
      <c r="H34" s="662"/>
      <c r="I34" s="155"/>
      <c r="J34" s="664">
        <v>0</v>
      </c>
      <c r="K34" s="155"/>
      <c r="L34" s="665">
        <v>0</v>
      </c>
      <c r="M34" s="156"/>
      <c r="N34" s="665">
        <v>0</v>
      </c>
      <c r="O34" s="154"/>
      <c r="P34" s="152"/>
      <c r="Q34" s="626">
        <f t="shared" si="0"/>
        <v>0</v>
      </c>
      <c r="R34" s="157"/>
      <c r="S34" s="53"/>
      <c r="T34" s="342"/>
      <c r="U34" s="53"/>
    </row>
    <row r="35" spans="1:21" ht="15.75" x14ac:dyDescent="0.25">
      <c r="A35" s="53"/>
      <c r="B35" s="168"/>
      <c r="C35" s="152"/>
      <c r="D35" s="153">
        <v>26</v>
      </c>
      <c r="E35" s="154"/>
      <c r="F35" s="662"/>
      <c r="G35" s="155"/>
      <c r="H35" s="662"/>
      <c r="I35" s="155"/>
      <c r="J35" s="664">
        <v>0</v>
      </c>
      <c r="K35" s="155"/>
      <c r="L35" s="665">
        <v>0</v>
      </c>
      <c r="M35" s="156"/>
      <c r="N35" s="665">
        <v>0</v>
      </c>
      <c r="O35" s="154"/>
      <c r="P35" s="152"/>
      <c r="Q35" s="626">
        <f t="shared" si="0"/>
        <v>0</v>
      </c>
      <c r="R35" s="157"/>
      <c r="S35" s="53"/>
      <c r="T35" s="342"/>
      <c r="U35" s="53"/>
    </row>
    <row r="36" spans="1:21" ht="15.75" x14ac:dyDescent="0.25">
      <c r="A36" s="53"/>
      <c r="B36" s="168"/>
      <c r="C36" s="152"/>
      <c r="D36" s="153">
        <v>27</v>
      </c>
      <c r="E36" s="154"/>
      <c r="F36" s="662"/>
      <c r="G36" s="155"/>
      <c r="H36" s="662"/>
      <c r="I36" s="155"/>
      <c r="J36" s="664">
        <v>0</v>
      </c>
      <c r="K36" s="155"/>
      <c r="L36" s="665">
        <v>0</v>
      </c>
      <c r="M36" s="156"/>
      <c r="N36" s="665">
        <v>0</v>
      </c>
      <c r="O36" s="154"/>
      <c r="P36" s="152"/>
      <c r="Q36" s="626">
        <f t="shared" si="0"/>
        <v>0</v>
      </c>
      <c r="R36" s="157"/>
      <c r="S36" s="53"/>
      <c r="T36" s="342"/>
      <c r="U36" s="53"/>
    </row>
    <row r="37" spans="1:21" ht="15.75" x14ac:dyDescent="0.25">
      <c r="A37" s="53"/>
      <c r="B37" s="168"/>
      <c r="C37" s="152"/>
      <c r="D37" s="153">
        <v>28</v>
      </c>
      <c r="E37" s="154"/>
      <c r="F37" s="662"/>
      <c r="G37" s="155"/>
      <c r="H37" s="662"/>
      <c r="I37" s="155"/>
      <c r="J37" s="664">
        <v>0</v>
      </c>
      <c r="K37" s="155"/>
      <c r="L37" s="665">
        <v>0</v>
      </c>
      <c r="M37" s="156"/>
      <c r="N37" s="665">
        <v>0</v>
      </c>
      <c r="O37" s="154"/>
      <c r="P37" s="152"/>
      <c r="Q37" s="626">
        <f t="shared" si="0"/>
        <v>0</v>
      </c>
      <c r="R37" s="157"/>
      <c r="S37" s="53"/>
      <c r="T37" s="342"/>
      <c r="U37" s="53"/>
    </row>
    <row r="38" spans="1:21" ht="15.75" x14ac:dyDescent="0.25">
      <c r="A38" s="53"/>
      <c r="B38" s="168"/>
      <c r="C38" s="152"/>
      <c r="D38" s="153">
        <v>29</v>
      </c>
      <c r="E38" s="154"/>
      <c r="F38" s="662"/>
      <c r="G38" s="155"/>
      <c r="H38" s="662"/>
      <c r="I38" s="155"/>
      <c r="J38" s="664">
        <v>0</v>
      </c>
      <c r="K38" s="155"/>
      <c r="L38" s="665">
        <v>0</v>
      </c>
      <c r="M38" s="156"/>
      <c r="N38" s="665">
        <v>0</v>
      </c>
      <c r="O38" s="154"/>
      <c r="P38" s="152"/>
      <c r="Q38" s="626">
        <f t="shared" si="0"/>
        <v>0</v>
      </c>
      <c r="R38" s="157"/>
      <c r="S38" s="53"/>
      <c r="T38" s="342"/>
      <c r="U38" s="53"/>
    </row>
    <row r="39" spans="1:21" ht="15.75" x14ac:dyDescent="0.25">
      <c r="A39" s="53"/>
      <c r="B39" s="168"/>
      <c r="C39" s="152"/>
      <c r="D39" s="153">
        <v>30</v>
      </c>
      <c r="E39" s="154"/>
      <c r="F39" s="662"/>
      <c r="G39" s="155"/>
      <c r="H39" s="662"/>
      <c r="I39" s="155"/>
      <c r="J39" s="664">
        <v>0</v>
      </c>
      <c r="K39" s="155"/>
      <c r="L39" s="665">
        <v>0</v>
      </c>
      <c r="M39" s="156"/>
      <c r="N39" s="665">
        <v>0</v>
      </c>
      <c r="O39" s="154"/>
      <c r="P39" s="152"/>
      <c r="Q39" s="626">
        <f t="shared" si="0"/>
        <v>0</v>
      </c>
      <c r="R39" s="157"/>
      <c r="S39" s="53"/>
      <c r="T39" s="342"/>
      <c r="U39" s="53"/>
    </row>
    <row r="40" spans="1:21" ht="15.75" x14ac:dyDescent="0.25">
      <c r="A40" s="53"/>
      <c r="B40" s="168"/>
      <c r="C40" s="152"/>
      <c r="D40" s="153">
        <v>31</v>
      </c>
      <c r="E40" s="154"/>
      <c r="F40" s="662"/>
      <c r="G40" s="155"/>
      <c r="H40" s="662"/>
      <c r="I40" s="155"/>
      <c r="J40" s="664">
        <v>0</v>
      </c>
      <c r="K40" s="155"/>
      <c r="L40" s="665">
        <v>0</v>
      </c>
      <c r="M40" s="156"/>
      <c r="N40" s="665">
        <v>0</v>
      </c>
      <c r="O40" s="154"/>
      <c r="P40" s="152"/>
      <c r="Q40" s="626">
        <f t="shared" si="0"/>
        <v>0</v>
      </c>
      <c r="R40" s="157"/>
      <c r="S40" s="53"/>
      <c r="T40" s="342"/>
      <c r="U40" s="53"/>
    </row>
    <row r="41" spans="1:21" ht="15.75" x14ac:dyDescent="0.25">
      <c r="A41" s="53"/>
      <c r="B41" s="168"/>
      <c r="C41" s="152"/>
      <c r="D41" s="153">
        <v>32</v>
      </c>
      <c r="E41" s="154"/>
      <c r="F41" s="662"/>
      <c r="G41" s="155"/>
      <c r="H41" s="662"/>
      <c r="I41" s="155"/>
      <c r="J41" s="664">
        <v>0</v>
      </c>
      <c r="K41" s="155"/>
      <c r="L41" s="665">
        <v>0</v>
      </c>
      <c r="M41" s="156"/>
      <c r="N41" s="665">
        <v>0</v>
      </c>
      <c r="O41" s="154"/>
      <c r="P41" s="152"/>
      <c r="Q41" s="626">
        <f t="shared" si="0"/>
        <v>0</v>
      </c>
      <c r="R41" s="157"/>
      <c r="S41" s="53"/>
      <c r="T41" s="342"/>
      <c r="U41" s="53"/>
    </row>
    <row r="42" spans="1:21" ht="15.75" x14ac:dyDescent="0.25">
      <c r="A42" s="53"/>
      <c r="B42" s="168"/>
      <c r="C42" s="152"/>
      <c r="D42" s="153">
        <v>33</v>
      </c>
      <c r="E42" s="154"/>
      <c r="F42" s="662"/>
      <c r="G42" s="155"/>
      <c r="H42" s="662"/>
      <c r="I42" s="155"/>
      <c r="J42" s="664">
        <v>0</v>
      </c>
      <c r="K42" s="155"/>
      <c r="L42" s="665">
        <v>0</v>
      </c>
      <c r="M42" s="156"/>
      <c r="N42" s="665">
        <v>0</v>
      </c>
      <c r="O42" s="154"/>
      <c r="P42" s="152"/>
      <c r="Q42" s="626">
        <f t="shared" si="0"/>
        <v>0</v>
      </c>
      <c r="R42" s="157"/>
      <c r="S42" s="53"/>
      <c r="T42" s="342"/>
      <c r="U42" s="53"/>
    </row>
    <row r="43" spans="1:21" ht="15.75" x14ac:dyDescent="0.25">
      <c r="A43" s="53"/>
      <c r="B43" s="168"/>
      <c r="C43" s="152"/>
      <c r="D43" s="153">
        <v>34</v>
      </c>
      <c r="E43" s="154"/>
      <c r="F43" s="662"/>
      <c r="G43" s="155"/>
      <c r="H43" s="662"/>
      <c r="I43" s="155"/>
      <c r="J43" s="664">
        <v>0</v>
      </c>
      <c r="K43" s="155"/>
      <c r="L43" s="665">
        <v>0</v>
      </c>
      <c r="M43" s="156"/>
      <c r="N43" s="665">
        <v>0</v>
      </c>
      <c r="O43" s="154"/>
      <c r="P43" s="152"/>
      <c r="Q43" s="626">
        <f t="shared" si="0"/>
        <v>0</v>
      </c>
      <c r="R43" s="157"/>
      <c r="S43" s="53"/>
      <c r="T43" s="342"/>
      <c r="U43" s="53"/>
    </row>
    <row r="44" spans="1:21" ht="15.75" x14ac:dyDescent="0.25">
      <c r="A44" s="53"/>
      <c r="B44" s="168"/>
      <c r="C44" s="152"/>
      <c r="D44" s="153">
        <v>35</v>
      </c>
      <c r="E44" s="154"/>
      <c r="F44" s="662"/>
      <c r="G44" s="155"/>
      <c r="H44" s="662"/>
      <c r="I44" s="155"/>
      <c r="J44" s="664">
        <v>0</v>
      </c>
      <c r="K44" s="155"/>
      <c r="L44" s="665">
        <v>0</v>
      </c>
      <c r="M44" s="156"/>
      <c r="N44" s="665">
        <v>0</v>
      </c>
      <c r="O44" s="154"/>
      <c r="P44" s="152"/>
      <c r="Q44" s="626">
        <f t="shared" si="0"/>
        <v>0</v>
      </c>
      <c r="R44" s="157"/>
      <c r="S44" s="53"/>
      <c r="T44" s="342"/>
      <c r="U44" s="53"/>
    </row>
    <row r="45" spans="1:21" ht="15.75" x14ac:dyDescent="0.25">
      <c r="A45" s="53"/>
      <c r="B45" s="168"/>
      <c r="C45" s="152"/>
      <c r="D45" s="153">
        <v>36</v>
      </c>
      <c r="E45" s="154"/>
      <c r="F45" s="662"/>
      <c r="G45" s="155"/>
      <c r="H45" s="662"/>
      <c r="I45" s="155"/>
      <c r="J45" s="664">
        <v>0</v>
      </c>
      <c r="K45" s="155"/>
      <c r="L45" s="665">
        <v>0</v>
      </c>
      <c r="M45" s="156"/>
      <c r="N45" s="665">
        <v>0</v>
      </c>
      <c r="O45" s="154"/>
      <c r="P45" s="152"/>
      <c r="Q45" s="626">
        <f t="shared" si="0"/>
        <v>0</v>
      </c>
      <c r="R45" s="157"/>
      <c r="S45" s="53"/>
      <c r="T45" s="342"/>
      <c r="U45" s="53"/>
    </row>
    <row r="46" spans="1:21" ht="15.75" x14ac:dyDescent="0.25">
      <c r="A46" s="53"/>
      <c r="B46" s="168"/>
      <c r="C46" s="152"/>
      <c r="D46" s="153">
        <v>37</v>
      </c>
      <c r="E46" s="154"/>
      <c r="F46" s="662"/>
      <c r="G46" s="155"/>
      <c r="H46" s="662"/>
      <c r="I46" s="155"/>
      <c r="J46" s="664">
        <v>0</v>
      </c>
      <c r="K46" s="155"/>
      <c r="L46" s="665">
        <v>0</v>
      </c>
      <c r="M46" s="156"/>
      <c r="N46" s="665">
        <v>0</v>
      </c>
      <c r="O46" s="154"/>
      <c r="P46" s="152"/>
      <c r="Q46" s="626">
        <f t="shared" si="0"/>
        <v>0</v>
      </c>
      <c r="R46" s="157"/>
      <c r="S46" s="53"/>
      <c r="T46" s="342"/>
      <c r="U46" s="53"/>
    </row>
    <row r="47" spans="1:21" ht="15.75" x14ac:dyDescent="0.25">
      <c r="A47" s="53"/>
      <c r="B47" s="168"/>
      <c r="C47" s="152"/>
      <c r="D47" s="153">
        <v>38</v>
      </c>
      <c r="E47" s="154"/>
      <c r="F47" s="662"/>
      <c r="G47" s="155"/>
      <c r="H47" s="662"/>
      <c r="I47" s="155"/>
      <c r="J47" s="664">
        <v>0</v>
      </c>
      <c r="K47" s="155"/>
      <c r="L47" s="665">
        <v>0</v>
      </c>
      <c r="M47" s="156"/>
      <c r="N47" s="665">
        <v>0</v>
      </c>
      <c r="O47" s="154"/>
      <c r="P47" s="152"/>
      <c r="Q47" s="626">
        <f t="shared" si="0"/>
        <v>0</v>
      </c>
      <c r="R47" s="157"/>
      <c r="S47" s="53"/>
      <c r="T47" s="342"/>
      <c r="U47" s="53"/>
    </row>
    <row r="48" spans="1:21" ht="15.75" x14ac:dyDescent="0.25">
      <c r="A48" s="53"/>
      <c r="B48" s="168"/>
      <c r="C48" s="152"/>
      <c r="D48" s="153">
        <v>39</v>
      </c>
      <c r="E48" s="154"/>
      <c r="F48" s="662"/>
      <c r="G48" s="155"/>
      <c r="H48" s="662"/>
      <c r="I48" s="155"/>
      <c r="J48" s="664">
        <v>0</v>
      </c>
      <c r="K48" s="155"/>
      <c r="L48" s="665">
        <v>0</v>
      </c>
      <c r="M48" s="156"/>
      <c r="N48" s="665">
        <v>0</v>
      </c>
      <c r="O48" s="154"/>
      <c r="P48" s="152"/>
      <c r="Q48" s="626">
        <f t="shared" si="0"/>
        <v>0</v>
      </c>
      <c r="R48" s="157"/>
      <c r="S48" s="53"/>
      <c r="T48" s="342"/>
      <c r="U48" s="53"/>
    </row>
    <row r="49" spans="1:21" ht="15.75" x14ac:dyDescent="0.25">
      <c r="A49" s="53"/>
      <c r="B49" s="168"/>
      <c r="C49" s="152"/>
      <c r="D49" s="153">
        <v>40</v>
      </c>
      <c r="E49" s="154"/>
      <c r="F49" s="662"/>
      <c r="G49" s="155"/>
      <c r="H49" s="662"/>
      <c r="I49" s="155"/>
      <c r="J49" s="664">
        <v>0</v>
      </c>
      <c r="K49" s="155"/>
      <c r="L49" s="665">
        <v>0</v>
      </c>
      <c r="M49" s="156"/>
      <c r="N49" s="665">
        <v>0</v>
      </c>
      <c r="O49" s="154"/>
      <c r="P49" s="152"/>
      <c r="Q49" s="626">
        <f t="shared" si="0"/>
        <v>0</v>
      </c>
      <c r="R49" s="157"/>
      <c r="S49" s="53"/>
      <c r="T49" s="342"/>
      <c r="U49" s="53"/>
    </row>
    <row r="50" spans="1:21" ht="15.75" x14ac:dyDescent="0.25">
      <c r="A50" s="53"/>
      <c r="B50" s="168"/>
      <c r="C50" s="152"/>
      <c r="D50" s="153">
        <v>41</v>
      </c>
      <c r="E50" s="154"/>
      <c r="F50" s="662"/>
      <c r="G50" s="155"/>
      <c r="H50" s="662"/>
      <c r="I50" s="155"/>
      <c r="J50" s="664">
        <v>0</v>
      </c>
      <c r="K50" s="155"/>
      <c r="L50" s="665">
        <v>0</v>
      </c>
      <c r="M50" s="156"/>
      <c r="N50" s="665">
        <v>0</v>
      </c>
      <c r="O50" s="154"/>
      <c r="P50" s="152"/>
      <c r="Q50" s="626">
        <f t="shared" si="0"/>
        <v>0</v>
      </c>
      <c r="R50" s="157"/>
      <c r="S50" s="53"/>
      <c r="T50" s="342"/>
      <c r="U50" s="53"/>
    </row>
    <row r="51" spans="1:21" ht="15.75" x14ac:dyDescent="0.25">
      <c r="A51" s="53"/>
      <c r="B51" s="168"/>
      <c r="C51" s="152"/>
      <c r="D51" s="153">
        <v>42</v>
      </c>
      <c r="E51" s="154"/>
      <c r="F51" s="662"/>
      <c r="G51" s="155"/>
      <c r="H51" s="662"/>
      <c r="I51" s="155"/>
      <c r="J51" s="664">
        <v>0</v>
      </c>
      <c r="K51" s="155"/>
      <c r="L51" s="665">
        <v>0</v>
      </c>
      <c r="M51" s="156"/>
      <c r="N51" s="665">
        <v>0</v>
      </c>
      <c r="O51" s="154"/>
      <c r="P51" s="152"/>
      <c r="Q51" s="626">
        <f t="shared" si="0"/>
        <v>0</v>
      </c>
      <c r="R51" s="157"/>
      <c r="S51" s="53"/>
      <c r="T51" s="342"/>
      <c r="U51" s="53"/>
    </row>
    <row r="52" spans="1:21" ht="15.75" x14ac:dyDescent="0.25">
      <c r="A52" s="53"/>
      <c r="B52" s="168"/>
      <c r="C52" s="152"/>
      <c r="D52" s="153">
        <v>43</v>
      </c>
      <c r="E52" s="154"/>
      <c r="F52" s="662"/>
      <c r="G52" s="155"/>
      <c r="H52" s="662"/>
      <c r="I52" s="155"/>
      <c r="J52" s="664">
        <v>0</v>
      </c>
      <c r="K52" s="155"/>
      <c r="L52" s="665">
        <v>0</v>
      </c>
      <c r="M52" s="156"/>
      <c r="N52" s="665">
        <v>0</v>
      </c>
      <c r="O52" s="154"/>
      <c r="P52" s="152"/>
      <c r="Q52" s="626">
        <f t="shared" si="0"/>
        <v>0</v>
      </c>
      <c r="R52" s="157"/>
      <c r="S52" s="53"/>
      <c r="T52" s="342"/>
      <c r="U52" s="53"/>
    </row>
    <row r="53" spans="1:21" ht="15.75" x14ac:dyDescent="0.25">
      <c r="A53" s="53"/>
      <c r="B53" s="168"/>
      <c r="C53" s="152"/>
      <c r="D53" s="153">
        <v>44</v>
      </c>
      <c r="E53" s="154"/>
      <c r="F53" s="662"/>
      <c r="G53" s="155"/>
      <c r="H53" s="662"/>
      <c r="I53" s="155"/>
      <c r="J53" s="664">
        <v>0</v>
      </c>
      <c r="K53" s="155"/>
      <c r="L53" s="665">
        <v>0</v>
      </c>
      <c r="M53" s="156"/>
      <c r="N53" s="665">
        <v>0</v>
      </c>
      <c r="O53" s="154"/>
      <c r="P53" s="152"/>
      <c r="Q53" s="626">
        <f t="shared" si="0"/>
        <v>0</v>
      </c>
      <c r="R53" s="157"/>
      <c r="S53" s="53"/>
      <c r="T53" s="342"/>
      <c r="U53" s="53"/>
    </row>
    <row r="54" spans="1:21" ht="15.75" x14ac:dyDescent="0.25">
      <c r="A54" s="53"/>
      <c r="B54" s="168"/>
      <c r="C54" s="152"/>
      <c r="D54" s="153">
        <v>45</v>
      </c>
      <c r="E54" s="154"/>
      <c r="F54" s="662"/>
      <c r="G54" s="155"/>
      <c r="H54" s="662"/>
      <c r="I54" s="155"/>
      <c r="J54" s="664">
        <v>0</v>
      </c>
      <c r="K54" s="155"/>
      <c r="L54" s="665">
        <v>0</v>
      </c>
      <c r="M54" s="156"/>
      <c r="N54" s="665">
        <v>0</v>
      </c>
      <c r="O54" s="154"/>
      <c r="P54" s="152"/>
      <c r="Q54" s="626">
        <f t="shared" si="0"/>
        <v>0</v>
      </c>
      <c r="R54" s="157"/>
      <c r="S54" s="53"/>
      <c r="T54" s="342"/>
      <c r="U54" s="53"/>
    </row>
    <row r="55" spans="1:21" ht="15.75" x14ac:dyDescent="0.25">
      <c r="A55" s="53"/>
      <c r="B55" s="168"/>
      <c r="C55" s="152"/>
      <c r="D55" s="153">
        <v>46</v>
      </c>
      <c r="E55" s="154"/>
      <c r="F55" s="662"/>
      <c r="G55" s="155"/>
      <c r="H55" s="662"/>
      <c r="I55" s="155"/>
      <c r="J55" s="664">
        <v>0</v>
      </c>
      <c r="K55" s="155"/>
      <c r="L55" s="665">
        <v>0</v>
      </c>
      <c r="M55" s="156"/>
      <c r="N55" s="665">
        <v>0</v>
      </c>
      <c r="O55" s="154"/>
      <c r="P55" s="152"/>
      <c r="Q55" s="626">
        <f t="shared" si="0"/>
        <v>0</v>
      </c>
      <c r="R55" s="157"/>
      <c r="S55" s="53"/>
      <c r="T55" s="342"/>
      <c r="U55" s="53"/>
    </row>
    <row r="56" spans="1:21" ht="15.75" x14ac:dyDescent="0.25">
      <c r="A56" s="53"/>
      <c r="B56" s="168"/>
      <c r="C56" s="152"/>
      <c r="D56" s="153">
        <v>47</v>
      </c>
      <c r="E56" s="154"/>
      <c r="F56" s="662"/>
      <c r="G56" s="155"/>
      <c r="H56" s="662"/>
      <c r="I56" s="155"/>
      <c r="J56" s="664">
        <v>0</v>
      </c>
      <c r="K56" s="155"/>
      <c r="L56" s="665">
        <v>0</v>
      </c>
      <c r="M56" s="156"/>
      <c r="N56" s="665">
        <v>0</v>
      </c>
      <c r="O56" s="154"/>
      <c r="P56" s="152"/>
      <c r="Q56" s="626">
        <f t="shared" si="0"/>
        <v>0</v>
      </c>
      <c r="R56" s="157"/>
      <c r="S56" s="53"/>
      <c r="T56" s="342"/>
      <c r="U56" s="53"/>
    </row>
    <row r="57" spans="1:21" ht="15.75" x14ac:dyDescent="0.25">
      <c r="A57" s="53"/>
      <c r="B57" s="168"/>
      <c r="C57" s="152"/>
      <c r="D57" s="153">
        <v>48</v>
      </c>
      <c r="E57" s="154"/>
      <c r="F57" s="662"/>
      <c r="G57" s="155"/>
      <c r="H57" s="662"/>
      <c r="I57" s="155"/>
      <c r="J57" s="664">
        <v>0</v>
      </c>
      <c r="K57" s="155"/>
      <c r="L57" s="665">
        <v>0</v>
      </c>
      <c r="M57" s="156"/>
      <c r="N57" s="665">
        <v>0</v>
      </c>
      <c r="O57" s="154"/>
      <c r="P57" s="152"/>
      <c r="Q57" s="626">
        <f t="shared" si="0"/>
        <v>0</v>
      </c>
      <c r="R57" s="157"/>
      <c r="S57" s="53"/>
      <c r="T57" s="342"/>
      <c r="U57" s="53"/>
    </row>
    <row r="58" spans="1:21" ht="15.75" x14ac:dyDescent="0.25">
      <c r="A58" s="53"/>
      <c r="B58" s="168"/>
      <c r="C58" s="152"/>
      <c r="D58" s="153">
        <v>49</v>
      </c>
      <c r="E58" s="154"/>
      <c r="F58" s="662"/>
      <c r="G58" s="155"/>
      <c r="H58" s="662"/>
      <c r="I58" s="155"/>
      <c r="J58" s="664">
        <v>0</v>
      </c>
      <c r="K58" s="155"/>
      <c r="L58" s="665">
        <v>0</v>
      </c>
      <c r="M58" s="156"/>
      <c r="N58" s="665">
        <v>0</v>
      </c>
      <c r="O58" s="154"/>
      <c r="P58" s="152"/>
      <c r="Q58" s="626">
        <f t="shared" si="0"/>
        <v>0</v>
      </c>
      <c r="R58" s="157"/>
      <c r="S58" s="53"/>
      <c r="T58" s="342"/>
      <c r="U58" s="53"/>
    </row>
    <row r="59" spans="1:21" ht="15.75" x14ac:dyDescent="0.25">
      <c r="A59" s="53"/>
      <c r="B59" s="168"/>
      <c r="C59" s="152"/>
      <c r="D59" s="153">
        <v>50</v>
      </c>
      <c r="E59" s="154"/>
      <c r="F59" s="662"/>
      <c r="G59" s="155"/>
      <c r="H59" s="662"/>
      <c r="I59" s="155"/>
      <c r="J59" s="664">
        <v>0</v>
      </c>
      <c r="K59" s="155"/>
      <c r="L59" s="665">
        <v>0</v>
      </c>
      <c r="M59" s="156"/>
      <c r="N59" s="665">
        <v>0</v>
      </c>
      <c r="O59" s="154"/>
      <c r="P59" s="152"/>
      <c r="Q59" s="626">
        <f t="shared" si="0"/>
        <v>0</v>
      </c>
      <c r="R59" s="157"/>
      <c r="S59" s="53"/>
      <c r="T59" s="342"/>
      <c r="U59" s="53"/>
    </row>
    <row r="60" spans="1:21" ht="15.75" x14ac:dyDescent="0.25">
      <c r="A60" s="53"/>
      <c r="B60" s="168"/>
      <c r="C60" s="152"/>
      <c r="D60" s="153">
        <v>51</v>
      </c>
      <c r="E60" s="154"/>
      <c r="F60" s="662"/>
      <c r="G60" s="155"/>
      <c r="H60" s="662"/>
      <c r="I60" s="155"/>
      <c r="J60" s="664">
        <v>0</v>
      </c>
      <c r="K60" s="155"/>
      <c r="L60" s="665">
        <v>0</v>
      </c>
      <c r="M60" s="156"/>
      <c r="N60" s="665">
        <v>0</v>
      </c>
      <c r="O60" s="154"/>
      <c r="P60" s="152"/>
      <c r="Q60" s="626">
        <f t="shared" si="0"/>
        <v>0</v>
      </c>
      <c r="R60" s="157"/>
      <c r="S60" s="53"/>
      <c r="T60" s="342"/>
      <c r="U60" s="53"/>
    </row>
    <row r="61" spans="1:21" ht="15.75" x14ac:dyDescent="0.25">
      <c r="A61" s="53"/>
      <c r="B61" s="168"/>
      <c r="C61" s="152"/>
      <c r="D61" s="153">
        <v>52</v>
      </c>
      <c r="E61" s="154"/>
      <c r="F61" s="662"/>
      <c r="G61" s="155"/>
      <c r="H61" s="662"/>
      <c r="I61" s="155"/>
      <c r="J61" s="664">
        <v>0</v>
      </c>
      <c r="K61" s="155"/>
      <c r="L61" s="665">
        <v>0</v>
      </c>
      <c r="M61" s="156"/>
      <c r="N61" s="665">
        <v>0</v>
      </c>
      <c r="O61" s="154"/>
      <c r="P61" s="152"/>
      <c r="Q61" s="626">
        <f t="shared" si="0"/>
        <v>0</v>
      </c>
      <c r="R61" s="157"/>
      <c r="S61" s="53"/>
      <c r="T61" s="342"/>
      <c r="U61" s="53"/>
    </row>
    <row r="62" spans="1:21" ht="15.75" x14ac:dyDescent="0.25">
      <c r="A62" s="53"/>
      <c r="B62" s="168"/>
      <c r="C62" s="152"/>
      <c r="D62" s="153">
        <v>53</v>
      </c>
      <c r="E62" s="154"/>
      <c r="F62" s="662"/>
      <c r="G62" s="155"/>
      <c r="H62" s="662"/>
      <c r="I62" s="155"/>
      <c r="J62" s="664">
        <v>0</v>
      </c>
      <c r="K62" s="155"/>
      <c r="L62" s="665">
        <v>0</v>
      </c>
      <c r="M62" s="156"/>
      <c r="N62" s="665">
        <v>0</v>
      </c>
      <c r="O62" s="154"/>
      <c r="P62" s="152"/>
      <c r="Q62" s="626">
        <f t="shared" si="0"/>
        <v>0</v>
      </c>
      <c r="R62" s="157"/>
      <c r="S62" s="53"/>
      <c r="T62" s="342"/>
      <c r="U62" s="53"/>
    </row>
    <row r="63" spans="1:21" ht="15.75" x14ac:dyDescent="0.25">
      <c r="A63" s="53"/>
      <c r="B63" s="168"/>
      <c r="C63" s="152"/>
      <c r="D63" s="153">
        <v>54</v>
      </c>
      <c r="E63" s="154"/>
      <c r="F63" s="662"/>
      <c r="G63" s="155"/>
      <c r="H63" s="662"/>
      <c r="I63" s="155"/>
      <c r="J63" s="664">
        <v>0</v>
      </c>
      <c r="K63" s="155"/>
      <c r="L63" s="665">
        <v>0</v>
      </c>
      <c r="M63" s="156"/>
      <c r="N63" s="665">
        <v>0</v>
      </c>
      <c r="O63" s="154"/>
      <c r="P63" s="152"/>
      <c r="Q63" s="626">
        <f t="shared" si="0"/>
        <v>0</v>
      </c>
      <c r="R63" s="157"/>
      <c r="S63" s="53"/>
      <c r="T63" s="342"/>
      <c r="U63" s="53"/>
    </row>
    <row r="64" spans="1:21" ht="15.75" x14ac:dyDescent="0.25">
      <c r="A64" s="53"/>
      <c r="B64" s="168"/>
      <c r="C64" s="152"/>
      <c r="D64" s="153">
        <v>55</v>
      </c>
      <c r="E64" s="154"/>
      <c r="F64" s="662"/>
      <c r="G64" s="155"/>
      <c r="H64" s="662"/>
      <c r="I64" s="155"/>
      <c r="J64" s="664">
        <v>0</v>
      </c>
      <c r="K64" s="155"/>
      <c r="L64" s="665">
        <v>0</v>
      </c>
      <c r="M64" s="156"/>
      <c r="N64" s="665">
        <v>0</v>
      </c>
      <c r="O64" s="154"/>
      <c r="P64" s="152"/>
      <c r="Q64" s="626">
        <f t="shared" si="0"/>
        <v>0</v>
      </c>
      <c r="R64" s="157"/>
      <c r="S64" s="53"/>
      <c r="T64" s="342"/>
      <c r="U64" s="53"/>
    </row>
    <row r="65" spans="1:21" ht="15.75" x14ac:dyDescent="0.25">
      <c r="A65" s="53"/>
      <c r="B65" s="168"/>
      <c r="C65" s="152"/>
      <c r="D65" s="153">
        <v>56</v>
      </c>
      <c r="E65" s="154"/>
      <c r="F65" s="662"/>
      <c r="G65" s="155"/>
      <c r="H65" s="662"/>
      <c r="I65" s="155"/>
      <c r="J65" s="664">
        <v>0</v>
      </c>
      <c r="K65" s="155"/>
      <c r="L65" s="665">
        <v>0</v>
      </c>
      <c r="M65" s="156"/>
      <c r="N65" s="665">
        <v>0</v>
      </c>
      <c r="O65" s="154"/>
      <c r="P65" s="152"/>
      <c r="Q65" s="626">
        <f t="shared" si="0"/>
        <v>0</v>
      </c>
      <c r="R65" s="157"/>
      <c r="S65" s="53"/>
      <c r="T65" s="342"/>
      <c r="U65" s="53"/>
    </row>
    <row r="66" spans="1:21" ht="15.75" x14ac:dyDescent="0.25">
      <c r="A66" s="53"/>
      <c r="B66" s="168"/>
      <c r="C66" s="152"/>
      <c r="D66" s="153">
        <v>57</v>
      </c>
      <c r="E66" s="154"/>
      <c r="F66" s="662"/>
      <c r="G66" s="155"/>
      <c r="H66" s="662"/>
      <c r="I66" s="155"/>
      <c r="J66" s="664">
        <v>0</v>
      </c>
      <c r="K66" s="155"/>
      <c r="L66" s="665">
        <v>0</v>
      </c>
      <c r="M66" s="156"/>
      <c r="N66" s="665">
        <v>0</v>
      </c>
      <c r="O66" s="154"/>
      <c r="P66" s="152"/>
      <c r="Q66" s="626">
        <f t="shared" si="0"/>
        <v>0</v>
      </c>
      <c r="R66" s="157"/>
      <c r="S66" s="53"/>
      <c r="T66" s="342"/>
      <c r="U66" s="53"/>
    </row>
    <row r="67" spans="1:21" ht="15.75" x14ac:dyDescent="0.25">
      <c r="A67" s="53"/>
      <c r="B67" s="168"/>
      <c r="C67" s="152"/>
      <c r="D67" s="153">
        <v>58</v>
      </c>
      <c r="E67" s="154"/>
      <c r="F67" s="662"/>
      <c r="G67" s="155"/>
      <c r="H67" s="662"/>
      <c r="I67" s="155"/>
      <c r="J67" s="664">
        <v>0</v>
      </c>
      <c r="K67" s="155"/>
      <c r="L67" s="665">
        <v>0</v>
      </c>
      <c r="M67" s="156"/>
      <c r="N67" s="665">
        <v>0</v>
      </c>
      <c r="O67" s="154"/>
      <c r="P67" s="152"/>
      <c r="Q67" s="626">
        <f t="shared" si="0"/>
        <v>0</v>
      </c>
      <c r="R67" s="157"/>
      <c r="S67" s="53"/>
      <c r="T67" s="342"/>
      <c r="U67" s="53"/>
    </row>
    <row r="68" spans="1:21" ht="15.75" x14ac:dyDescent="0.25">
      <c r="A68" s="53"/>
      <c r="B68" s="168"/>
      <c r="C68" s="152"/>
      <c r="D68" s="153">
        <v>59</v>
      </c>
      <c r="E68" s="154"/>
      <c r="F68" s="662"/>
      <c r="G68" s="155"/>
      <c r="H68" s="662"/>
      <c r="I68" s="155"/>
      <c r="J68" s="664">
        <v>0</v>
      </c>
      <c r="K68" s="155"/>
      <c r="L68" s="665">
        <v>0</v>
      </c>
      <c r="M68" s="156"/>
      <c r="N68" s="665">
        <v>0</v>
      </c>
      <c r="O68" s="154"/>
      <c r="P68" s="152"/>
      <c r="Q68" s="626">
        <f t="shared" si="0"/>
        <v>0</v>
      </c>
      <c r="R68" s="157"/>
      <c r="S68" s="53"/>
      <c r="T68" s="342"/>
      <c r="U68" s="53"/>
    </row>
    <row r="69" spans="1:21" ht="15.75" x14ac:dyDescent="0.25">
      <c r="A69" s="53"/>
      <c r="B69" s="168"/>
      <c r="C69" s="152"/>
      <c r="D69" s="153">
        <v>60</v>
      </c>
      <c r="E69" s="154"/>
      <c r="F69" s="662"/>
      <c r="G69" s="155"/>
      <c r="H69" s="662"/>
      <c r="I69" s="155"/>
      <c r="J69" s="664">
        <v>0</v>
      </c>
      <c r="K69" s="155"/>
      <c r="L69" s="665">
        <v>0</v>
      </c>
      <c r="M69" s="156"/>
      <c r="N69" s="665">
        <v>0</v>
      </c>
      <c r="O69" s="154"/>
      <c r="P69" s="152"/>
      <c r="Q69" s="626">
        <f t="shared" si="0"/>
        <v>0</v>
      </c>
      <c r="R69" s="157"/>
      <c r="S69" s="53"/>
      <c r="T69" s="342"/>
      <c r="U69" s="53"/>
    </row>
    <row r="70" spans="1:21" ht="6" customHeight="1" x14ac:dyDescent="0.25">
      <c r="A70" s="53"/>
      <c r="B70" s="106"/>
      <c r="C70" s="150"/>
      <c r="D70" s="80"/>
      <c r="E70" s="80"/>
      <c r="F70" s="80"/>
      <c r="G70" s="80"/>
      <c r="H70" s="80"/>
      <c r="I70" s="80"/>
      <c r="J70" s="80"/>
      <c r="K70" s="80"/>
      <c r="L70" s="80"/>
      <c r="M70" s="80"/>
      <c r="N70" s="80"/>
      <c r="O70" s="80"/>
      <c r="P70" s="150"/>
      <c r="Q70" s="85"/>
      <c r="R70" s="81"/>
      <c r="S70" s="53"/>
      <c r="T70" s="53"/>
      <c r="U70" s="53"/>
    </row>
    <row r="71" spans="1:21" ht="15.75" x14ac:dyDescent="0.25">
      <c r="A71" s="53"/>
      <c r="B71" s="219"/>
      <c r="C71" s="150"/>
      <c r="D71" s="274" t="s">
        <v>509</v>
      </c>
      <c r="E71" s="80"/>
      <c r="F71" s="80"/>
      <c r="G71" s="80"/>
      <c r="H71" s="80"/>
      <c r="I71" s="80"/>
      <c r="J71" s="80"/>
      <c r="K71" s="80"/>
      <c r="L71" s="80"/>
      <c r="M71" s="80"/>
      <c r="N71" s="80"/>
      <c r="O71" s="80"/>
      <c r="P71" s="150"/>
      <c r="Q71" s="626">
        <f>SUM(Q10:Q69)</f>
        <v>0</v>
      </c>
      <c r="R71" s="81"/>
      <c r="S71" s="53"/>
      <c r="T71" s="158"/>
      <c r="U71" s="53"/>
    </row>
    <row r="72" spans="1:21" ht="6" customHeight="1" thickBot="1" x14ac:dyDescent="0.3">
      <c r="A72" s="53"/>
      <c r="B72" s="110"/>
      <c r="C72" s="159"/>
      <c r="D72" s="93"/>
      <c r="E72" s="93"/>
      <c r="F72" s="93"/>
      <c r="G72" s="93"/>
      <c r="H72" s="93"/>
      <c r="I72" s="93"/>
      <c r="J72" s="93"/>
      <c r="K72" s="93"/>
      <c r="L72" s="93"/>
      <c r="M72" s="93"/>
      <c r="N72" s="93"/>
      <c r="O72" s="93"/>
      <c r="P72" s="159"/>
      <c r="Q72" s="93"/>
      <c r="R72" s="94"/>
      <c r="S72" s="53"/>
      <c r="T72" s="53"/>
      <c r="U72" s="53"/>
    </row>
    <row r="73" spans="1:21" ht="15.75" customHeight="1" x14ac:dyDescent="0.25">
      <c r="A73" s="53"/>
      <c r="B73" s="432"/>
      <c r="C73" s="432"/>
      <c r="D73" s="432"/>
      <c r="E73" s="432"/>
      <c r="F73" s="432"/>
      <c r="G73" s="432"/>
      <c r="H73" s="432"/>
      <c r="I73" s="432"/>
      <c r="J73" s="230"/>
      <c r="K73" s="275"/>
      <c r="L73" s="230"/>
      <c r="M73" s="230"/>
      <c r="N73" s="230"/>
      <c r="O73" s="53"/>
      <c r="P73" s="53"/>
      <c r="Q73" s="53"/>
      <c r="R73" s="53"/>
      <c r="S73" s="53"/>
      <c r="T73" s="53"/>
      <c r="U73" s="53"/>
    </row>
  </sheetData>
  <sheetProtection algorithmName="SHA-512" hashValue="R14NTgjVxrFjJu49iuYbS772KsO8U52Cp8KyU0+AU0T+AP+lkaJ2NYGFStOa4jN7PEDeAm37TtzchKhfK/a6YA==" saltValue="Gg35Tue9UvoFfJ5DjN763A==" spinCount="100000" sheet="1" objects="1" scenarios="1"/>
  <mergeCells count="1">
    <mergeCell ref="A3:Q3"/>
  </mergeCells>
  <conditionalFormatting sqref="H4">
    <cfRule type="cellIs" dxfId="528" priority="1" operator="equal">
      <formula>"May be incomplete"</formula>
    </cfRule>
    <cfRule type="cellIs" dxfId="527" priority="2" operator="equal">
      <formula>"N/A"</formula>
    </cfRule>
    <cfRule type="cellIs" dxfId="526" priority="3" operator="equal">
      <formula>"Complete"</formula>
    </cfRule>
    <cfRule type="cellIs" dxfId="525" priority="4" operator="equal">
      <formula>"Incomplete"</formula>
    </cfRule>
  </conditionalFormatting>
  <conditionalFormatting sqref="T1 T3">
    <cfRule type="cellIs" dxfId="524" priority="28" operator="equal">
      <formula>"ZERO"</formula>
    </cfRule>
  </conditionalFormatting>
  <conditionalFormatting sqref="T1:T3">
    <cfRule type="cellIs" dxfId="523" priority="26" operator="equal">
      <formula>"OK"</formula>
    </cfRule>
    <cfRule type="cellIs" dxfId="522" priority="27" operator="equal">
      <formula>"ERROR"</formula>
    </cfRule>
  </conditionalFormatting>
  <conditionalFormatting sqref="T4">
    <cfRule type="cellIs" dxfId="521" priority="9" operator="equal">
      <formula>"Complete"</formula>
    </cfRule>
    <cfRule type="cellIs" dxfId="520" priority="10" operator="equal">
      <formula>"Incomplete"</formula>
    </cfRule>
  </conditionalFormatting>
  <conditionalFormatting sqref="T5:T9">
    <cfRule type="cellIs" dxfId="519" priority="11" operator="equal">
      <formula>"ZERO"</formula>
    </cfRule>
    <cfRule type="cellIs" dxfId="518" priority="12" operator="equal">
      <formula>"OK"</formula>
    </cfRule>
    <cfRule type="cellIs" dxfId="517" priority="13" operator="equal">
      <formula>"ERROR"</formula>
    </cfRule>
  </conditionalFormatting>
  <conditionalFormatting sqref="T10:T69">
    <cfRule type="cellIs" dxfId="516" priority="5" operator="equal">
      <formula>"Complete"</formula>
    </cfRule>
    <cfRule type="cellIs" dxfId="515" priority="6" operator="equal">
      <formula>"Incomplete"</formula>
    </cfRule>
  </conditionalFormatting>
  <conditionalFormatting sqref="T70:T73">
    <cfRule type="cellIs" dxfId="514" priority="16" operator="equal">
      <formula>"OK"</formula>
    </cfRule>
    <cfRule type="cellIs" dxfId="513" priority="17" operator="equal">
      <formula>"ERROR"</formula>
    </cfRule>
    <cfRule type="cellIs" dxfId="512" priority="18" operator="equal">
      <formula>"ZERO"</formula>
    </cfRule>
  </conditionalFormatting>
  <dataValidations count="8">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73" xr:uid="{00000000-0002-0000-1600-000000000000}"/>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73" xr:uid="{00000000-0002-0000-1600-000001000000}"/>
    <dataValidation allowBlank="1" showInputMessage="1" showErrorMessage="1" prompt="Input any allowance for expenses not already included in Column L" sqref="N5" xr:uid="{00000000-0002-0000-1600-000002000000}"/>
    <dataValidation allowBlank="1" showInputMessage="1" showErrorMessage="1" prompt="Input an estimate of the loss ratio for the grouping in question" sqref="L5" xr:uid="{00000000-0002-0000-1600-000003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600-000004000000}"/>
    <dataValidation allowBlank="1" showInputMessage="1" showErrorMessage="1" prompt="Grouping should be at the most granular level necessary to ensure that profitable contracts are not offset by unprofitable ones." sqref="F5" xr:uid="{00000000-0002-0000-1600-000005000000}"/>
    <dataValidation allowBlank="1" showErrorMessage="1" sqref="T7 A6:S6 U6" xr:uid="{00000000-0002-0000-1600-000006000000}"/>
    <dataValidation type="list" allowBlank="1" showInputMessage="1" showErrorMessage="1" sqref="H4" xr:uid="{00000000-0002-0000-1600-000007000000}">
      <formula1>"Yes, No"</formula1>
    </dataValidation>
  </dataValidations>
  <pageMargins left="0.7" right="0.7" top="0.75" bottom="0.75" header="0.3" footer="0.3"/>
  <pageSetup paperSize="9" scale="4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8000000}">
          <x14:formula1>
            <xm:f>Data!$B$279:$B$282</xm:f>
          </x14:formula1>
          <xm:sqref>H10:H69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00B050"/>
    <pageSetUpPr fitToPage="1"/>
  </sheetPr>
  <dimension ref="A1:AK65"/>
  <sheetViews>
    <sheetView workbookViewId="0">
      <selection activeCell="E11" sqref="E11"/>
    </sheetView>
  </sheetViews>
  <sheetFormatPr defaultColWidth="0" defaultRowHeight="14.25" zeroHeight="1" x14ac:dyDescent="0.2"/>
  <cols>
    <col min="1" max="1" width="1.875" customWidth="1"/>
    <col min="2" max="2" width="30.125" customWidth="1"/>
    <col min="3" max="4" width="1.875" customWidth="1"/>
    <col min="5" max="5" width="19.125" customWidth="1"/>
    <col min="6" max="6" width="1.875" customWidth="1"/>
    <col min="7" max="7" width="15" customWidth="1"/>
    <col min="8" max="8" width="1.875" customWidth="1"/>
    <col min="9" max="9" width="9" customWidth="1"/>
    <col min="10" max="11" width="1.875" customWidth="1"/>
    <col min="12" max="12" width="12" bestFit="1" customWidth="1"/>
    <col min="13" max="13" width="2" customWidth="1"/>
    <col min="14" max="14" width="9" customWidth="1"/>
    <col min="15" max="15" width="1.875" customWidth="1"/>
    <col min="16" max="16" width="1.625" customWidth="1"/>
    <col min="17" max="18" width="1.875" customWidth="1"/>
    <col min="19" max="19" width="10" customWidth="1"/>
    <col min="20" max="20" width="1.875" customWidth="1"/>
    <col min="21" max="37" width="9" hidden="1"/>
  </cols>
  <sheetData>
    <row r="1" spans="1:20" ht="15.75" x14ac:dyDescent="0.25">
      <c r="A1" s="59">
        <v>1</v>
      </c>
      <c r="B1" s="59"/>
      <c r="C1" s="59"/>
      <c r="D1" s="60"/>
      <c r="E1" s="60"/>
      <c r="F1" s="60"/>
      <c r="G1" s="60"/>
      <c r="H1" s="60"/>
      <c r="I1" s="60"/>
      <c r="J1" s="60"/>
      <c r="K1" s="60"/>
      <c r="L1" s="60"/>
      <c r="M1" s="60"/>
      <c r="N1" s="60"/>
      <c r="O1" s="60"/>
      <c r="P1" s="60"/>
      <c r="Q1" s="59"/>
      <c r="R1" s="59"/>
      <c r="S1" s="210"/>
      <c r="T1" s="59"/>
    </row>
    <row r="2" spans="1:20" ht="33" customHeight="1" x14ac:dyDescent="0.25">
      <c r="A2" s="60"/>
      <c r="B2" s="60"/>
      <c r="C2" s="60"/>
      <c r="D2" s="60"/>
      <c r="E2" s="60"/>
      <c r="F2" s="60"/>
      <c r="G2" s="52" t="s">
        <v>64</v>
      </c>
      <c r="H2" s="60"/>
      <c r="I2" s="60"/>
      <c r="J2" s="60"/>
      <c r="K2" s="60"/>
      <c r="L2" s="60"/>
      <c r="M2" s="60"/>
      <c r="N2" s="60"/>
      <c r="O2" s="60"/>
      <c r="P2" s="60"/>
      <c r="Q2" s="60"/>
      <c r="R2" s="60"/>
      <c r="S2" s="61"/>
      <c r="T2" s="60"/>
    </row>
    <row r="3" spans="1:20" ht="15.75" x14ac:dyDescent="0.25">
      <c r="A3" s="53"/>
      <c r="B3" s="53"/>
      <c r="C3" s="53"/>
      <c r="D3" s="53"/>
      <c r="E3" s="53"/>
      <c r="F3" s="53"/>
      <c r="G3" s="53"/>
      <c r="H3" s="53"/>
      <c r="I3" s="53"/>
      <c r="J3" s="53"/>
      <c r="K3" s="53"/>
      <c r="L3" s="53"/>
      <c r="M3" s="53"/>
      <c r="N3" s="53"/>
      <c r="O3" s="53"/>
      <c r="P3" s="53"/>
      <c r="Q3" s="53"/>
      <c r="R3" s="53"/>
      <c r="S3" s="211"/>
      <c r="T3" s="53"/>
    </row>
    <row r="4" spans="1:20" ht="16.5" thickBot="1" x14ac:dyDescent="0.3">
      <c r="A4" s="53"/>
      <c r="B4" s="53"/>
      <c r="C4" s="53"/>
      <c r="D4" s="53"/>
      <c r="E4" s="53"/>
      <c r="F4" s="53"/>
      <c r="G4" s="53"/>
      <c r="H4" s="53"/>
      <c r="I4" s="53"/>
      <c r="J4" s="53"/>
      <c r="K4" s="53"/>
      <c r="L4" s="53"/>
      <c r="M4" s="53"/>
      <c r="N4" s="53"/>
      <c r="O4" s="53"/>
      <c r="P4" s="53"/>
      <c r="Q4" s="53"/>
      <c r="R4" s="53"/>
      <c r="S4" s="211"/>
      <c r="T4" s="53"/>
    </row>
    <row r="5" spans="1:20" ht="16.5" thickBot="1" x14ac:dyDescent="0.3">
      <c r="A5" s="53"/>
      <c r="B5" s="276" t="s">
        <v>64</v>
      </c>
      <c r="C5" s="277"/>
      <c r="D5" s="278"/>
      <c r="E5" s="239" t="s">
        <v>164</v>
      </c>
      <c r="F5" s="166"/>
      <c r="G5" s="53"/>
      <c r="H5" s="53"/>
      <c r="I5" s="53"/>
      <c r="J5" s="53"/>
      <c r="K5" s="53"/>
      <c r="L5" s="53"/>
      <c r="M5" s="53"/>
      <c r="N5" s="53"/>
      <c r="O5" s="53"/>
      <c r="P5" s="53"/>
      <c r="Q5" s="53"/>
      <c r="R5" s="53"/>
      <c r="S5" s="211"/>
      <c r="T5" s="53"/>
    </row>
    <row r="6" spans="1:20" ht="15.75" x14ac:dyDescent="0.25">
      <c r="A6" s="53"/>
      <c r="B6" s="106"/>
      <c r="C6" s="80"/>
      <c r="D6" s="150"/>
      <c r="E6" s="80"/>
      <c r="F6" s="81"/>
      <c r="G6" s="53"/>
      <c r="H6" s="53"/>
      <c r="I6" s="53"/>
      <c r="J6" s="53"/>
      <c r="K6" s="53"/>
      <c r="L6" s="53"/>
      <c r="M6" s="53"/>
      <c r="N6" s="53"/>
      <c r="O6" s="53"/>
      <c r="P6" s="53"/>
      <c r="Q6" s="53"/>
      <c r="R6" s="53"/>
      <c r="S6" s="211"/>
      <c r="T6" s="53"/>
    </row>
    <row r="7" spans="1:20" ht="15.75" x14ac:dyDescent="0.25">
      <c r="A7" s="53"/>
      <c r="B7" s="106" t="s">
        <v>527</v>
      </c>
      <c r="C7" s="279"/>
      <c r="D7" s="150"/>
      <c r="E7" s="626">
        <f>E27</f>
        <v>0</v>
      </c>
      <c r="F7" s="81"/>
      <c r="G7" s="53"/>
      <c r="H7" s="53"/>
      <c r="I7" s="53"/>
      <c r="J7" s="53"/>
      <c r="K7" s="53"/>
      <c r="L7" s="53"/>
      <c r="M7" s="53"/>
      <c r="N7" s="53"/>
      <c r="O7" s="53"/>
      <c r="P7" s="53"/>
      <c r="Q7" s="53"/>
      <c r="R7" s="53"/>
      <c r="S7" s="158"/>
      <c r="T7" s="53"/>
    </row>
    <row r="8" spans="1:20" ht="15.75" x14ac:dyDescent="0.25">
      <c r="A8" s="53"/>
      <c r="B8" s="106" t="s">
        <v>528</v>
      </c>
      <c r="C8" s="279"/>
      <c r="D8" s="150"/>
      <c r="E8" s="626">
        <f>N38</f>
        <v>0</v>
      </c>
      <c r="F8" s="81"/>
      <c r="G8" s="53"/>
      <c r="H8" s="53"/>
      <c r="I8" s="53"/>
      <c r="J8" s="53"/>
      <c r="K8" s="53"/>
      <c r="L8" s="53"/>
      <c r="M8" s="53"/>
      <c r="N8" s="53"/>
      <c r="O8" s="53"/>
      <c r="P8" s="53"/>
      <c r="Q8" s="53"/>
      <c r="R8" s="53"/>
      <c r="S8" s="158"/>
      <c r="T8" s="53"/>
    </row>
    <row r="9" spans="1:20" ht="15.75" x14ac:dyDescent="0.25">
      <c r="A9" s="53"/>
      <c r="B9" s="106" t="s">
        <v>529</v>
      </c>
      <c r="C9" s="279"/>
      <c r="D9" s="150"/>
      <c r="E9" s="626">
        <f>N45</f>
        <v>0</v>
      </c>
      <c r="F9" s="81"/>
      <c r="G9" s="53"/>
      <c r="H9" s="53"/>
      <c r="I9" s="53"/>
      <c r="J9" s="53"/>
      <c r="K9" s="53"/>
      <c r="L9" s="53"/>
      <c r="M9" s="53"/>
      <c r="N9" s="53"/>
      <c r="O9" s="53"/>
      <c r="P9" s="53"/>
      <c r="Q9" s="53"/>
      <c r="R9" s="53"/>
      <c r="S9" s="158"/>
      <c r="T9" s="53"/>
    </row>
    <row r="10" spans="1:20" ht="15.75" x14ac:dyDescent="0.25">
      <c r="A10" s="53"/>
      <c r="B10" s="106" t="s">
        <v>412</v>
      </c>
      <c r="C10" s="279"/>
      <c r="D10" s="150"/>
      <c r="E10" s="626">
        <f>E51</f>
        <v>0</v>
      </c>
      <c r="F10" s="81"/>
      <c r="G10" s="53"/>
      <c r="H10" s="53"/>
      <c r="I10" s="53"/>
      <c r="J10" s="53"/>
      <c r="K10" s="53"/>
      <c r="L10" s="53"/>
      <c r="M10" s="53"/>
      <c r="N10" s="53"/>
      <c r="O10" s="53"/>
      <c r="P10" s="53"/>
      <c r="Q10" s="53"/>
      <c r="R10" s="53"/>
      <c r="S10" s="158"/>
      <c r="T10" s="53"/>
    </row>
    <row r="11" spans="1:20" ht="15.75" x14ac:dyDescent="0.25">
      <c r="A11" s="53"/>
      <c r="B11" s="106" t="s">
        <v>530</v>
      </c>
      <c r="C11" s="279"/>
      <c r="D11" s="150"/>
      <c r="E11" s="626">
        <f>E57</f>
        <v>0</v>
      </c>
      <c r="F11" s="81"/>
      <c r="G11" s="53"/>
      <c r="H11" s="53"/>
      <c r="I11" s="53"/>
      <c r="J11" s="53"/>
      <c r="K11" s="53"/>
      <c r="L11" s="53"/>
      <c r="M11" s="53"/>
      <c r="N11" s="53"/>
      <c r="O11" s="53"/>
      <c r="P11" s="53"/>
      <c r="Q11" s="53"/>
      <c r="R11" s="53"/>
      <c r="S11" s="158"/>
      <c r="T11" s="53"/>
    </row>
    <row r="12" spans="1:20" ht="15.75" x14ac:dyDescent="0.25">
      <c r="A12" s="53"/>
      <c r="B12" s="106" t="s">
        <v>531</v>
      </c>
      <c r="C12" s="279"/>
      <c r="D12" s="150"/>
      <c r="E12" s="626">
        <f>E63</f>
        <v>0</v>
      </c>
      <c r="F12" s="81"/>
      <c r="G12" s="53"/>
      <c r="H12" s="53"/>
      <c r="I12" s="53"/>
      <c r="J12" s="53"/>
      <c r="K12" s="53"/>
      <c r="L12" s="53"/>
      <c r="M12" s="53"/>
      <c r="N12" s="53"/>
      <c r="O12" s="53"/>
      <c r="P12" s="53"/>
      <c r="Q12" s="53"/>
      <c r="R12" s="53"/>
      <c r="S12" s="158"/>
      <c r="T12" s="53"/>
    </row>
    <row r="13" spans="1:20" ht="6" customHeight="1" x14ac:dyDescent="0.25">
      <c r="A13" s="53"/>
      <c r="B13" s="106"/>
      <c r="C13" s="80"/>
      <c r="D13" s="150"/>
      <c r="E13" s="201"/>
      <c r="F13" s="81"/>
      <c r="G13" s="53"/>
      <c r="H13" s="53"/>
      <c r="I13" s="53"/>
      <c r="J13" s="53"/>
      <c r="K13" s="53"/>
      <c r="L13" s="53"/>
      <c r="M13" s="53"/>
      <c r="N13" s="53"/>
      <c r="O13" s="53"/>
      <c r="P13" s="53"/>
      <c r="Q13" s="53"/>
      <c r="R13" s="53"/>
      <c r="S13" s="158"/>
      <c r="T13" s="53"/>
    </row>
    <row r="14" spans="1:20" ht="15.75" x14ac:dyDescent="0.25">
      <c r="A14" s="53"/>
      <c r="B14" s="106" t="s">
        <v>532</v>
      </c>
      <c r="C14" s="80"/>
      <c r="D14" s="150"/>
      <c r="E14" s="626">
        <f>SUM(E7:E12)</f>
        <v>0</v>
      </c>
      <c r="F14" s="81"/>
      <c r="G14" s="53"/>
      <c r="H14" s="53"/>
      <c r="I14" s="53"/>
      <c r="J14" s="53"/>
      <c r="K14" s="53"/>
      <c r="L14" s="53"/>
      <c r="M14" s="53"/>
      <c r="N14" s="53"/>
      <c r="O14" s="53"/>
      <c r="P14" s="53"/>
      <c r="Q14" s="53"/>
      <c r="R14" s="53"/>
      <c r="S14" s="158"/>
      <c r="T14" s="53"/>
    </row>
    <row r="15" spans="1:20" ht="6" customHeight="1" x14ac:dyDescent="0.25">
      <c r="A15" s="53"/>
      <c r="B15" s="106"/>
      <c r="C15" s="80"/>
      <c r="D15" s="150"/>
      <c r="E15" s="201"/>
      <c r="F15" s="81"/>
      <c r="G15" s="53"/>
      <c r="H15" s="53"/>
      <c r="I15" s="53"/>
      <c r="J15" s="53"/>
      <c r="K15" s="53"/>
      <c r="L15" s="53"/>
      <c r="M15" s="53"/>
      <c r="N15" s="53"/>
      <c r="O15" s="53"/>
      <c r="P15" s="53"/>
      <c r="Q15" s="53"/>
      <c r="R15" s="53"/>
      <c r="S15" s="158"/>
      <c r="T15" s="53"/>
    </row>
    <row r="16" spans="1:20" ht="15.75" x14ac:dyDescent="0.25">
      <c r="A16" s="53"/>
      <c r="B16" s="172" t="s">
        <v>387</v>
      </c>
      <c r="C16" s="80"/>
      <c r="D16" s="150"/>
      <c r="E16" s="626">
        <f>E18-E14</f>
        <v>0</v>
      </c>
      <c r="F16" s="81"/>
      <c r="G16" s="53"/>
      <c r="H16" s="53"/>
      <c r="I16" s="53"/>
      <c r="J16" s="53"/>
      <c r="K16" s="53"/>
      <c r="L16" s="53"/>
      <c r="M16" s="53"/>
      <c r="N16" s="53"/>
      <c r="O16" s="53"/>
      <c r="P16" s="53"/>
      <c r="Q16" s="53"/>
      <c r="R16" s="53"/>
      <c r="S16" s="158"/>
      <c r="T16" s="53"/>
    </row>
    <row r="17" spans="1:20" ht="6" customHeight="1" x14ac:dyDescent="0.25">
      <c r="A17" s="53"/>
      <c r="B17" s="106"/>
      <c r="C17" s="80"/>
      <c r="D17" s="150"/>
      <c r="E17" s="201"/>
      <c r="F17" s="81"/>
      <c r="G17" s="53"/>
      <c r="H17" s="53"/>
      <c r="I17" s="53"/>
      <c r="J17" s="53"/>
      <c r="K17" s="53"/>
      <c r="L17" s="53"/>
      <c r="M17" s="53"/>
      <c r="N17" s="53"/>
      <c r="O17" s="53"/>
      <c r="P17" s="53"/>
      <c r="Q17" s="53"/>
      <c r="R17" s="53"/>
      <c r="S17" s="158"/>
      <c r="T17" s="53"/>
    </row>
    <row r="18" spans="1:20" ht="15.75" x14ac:dyDescent="0.25">
      <c r="A18" s="53"/>
      <c r="B18" s="202" t="s">
        <v>381</v>
      </c>
      <c r="C18" s="755"/>
      <c r="D18" s="150"/>
      <c r="E18" s="626">
        <f t="array" ref="E18">SQRT(MMULT(MMULT(TRANSPOSE(E7:E12),MarketCorr_10),E7:E12))</f>
        <v>0</v>
      </c>
      <c r="F18" s="81"/>
      <c r="G18" s="111"/>
      <c r="H18" s="53"/>
      <c r="I18" s="53"/>
      <c r="J18" s="53"/>
      <c r="K18" s="53"/>
      <c r="L18" s="53"/>
      <c r="M18" s="53"/>
      <c r="N18" s="53"/>
      <c r="O18" s="53"/>
      <c r="P18" s="53"/>
      <c r="Q18" s="53"/>
      <c r="R18" s="53"/>
      <c r="S18" s="158"/>
      <c r="T18" s="53"/>
    </row>
    <row r="19" spans="1:20" ht="6" customHeight="1" thickBot="1" x14ac:dyDescent="0.3">
      <c r="A19" s="53"/>
      <c r="B19" s="110"/>
      <c r="C19" s="93"/>
      <c r="D19" s="159"/>
      <c r="E19" s="134"/>
      <c r="F19" s="94"/>
      <c r="G19" s="53"/>
      <c r="H19" s="53"/>
      <c r="I19" s="53"/>
      <c r="J19" s="53"/>
      <c r="K19" s="53"/>
      <c r="L19" s="53"/>
      <c r="M19" s="53"/>
      <c r="N19" s="53"/>
      <c r="O19" s="53"/>
      <c r="P19" s="53"/>
      <c r="Q19" s="53"/>
      <c r="R19" s="53"/>
      <c r="S19" s="211"/>
      <c r="T19" s="53"/>
    </row>
    <row r="20" spans="1:20" ht="15.75" x14ac:dyDescent="0.25">
      <c r="A20" s="53"/>
      <c r="B20" s="53"/>
      <c r="C20" s="53"/>
      <c r="D20" s="53"/>
      <c r="E20" s="109"/>
      <c r="F20" s="53"/>
      <c r="G20" s="53"/>
      <c r="H20" s="53"/>
      <c r="I20" s="53"/>
      <c r="J20" s="53"/>
      <c r="K20" s="53"/>
      <c r="L20" s="53"/>
      <c r="M20" s="53"/>
      <c r="N20" s="53"/>
      <c r="O20" s="53"/>
      <c r="P20" s="53"/>
      <c r="Q20" s="53"/>
      <c r="R20" s="53"/>
      <c r="S20" s="211"/>
      <c r="T20" s="53"/>
    </row>
    <row r="21" spans="1:20" ht="6" customHeight="1" thickBot="1" x14ac:dyDescent="0.3">
      <c r="A21" s="53"/>
      <c r="B21" s="53"/>
      <c r="C21" s="53"/>
      <c r="D21" s="53"/>
      <c r="E21" s="109"/>
      <c r="F21" s="53"/>
      <c r="G21" s="53"/>
      <c r="H21" s="53"/>
      <c r="I21" s="53"/>
      <c r="J21" s="53"/>
      <c r="K21" s="53"/>
      <c r="L21" s="53"/>
      <c r="M21" s="53"/>
      <c r="N21" s="53"/>
      <c r="O21" s="53"/>
      <c r="P21" s="53"/>
      <c r="Q21" s="53"/>
      <c r="R21" s="53"/>
      <c r="S21" s="211"/>
      <c r="T21" s="53"/>
    </row>
    <row r="22" spans="1:20" ht="16.5" thickBot="1" x14ac:dyDescent="0.3">
      <c r="A22" s="53"/>
      <c r="B22" s="276" t="s">
        <v>398</v>
      </c>
      <c r="C22" s="277"/>
      <c r="D22" s="278"/>
      <c r="E22" s="239" t="s">
        <v>164</v>
      </c>
      <c r="F22" s="166"/>
      <c r="G22" s="53"/>
      <c r="H22" s="53"/>
      <c r="I22" s="53"/>
      <c r="J22" s="53"/>
      <c r="K22" s="53"/>
      <c r="L22" s="53"/>
      <c r="M22" s="53"/>
      <c r="N22" s="53"/>
      <c r="O22" s="53"/>
      <c r="P22" s="53"/>
      <c r="Q22" s="53"/>
      <c r="R22" s="53"/>
      <c r="S22" s="211"/>
      <c r="T22" s="53"/>
    </row>
    <row r="23" spans="1:20" ht="6" customHeight="1" x14ac:dyDescent="0.25">
      <c r="A23" s="53"/>
      <c r="B23" s="106"/>
      <c r="C23" s="80"/>
      <c r="D23" s="150"/>
      <c r="E23" s="85"/>
      <c r="F23" s="81"/>
      <c r="G23" s="53"/>
      <c r="H23" s="53"/>
      <c r="I23" s="53"/>
      <c r="J23" s="53"/>
      <c r="K23" s="53"/>
      <c r="L23" s="53"/>
      <c r="M23" s="53"/>
      <c r="N23" s="53"/>
      <c r="O23" s="53"/>
      <c r="P23" s="53"/>
      <c r="Q23" s="53"/>
      <c r="R23" s="53"/>
      <c r="S23" s="211"/>
      <c r="T23" s="53"/>
    </row>
    <row r="24" spans="1:20" ht="15.75" x14ac:dyDescent="0.25">
      <c r="A24" s="53"/>
      <c r="B24" s="202" t="s">
        <v>533</v>
      </c>
      <c r="C24" s="280"/>
      <c r="D24" s="150"/>
      <c r="E24" s="666">
        <f>Mkt_Int_Up_10</f>
        <v>0</v>
      </c>
      <c r="F24" s="81"/>
      <c r="G24" s="53"/>
      <c r="H24" s="53"/>
      <c r="I24" s="53"/>
      <c r="J24" s="53"/>
      <c r="K24" s="53"/>
      <c r="L24" s="53"/>
      <c r="M24" s="53"/>
      <c r="N24" s="53"/>
      <c r="O24" s="53"/>
      <c r="P24" s="53"/>
      <c r="Q24" s="53"/>
      <c r="R24" s="53"/>
      <c r="S24" s="211"/>
      <c r="T24" s="53"/>
    </row>
    <row r="25" spans="1:20" ht="15.75" x14ac:dyDescent="0.25">
      <c r="A25" s="53"/>
      <c r="B25" s="202" t="s">
        <v>534</v>
      </c>
      <c r="C25" s="280"/>
      <c r="D25" s="150"/>
      <c r="E25" s="666">
        <f>Mkt_Int_Down_10</f>
        <v>0</v>
      </c>
      <c r="F25" s="81"/>
      <c r="G25" s="53"/>
      <c r="H25" s="53"/>
      <c r="I25" s="53"/>
      <c r="J25" s="53"/>
      <c r="K25" s="53"/>
      <c r="L25" s="53"/>
      <c r="M25" s="53"/>
      <c r="N25" s="53"/>
      <c r="O25" s="53"/>
      <c r="P25" s="53"/>
      <c r="Q25" s="53"/>
      <c r="R25" s="53"/>
      <c r="S25" s="211"/>
      <c r="T25" s="53"/>
    </row>
    <row r="26" spans="1:20" ht="6" customHeight="1" x14ac:dyDescent="0.25">
      <c r="A26" s="53"/>
      <c r="B26" s="202"/>
      <c r="C26" s="280"/>
      <c r="D26" s="150"/>
      <c r="E26" s="281"/>
      <c r="F26" s="81"/>
      <c r="G26" s="53"/>
      <c r="H26" s="53"/>
      <c r="I26" s="53"/>
      <c r="J26" s="53"/>
      <c r="K26" s="53"/>
      <c r="L26" s="53"/>
      <c r="M26" s="53"/>
      <c r="N26" s="53"/>
      <c r="O26" s="53"/>
      <c r="P26" s="53"/>
      <c r="Q26" s="53"/>
      <c r="R26" s="53"/>
      <c r="S26" s="211"/>
      <c r="T26" s="53"/>
    </row>
    <row r="27" spans="1:20" ht="15.75" x14ac:dyDescent="0.25">
      <c r="A27" s="53"/>
      <c r="B27" s="106" t="s">
        <v>527</v>
      </c>
      <c r="C27" s="280"/>
      <c r="D27" s="150"/>
      <c r="E27" s="666">
        <f>MAX(0,E24:E25)</f>
        <v>0</v>
      </c>
      <c r="F27" s="81"/>
      <c r="G27" s="53"/>
      <c r="H27" s="53"/>
      <c r="I27" s="53"/>
      <c r="J27" s="53"/>
      <c r="K27" s="53"/>
      <c r="L27" s="53"/>
      <c r="M27" s="53"/>
      <c r="N27" s="53"/>
      <c r="O27" s="53"/>
      <c r="P27" s="53"/>
      <c r="Q27" s="53"/>
      <c r="R27" s="53"/>
      <c r="S27" s="158"/>
      <c r="T27" s="53"/>
    </row>
    <row r="28" spans="1:20" ht="6" customHeight="1" thickBot="1" x14ac:dyDescent="0.3">
      <c r="A28" s="53"/>
      <c r="B28" s="110"/>
      <c r="C28" s="93"/>
      <c r="D28" s="159"/>
      <c r="E28" s="134"/>
      <c r="F28" s="94"/>
      <c r="G28" s="53"/>
      <c r="H28" s="53"/>
      <c r="I28" s="53"/>
      <c r="J28" s="53"/>
      <c r="K28" s="53"/>
      <c r="L28" s="53"/>
      <c r="M28" s="53"/>
      <c r="N28" s="53"/>
      <c r="O28" s="53"/>
      <c r="P28" s="53"/>
      <c r="Q28" s="53"/>
      <c r="R28" s="53"/>
      <c r="S28" s="211"/>
      <c r="T28" s="53"/>
    </row>
    <row r="29" spans="1:20" ht="15.75" x14ac:dyDescent="0.25">
      <c r="A29" s="53"/>
      <c r="B29" s="53"/>
      <c r="C29" s="53"/>
      <c r="D29" s="53"/>
      <c r="E29" s="109"/>
      <c r="F29" s="53"/>
      <c r="G29" s="53"/>
      <c r="H29" s="53"/>
      <c r="I29" s="53"/>
      <c r="J29" s="53"/>
      <c r="K29" s="53"/>
      <c r="L29" s="53"/>
      <c r="M29" s="53"/>
      <c r="N29" s="53"/>
      <c r="O29" s="53"/>
      <c r="P29" s="53"/>
      <c r="Q29" s="53"/>
      <c r="R29" s="53"/>
      <c r="S29" s="282"/>
      <c r="T29" s="53"/>
    </row>
    <row r="30" spans="1:20" ht="6" customHeight="1" thickBot="1" x14ac:dyDescent="0.3">
      <c r="A30" s="53"/>
      <c r="B30" s="53"/>
      <c r="C30" s="53"/>
      <c r="D30" s="53"/>
      <c r="E30" s="109"/>
      <c r="F30" s="53"/>
      <c r="G30" s="53"/>
      <c r="H30" s="53"/>
      <c r="I30" s="53"/>
      <c r="J30" s="53"/>
      <c r="K30" s="53"/>
      <c r="L30" s="53"/>
      <c r="M30" s="53"/>
      <c r="N30" s="53"/>
      <c r="O30" s="53"/>
      <c r="P30" s="53"/>
      <c r="Q30" s="53"/>
      <c r="R30" s="53"/>
      <c r="S30" s="211"/>
      <c r="T30" s="53"/>
    </row>
    <row r="31" spans="1:20" ht="15" customHeight="1" x14ac:dyDescent="0.25">
      <c r="A31" s="53"/>
      <c r="B31" s="838" t="s">
        <v>535</v>
      </c>
      <c r="C31" s="362"/>
      <c r="D31" s="849"/>
      <c r="E31" s="854" t="s">
        <v>399</v>
      </c>
      <c r="F31" s="844"/>
      <c r="G31" s="833" t="s">
        <v>400</v>
      </c>
      <c r="H31" s="844"/>
      <c r="I31" s="833" t="s">
        <v>42</v>
      </c>
      <c r="J31" s="849"/>
      <c r="K31" s="849"/>
      <c r="L31" s="870"/>
      <c r="M31" s="870"/>
      <c r="N31" s="870"/>
      <c r="O31" s="846"/>
      <c r="P31" s="53"/>
      <c r="Q31" s="53"/>
      <c r="R31" s="53"/>
      <c r="S31" s="211"/>
      <c r="T31" s="53"/>
    </row>
    <row r="32" spans="1:20" ht="15" customHeight="1" x14ac:dyDescent="0.25">
      <c r="A32" s="53"/>
      <c r="B32" s="848"/>
      <c r="C32" s="283"/>
      <c r="D32" s="850"/>
      <c r="E32" s="855"/>
      <c r="F32" s="845"/>
      <c r="G32" s="834"/>
      <c r="H32" s="845"/>
      <c r="I32" s="834"/>
      <c r="J32" s="850"/>
      <c r="K32" s="850"/>
      <c r="L32" s="220" t="s">
        <v>536</v>
      </c>
      <c r="M32" s="359"/>
      <c r="N32" s="220" t="s">
        <v>391</v>
      </c>
      <c r="O32" s="847"/>
      <c r="P32" s="53"/>
      <c r="Q32" s="53"/>
      <c r="R32" s="53"/>
      <c r="S32" s="211"/>
      <c r="T32" s="53"/>
    </row>
    <row r="33" spans="1:20" ht="15" customHeight="1" thickBot="1" x14ac:dyDescent="0.3">
      <c r="A33" s="53"/>
      <c r="B33" s="354"/>
      <c r="C33" s="246"/>
      <c r="D33" s="364"/>
      <c r="E33" s="75" t="s">
        <v>164</v>
      </c>
      <c r="F33" s="363"/>
      <c r="G33" s="352"/>
      <c r="H33" s="363"/>
      <c r="I33" s="75" t="s">
        <v>164</v>
      </c>
      <c r="J33" s="364"/>
      <c r="K33" s="364"/>
      <c r="L33" s="199"/>
      <c r="M33" s="364"/>
      <c r="N33" s="75" t="s">
        <v>164</v>
      </c>
      <c r="O33" s="365"/>
      <c r="P33" s="53"/>
      <c r="Q33" s="53"/>
      <c r="R33" s="53"/>
      <c r="S33" s="211"/>
      <c r="T33" s="53"/>
    </row>
    <row r="34" spans="1:20" ht="6" customHeight="1" x14ac:dyDescent="0.25">
      <c r="A34" s="53"/>
      <c r="B34" s="106"/>
      <c r="C34" s="80"/>
      <c r="D34" s="150"/>
      <c r="E34" s="85"/>
      <c r="F34" s="80"/>
      <c r="G34" s="80"/>
      <c r="H34" s="80"/>
      <c r="I34" s="80"/>
      <c r="J34" s="80"/>
      <c r="K34" s="150"/>
      <c r="L34" s="80"/>
      <c r="M34" s="80"/>
      <c r="N34" s="80"/>
      <c r="O34" s="81"/>
      <c r="P34" s="53"/>
      <c r="Q34" s="53"/>
      <c r="R34" s="53"/>
      <c r="S34" s="211"/>
      <c r="T34" s="53"/>
    </row>
    <row r="35" spans="1:20" ht="15.75" x14ac:dyDescent="0.25">
      <c r="A35" s="53"/>
      <c r="B35" s="106" t="s">
        <v>537</v>
      </c>
      <c r="C35" s="80"/>
      <c r="D35" s="150"/>
      <c r="E35" s="626">
        <f>'RBS - Assets'!F20</f>
        <v>0</v>
      </c>
      <c r="F35" s="80"/>
      <c r="G35" s="667">
        <v>0</v>
      </c>
      <c r="H35" s="80"/>
      <c r="I35" s="626">
        <f>ABS($E35-$G35)</f>
        <v>0</v>
      </c>
      <c r="J35" s="80"/>
      <c r="K35" s="150"/>
      <c r="L35" s="643">
        <v>0.19</v>
      </c>
      <c r="M35" s="80"/>
      <c r="N35" s="626">
        <f>$I35*L35</f>
        <v>0</v>
      </c>
      <c r="O35" s="81"/>
      <c r="P35" s="53"/>
      <c r="Q35" s="53"/>
      <c r="R35" s="53"/>
      <c r="S35" s="158"/>
      <c r="T35" s="53"/>
    </row>
    <row r="36" spans="1:20" ht="15.75" x14ac:dyDescent="0.25">
      <c r="A36" s="53"/>
      <c r="B36" s="106" t="s">
        <v>538</v>
      </c>
      <c r="C36" s="80"/>
      <c r="D36" s="150"/>
      <c r="E36" s="626">
        <f>'RBS - Assets'!F21+'RBS - Assets'!F67</f>
        <v>0</v>
      </c>
      <c r="F36" s="80"/>
      <c r="G36" s="667">
        <v>0</v>
      </c>
      <c r="H36" s="80"/>
      <c r="I36" s="626">
        <f>ABS($E36-$G36)</f>
        <v>0</v>
      </c>
      <c r="J36" s="80"/>
      <c r="K36" s="150"/>
      <c r="L36" s="643">
        <v>0.24</v>
      </c>
      <c r="M36" s="80"/>
      <c r="N36" s="626">
        <f>$I36*L36</f>
        <v>0</v>
      </c>
      <c r="O36" s="81"/>
      <c r="P36" s="53"/>
      <c r="Q36" s="53"/>
      <c r="R36" s="53"/>
      <c r="S36" s="158"/>
      <c r="T36" s="53"/>
    </row>
    <row r="37" spans="1:20" ht="6" customHeight="1" x14ac:dyDescent="0.25">
      <c r="A37" s="53"/>
      <c r="B37" s="106"/>
      <c r="C37" s="80"/>
      <c r="D37" s="150"/>
      <c r="E37" s="443"/>
      <c r="F37" s="284"/>
      <c r="G37" s="285"/>
      <c r="H37" s="284"/>
      <c r="I37" s="285"/>
      <c r="J37" s="80"/>
      <c r="K37" s="150"/>
      <c r="L37" s="286"/>
      <c r="M37" s="80"/>
      <c r="N37" s="287"/>
      <c r="O37" s="81"/>
      <c r="P37" s="53"/>
      <c r="Q37" s="53"/>
      <c r="R37" s="53"/>
      <c r="S37" s="158"/>
      <c r="T37" s="53"/>
    </row>
    <row r="38" spans="1:20" ht="15.75" x14ac:dyDescent="0.25">
      <c r="A38" s="53"/>
      <c r="B38" s="106" t="s">
        <v>528</v>
      </c>
      <c r="C38" s="280"/>
      <c r="D38" s="150"/>
      <c r="E38" s="443"/>
      <c r="F38" s="284"/>
      <c r="G38" s="285"/>
      <c r="H38" s="284"/>
      <c r="I38" s="285"/>
      <c r="J38" s="80"/>
      <c r="K38" s="150"/>
      <c r="L38" s="286"/>
      <c r="M38" s="80"/>
      <c r="N38" s="666">
        <f t="array" ref="N38">SQRT(MMULT(MMULT(TRANSPOSE(N$35:N$36),EqCorr10),N$35:N$36))</f>
        <v>0</v>
      </c>
      <c r="O38" s="81"/>
      <c r="P38" s="53"/>
      <c r="Q38" s="53"/>
      <c r="R38" s="53"/>
      <c r="S38" s="158"/>
      <c r="T38" s="53"/>
    </row>
    <row r="39" spans="1:20" ht="6" customHeight="1" thickBot="1" x14ac:dyDescent="0.3">
      <c r="A39" s="53"/>
      <c r="B39" s="110"/>
      <c r="C39" s="93"/>
      <c r="D39" s="159"/>
      <c r="E39" s="134"/>
      <c r="F39" s="93"/>
      <c r="G39" s="93"/>
      <c r="H39" s="93"/>
      <c r="I39" s="93"/>
      <c r="J39" s="93"/>
      <c r="K39" s="159"/>
      <c r="L39" s="93"/>
      <c r="M39" s="93"/>
      <c r="N39" s="93"/>
      <c r="O39" s="94"/>
      <c r="P39" s="53"/>
      <c r="Q39" s="53"/>
      <c r="R39" s="53"/>
      <c r="S39" s="211"/>
      <c r="T39" s="53"/>
    </row>
    <row r="40" spans="1:20" ht="15.75" x14ac:dyDescent="0.25">
      <c r="A40" s="53"/>
      <c r="B40" s="53"/>
      <c r="C40" s="53"/>
      <c r="D40" s="53"/>
      <c r="E40" s="109"/>
      <c r="F40" s="53"/>
      <c r="G40" s="53"/>
      <c r="H40" s="53"/>
      <c r="I40" s="53"/>
      <c r="J40" s="53"/>
      <c r="K40" s="53"/>
      <c r="L40" s="53"/>
      <c r="M40" s="53"/>
      <c r="N40" s="53"/>
      <c r="O40" s="53"/>
      <c r="P40" s="53"/>
      <c r="Q40" s="53"/>
      <c r="R40" s="53"/>
      <c r="S40" s="282"/>
      <c r="T40" s="53"/>
    </row>
    <row r="41" spans="1:20" ht="6" customHeight="1" thickBot="1" x14ac:dyDescent="0.3">
      <c r="A41" s="53"/>
      <c r="B41" s="53"/>
      <c r="C41" s="53"/>
      <c r="D41" s="53"/>
      <c r="E41" s="109"/>
      <c r="F41" s="53"/>
      <c r="G41" s="53"/>
      <c r="H41" s="53"/>
      <c r="I41" s="53"/>
      <c r="J41" s="53"/>
      <c r="K41" s="53"/>
      <c r="L41" s="53"/>
      <c r="M41" s="53"/>
      <c r="N41" s="53"/>
      <c r="O41" s="53"/>
      <c r="P41" s="53"/>
      <c r="Q41" s="53"/>
      <c r="R41" s="53"/>
      <c r="S41" s="211"/>
      <c r="T41" s="53"/>
    </row>
    <row r="42" spans="1:20" ht="15" customHeight="1" x14ac:dyDescent="0.25">
      <c r="A42" s="53"/>
      <c r="B42" s="838" t="s">
        <v>539</v>
      </c>
      <c r="C42" s="362"/>
      <c r="D42" s="844"/>
      <c r="E42" s="854" t="s">
        <v>399</v>
      </c>
      <c r="F42" s="844"/>
      <c r="G42" s="833" t="s">
        <v>400</v>
      </c>
      <c r="H42" s="844"/>
      <c r="I42" s="833" t="s">
        <v>42</v>
      </c>
      <c r="J42" s="844"/>
      <c r="K42" s="849"/>
      <c r="L42" s="366" t="s">
        <v>536</v>
      </c>
      <c r="M42" s="358"/>
      <c r="N42" s="366" t="s">
        <v>391</v>
      </c>
      <c r="O42" s="846"/>
      <c r="P42" s="53"/>
      <c r="Q42" s="53"/>
      <c r="R42" s="53"/>
      <c r="S42" s="211"/>
      <c r="T42" s="53"/>
    </row>
    <row r="43" spans="1:20" ht="15" customHeight="1" thickBot="1" x14ac:dyDescent="0.3">
      <c r="A43" s="53"/>
      <c r="B43" s="839"/>
      <c r="C43" s="246"/>
      <c r="D43" s="868"/>
      <c r="E43" s="869"/>
      <c r="F43" s="868"/>
      <c r="G43" s="837"/>
      <c r="H43" s="868"/>
      <c r="I43" s="837"/>
      <c r="J43" s="868"/>
      <c r="K43" s="871"/>
      <c r="L43" s="199"/>
      <c r="M43" s="364"/>
      <c r="N43" s="75" t="s">
        <v>164</v>
      </c>
      <c r="O43" s="872"/>
      <c r="P43" s="53"/>
      <c r="Q43" s="53"/>
      <c r="R43" s="53"/>
      <c r="S43" s="211"/>
      <c r="T43" s="53"/>
    </row>
    <row r="44" spans="1:20" ht="6" customHeight="1" x14ac:dyDescent="0.25">
      <c r="A44" s="53"/>
      <c r="B44" s="106"/>
      <c r="C44" s="80"/>
      <c r="D44" s="150"/>
      <c r="E44" s="85"/>
      <c r="F44" s="80"/>
      <c r="G44" s="80"/>
      <c r="H44" s="80"/>
      <c r="I44" s="80"/>
      <c r="J44" s="80"/>
      <c r="K44" s="150"/>
      <c r="L44" s="80"/>
      <c r="M44" s="80"/>
      <c r="N44" s="80"/>
      <c r="O44" s="81"/>
      <c r="P44" s="53"/>
      <c r="Q44" s="53"/>
      <c r="R44" s="53"/>
      <c r="S44" s="211"/>
      <c r="T44" s="53"/>
    </row>
    <row r="45" spans="1:20" ht="18.75" x14ac:dyDescent="0.35">
      <c r="A45" s="53"/>
      <c r="B45" s="106" t="s">
        <v>540</v>
      </c>
      <c r="C45" s="80"/>
      <c r="D45" s="150"/>
      <c r="E45" s="626">
        <f>'RBS - Assets'!F18</f>
        <v>0</v>
      </c>
      <c r="F45" s="80"/>
      <c r="G45" s="667">
        <v>0</v>
      </c>
      <c r="H45" s="80"/>
      <c r="I45" s="626">
        <f>ABS($E45-$G45)</f>
        <v>0</v>
      </c>
      <c r="J45" s="80"/>
      <c r="K45" s="150"/>
      <c r="L45" s="643">
        <v>0.12</v>
      </c>
      <c r="M45" s="80"/>
      <c r="N45" s="626">
        <f>$I45*L45</f>
        <v>0</v>
      </c>
      <c r="O45" s="81"/>
      <c r="P45" s="53"/>
      <c r="Q45" s="53"/>
      <c r="R45" s="53"/>
      <c r="S45" s="158"/>
      <c r="T45" s="53"/>
    </row>
    <row r="46" spans="1:20" ht="6" customHeight="1" thickBot="1" x14ac:dyDescent="0.3">
      <c r="A46" s="53"/>
      <c r="B46" s="110"/>
      <c r="C46" s="93"/>
      <c r="D46" s="159"/>
      <c r="E46" s="134"/>
      <c r="F46" s="93"/>
      <c r="G46" s="93"/>
      <c r="H46" s="93"/>
      <c r="I46" s="93"/>
      <c r="J46" s="93"/>
      <c r="K46" s="159"/>
      <c r="L46" s="93"/>
      <c r="M46" s="93"/>
      <c r="N46" s="93"/>
      <c r="O46" s="94"/>
      <c r="P46" s="53"/>
      <c r="Q46" s="53"/>
      <c r="R46" s="53"/>
      <c r="S46" s="211"/>
      <c r="T46" s="53"/>
    </row>
    <row r="47" spans="1:20" ht="15.75" x14ac:dyDescent="0.25">
      <c r="A47" s="53"/>
      <c r="B47" s="53"/>
      <c r="C47" s="53"/>
      <c r="D47" s="53"/>
      <c r="E47" s="109"/>
      <c r="F47" s="53"/>
      <c r="G47" s="53"/>
      <c r="H47" s="53"/>
      <c r="I47" s="53"/>
      <c r="J47" s="53"/>
      <c r="K47" s="53"/>
      <c r="L47" s="53"/>
      <c r="M47" s="53"/>
      <c r="N47" s="53"/>
      <c r="O47" s="53"/>
      <c r="P47" s="53"/>
      <c r="Q47" s="53"/>
      <c r="R47" s="53"/>
      <c r="S47" s="282"/>
      <c r="T47" s="53"/>
    </row>
    <row r="48" spans="1:20" ht="6" customHeight="1" thickBot="1" x14ac:dyDescent="0.3">
      <c r="A48" s="53"/>
      <c r="B48" s="53"/>
      <c r="C48" s="53"/>
      <c r="D48" s="53"/>
      <c r="E48" s="109"/>
      <c r="F48" s="53"/>
      <c r="G48" s="53"/>
      <c r="H48" s="53"/>
      <c r="I48" s="53"/>
      <c r="J48" s="53"/>
      <c r="K48" s="53"/>
      <c r="L48" s="53"/>
      <c r="M48" s="53"/>
      <c r="N48" s="53"/>
      <c r="O48" s="53"/>
      <c r="P48" s="53"/>
      <c r="Q48" s="53"/>
      <c r="R48" s="53"/>
      <c r="S48" s="282"/>
      <c r="T48" s="53"/>
    </row>
    <row r="49" spans="1:20" ht="16.5" thickBot="1" x14ac:dyDescent="0.3">
      <c r="A49" s="53"/>
      <c r="B49" s="163" t="s">
        <v>541</v>
      </c>
      <c r="C49" s="194"/>
      <c r="D49" s="165"/>
      <c r="E49" s="165" t="s">
        <v>164</v>
      </c>
      <c r="F49" s="288"/>
      <c r="G49" s="53"/>
      <c r="H49" s="53"/>
      <c r="I49" s="53"/>
      <c r="J49" s="53"/>
      <c r="K49" s="53"/>
      <c r="L49" s="53"/>
      <c r="M49" s="53"/>
      <c r="N49" s="53"/>
      <c r="O49" s="53"/>
      <c r="P49" s="158"/>
      <c r="Q49" s="53"/>
      <c r="R49" s="53"/>
      <c r="S49" s="282"/>
      <c r="T49" s="53"/>
    </row>
    <row r="50" spans="1:20" ht="6" customHeight="1" x14ac:dyDescent="0.25">
      <c r="A50" s="53"/>
      <c r="B50" s="106"/>
      <c r="C50" s="80"/>
      <c r="D50" s="150"/>
      <c r="E50" s="85"/>
      <c r="F50" s="81"/>
      <c r="G50" s="53"/>
      <c r="H50" s="53"/>
      <c r="I50" s="53"/>
      <c r="J50" s="53"/>
      <c r="K50" s="53"/>
      <c r="L50" s="53"/>
      <c r="M50" s="53"/>
      <c r="N50" s="53"/>
      <c r="O50" s="53"/>
      <c r="P50" s="158"/>
      <c r="Q50" s="53"/>
      <c r="R50" s="53"/>
      <c r="S50" s="282"/>
      <c r="T50" s="53"/>
    </row>
    <row r="51" spans="1:20" ht="15.75" x14ac:dyDescent="0.25">
      <c r="A51" s="53"/>
      <c r="B51" s="106" t="s">
        <v>412</v>
      </c>
      <c r="C51" s="279"/>
      <c r="D51" s="150"/>
      <c r="E51" s="666">
        <f>'Market Risk Inputs'!Q22</f>
        <v>0</v>
      </c>
      <c r="F51" s="81"/>
      <c r="G51" s="53"/>
      <c r="H51" s="53"/>
      <c r="I51" s="53"/>
      <c r="J51" s="53"/>
      <c r="K51" s="53"/>
      <c r="L51" s="53"/>
      <c r="M51" s="53"/>
      <c r="N51" s="53"/>
      <c r="O51" s="53"/>
      <c r="P51" s="53"/>
      <c r="Q51" s="53"/>
      <c r="R51" s="53"/>
      <c r="S51" s="158"/>
      <c r="T51" s="53"/>
    </row>
    <row r="52" spans="1:20" ht="6" customHeight="1" thickBot="1" x14ac:dyDescent="0.3">
      <c r="A52" s="53"/>
      <c r="B52" s="110"/>
      <c r="C52" s="93"/>
      <c r="D52" s="159"/>
      <c r="E52" s="134"/>
      <c r="F52" s="94"/>
      <c r="G52" s="53"/>
      <c r="H52" s="53"/>
      <c r="I52" s="53"/>
      <c r="J52" s="53"/>
      <c r="K52" s="53"/>
      <c r="L52" s="53"/>
      <c r="M52" s="53"/>
      <c r="N52" s="53"/>
      <c r="O52" s="53"/>
      <c r="P52" s="158"/>
      <c r="Q52" s="53"/>
      <c r="R52" s="53"/>
      <c r="S52" s="282"/>
      <c r="T52" s="53"/>
    </row>
    <row r="53" spans="1:20" ht="15.75" x14ac:dyDescent="0.25">
      <c r="A53" s="53"/>
      <c r="B53" s="53"/>
      <c r="C53" s="53"/>
      <c r="D53" s="53"/>
      <c r="E53" s="109"/>
      <c r="F53" s="53"/>
      <c r="G53" s="53"/>
      <c r="H53" s="53"/>
      <c r="I53" s="53"/>
      <c r="J53" s="53"/>
      <c r="K53" s="53"/>
      <c r="L53" s="53"/>
      <c r="M53" s="53"/>
      <c r="N53" s="53"/>
      <c r="O53" s="53"/>
      <c r="P53" s="158"/>
      <c r="Q53" s="53"/>
      <c r="R53" s="53"/>
      <c r="S53" s="282"/>
      <c r="T53" s="53"/>
    </row>
    <row r="54" spans="1:20" ht="6" customHeight="1" thickBot="1" x14ac:dyDescent="0.3">
      <c r="A54" s="53"/>
      <c r="B54" s="53"/>
      <c r="C54" s="53"/>
      <c r="D54" s="53"/>
      <c r="E54" s="109"/>
      <c r="F54" s="53"/>
      <c r="G54" s="53"/>
      <c r="H54" s="53"/>
      <c r="I54" s="53"/>
      <c r="J54" s="53"/>
      <c r="K54" s="53"/>
      <c r="L54" s="53"/>
      <c r="M54" s="53"/>
      <c r="N54" s="53"/>
      <c r="O54" s="53"/>
      <c r="P54" s="158"/>
      <c r="Q54" s="53"/>
      <c r="R54" s="53"/>
      <c r="S54" s="282"/>
      <c r="T54" s="53"/>
    </row>
    <row r="55" spans="1:20" ht="15.75" x14ac:dyDescent="0.25">
      <c r="A55" s="53"/>
      <c r="B55" s="353" t="s">
        <v>48</v>
      </c>
      <c r="C55" s="362"/>
      <c r="D55" s="289"/>
      <c r="E55" s="290" t="s">
        <v>164</v>
      </c>
      <c r="F55" s="138"/>
      <c r="G55" s="53"/>
      <c r="H55" s="60"/>
      <c r="I55" s="60"/>
      <c r="J55" s="60"/>
      <c r="K55" s="60"/>
      <c r="L55" s="60"/>
      <c r="M55" s="60"/>
      <c r="N55" s="60"/>
      <c r="O55" s="60"/>
      <c r="P55" s="185"/>
      <c r="Q55" s="53"/>
      <c r="R55" s="53"/>
      <c r="S55" s="282"/>
      <c r="T55" s="53"/>
    </row>
    <row r="56" spans="1:20" ht="6" customHeight="1" x14ac:dyDescent="0.25">
      <c r="A56" s="53"/>
      <c r="B56" s="106"/>
      <c r="C56" s="80"/>
      <c r="D56" s="150"/>
      <c r="E56" s="85"/>
      <c r="F56" s="81"/>
      <c r="G56" s="53"/>
      <c r="H56" s="53"/>
      <c r="I56" s="53"/>
      <c r="J56" s="53"/>
      <c r="K56" s="53"/>
      <c r="L56" s="53"/>
      <c r="M56" s="53"/>
      <c r="N56" s="53"/>
      <c r="O56" s="53"/>
      <c r="P56" s="158"/>
      <c r="Q56" s="53"/>
      <c r="R56" s="53"/>
      <c r="S56" s="282"/>
      <c r="T56" s="53"/>
    </row>
    <row r="57" spans="1:20" ht="15.75" x14ac:dyDescent="0.25">
      <c r="A57" s="53"/>
      <c r="B57" s="106" t="s">
        <v>530</v>
      </c>
      <c r="C57" s="280"/>
      <c r="D57" s="150"/>
      <c r="E57" s="666">
        <f>-'Spread Risk'!I36</f>
        <v>0</v>
      </c>
      <c r="F57" s="81"/>
      <c r="G57" s="53"/>
      <c r="H57" s="53"/>
      <c r="I57" s="53"/>
      <c r="J57" s="53"/>
      <c r="K57" s="53"/>
      <c r="L57" s="53"/>
      <c r="M57" s="53"/>
      <c r="N57" s="53"/>
      <c r="O57" s="53"/>
      <c r="P57" s="53"/>
      <c r="Q57" s="53"/>
      <c r="R57" s="53"/>
      <c r="S57" s="158"/>
      <c r="T57" s="53"/>
    </row>
    <row r="58" spans="1:20" ht="6" customHeight="1" thickBot="1" x14ac:dyDescent="0.3">
      <c r="A58" s="53"/>
      <c r="B58" s="110"/>
      <c r="C58" s="93"/>
      <c r="D58" s="159"/>
      <c r="E58" s="134"/>
      <c r="F58" s="94"/>
      <c r="G58" s="53"/>
      <c r="H58" s="53"/>
      <c r="I58" s="53"/>
      <c r="J58" s="53"/>
      <c r="K58" s="53"/>
      <c r="L58" s="53"/>
      <c r="M58" s="53"/>
      <c r="N58" s="53"/>
      <c r="O58" s="53"/>
      <c r="P58" s="158"/>
      <c r="Q58" s="53"/>
      <c r="R58" s="53"/>
      <c r="S58" s="211"/>
      <c r="T58" s="53"/>
    </row>
    <row r="59" spans="1:20" ht="15.75" x14ac:dyDescent="0.25">
      <c r="A59" s="53"/>
      <c r="B59" s="53"/>
      <c r="C59" s="53"/>
      <c r="D59" s="53"/>
      <c r="E59" s="109"/>
      <c r="F59" s="53"/>
      <c r="G59" s="53"/>
      <c r="H59" s="53"/>
      <c r="I59" s="53"/>
      <c r="J59" s="53"/>
      <c r="K59" s="53"/>
      <c r="L59" s="53"/>
      <c r="M59" s="53"/>
      <c r="N59" s="53"/>
      <c r="O59" s="53"/>
      <c r="P59" s="53"/>
      <c r="Q59" s="53"/>
      <c r="R59" s="53"/>
      <c r="S59" s="282"/>
      <c r="T59" s="53"/>
    </row>
    <row r="60" spans="1:20" ht="6" customHeight="1" thickBot="1" x14ac:dyDescent="0.3">
      <c r="A60" s="53"/>
      <c r="B60" s="53"/>
      <c r="C60" s="53"/>
      <c r="D60" s="53"/>
      <c r="E60" s="109"/>
      <c r="F60" s="53"/>
      <c r="G60" s="53"/>
      <c r="H60" s="53"/>
      <c r="I60" s="53"/>
      <c r="J60" s="53"/>
      <c r="K60" s="53"/>
      <c r="L60" s="53"/>
      <c r="M60" s="53"/>
      <c r="N60" s="53"/>
      <c r="O60" s="53"/>
      <c r="P60" s="53"/>
      <c r="Q60" s="53"/>
      <c r="R60" s="53"/>
      <c r="S60" s="282"/>
      <c r="T60" s="53"/>
    </row>
    <row r="61" spans="1:20" ht="16.5" thickBot="1" x14ac:dyDescent="0.3">
      <c r="A61" s="53"/>
      <c r="B61" s="276" t="s">
        <v>413</v>
      </c>
      <c r="C61" s="277"/>
      <c r="D61" s="278"/>
      <c r="E61" s="239" t="s">
        <v>164</v>
      </c>
      <c r="F61" s="166"/>
      <c r="G61" s="53"/>
      <c r="H61" s="53"/>
      <c r="I61" s="53"/>
      <c r="J61" s="53"/>
      <c r="K61" s="53"/>
      <c r="L61" s="53"/>
      <c r="M61" s="53"/>
      <c r="N61" s="53"/>
      <c r="O61" s="53"/>
      <c r="P61" s="53"/>
      <c r="Q61" s="53"/>
      <c r="R61" s="53"/>
      <c r="S61" s="282"/>
      <c r="T61" s="53"/>
    </row>
    <row r="62" spans="1:20" ht="6" customHeight="1" x14ac:dyDescent="0.25">
      <c r="A62" s="53"/>
      <c r="B62" s="106"/>
      <c r="C62" s="80"/>
      <c r="D62" s="150"/>
      <c r="E62" s="85"/>
      <c r="F62" s="81"/>
      <c r="G62" s="53"/>
      <c r="H62" s="53"/>
      <c r="I62" s="53"/>
      <c r="J62" s="53"/>
      <c r="K62" s="53"/>
      <c r="L62" s="53"/>
      <c r="M62" s="53"/>
      <c r="N62" s="53"/>
      <c r="O62" s="53"/>
      <c r="P62" s="53"/>
      <c r="Q62" s="53"/>
      <c r="R62" s="53"/>
      <c r="S62" s="282"/>
      <c r="T62" s="53"/>
    </row>
    <row r="63" spans="1:20" ht="15.75" x14ac:dyDescent="0.25">
      <c r="A63" s="53"/>
      <c r="B63" s="106" t="s">
        <v>531</v>
      </c>
      <c r="C63" s="280"/>
      <c r="D63" s="150"/>
      <c r="E63" s="666">
        <f>'Market Risk Inputs'!D32</f>
        <v>0</v>
      </c>
      <c r="F63" s="81"/>
      <c r="G63" s="53"/>
      <c r="H63" s="53"/>
      <c r="I63" s="53"/>
      <c r="J63" s="53"/>
      <c r="K63" s="53"/>
      <c r="L63" s="53"/>
      <c r="M63" s="53"/>
      <c r="N63" s="53"/>
      <c r="O63" s="53"/>
      <c r="P63" s="53"/>
      <c r="Q63" s="53"/>
      <c r="R63" s="53"/>
      <c r="S63" s="158"/>
      <c r="T63" s="53"/>
    </row>
    <row r="64" spans="1:20" ht="6" customHeight="1" thickBot="1" x14ac:dyDescent="0.3">
      <c r="A64" s="53"/>
      <c r="B64" s="110"/>
      <c r="C64" s="93"/>
      <c r="D64" s="159"/>
      <c r="E64" s="93"/>
      <c r="F64" s="94"/>
      <c r="G64" s="53"/>
      <c r="H64" s="53"/>
      <c r="I64" s="53"/>
      <c r="J64" s="53"/>
      <c r="K64" s="53"/>
      <c r="L64" s="53"/>
      <c r="M64" s="53"/>
      <c r="N64" s="53"/>
      <c r="O64" s="53"/>
      <c r="P64" s="53"/>
      <c r="Q64" s="53"/>
      <c r="R64" s="53"/>
      <c r="S64" s="282"/>
      <c r="T64" s="53"/>
    </row>
    <row r="65" spans="1:20" ht="15.75" x14ac:dyDescent="0.25">
      <c r="A65" s="53"/>
      <c r="B65" s="53"/>
      <c r="C65" s="53"/>
      <c r="D65" s="53"/>
      <c r="E65" s="53"/>
      <c r="F65" s="53"/>
      <c r="G65" s="53"/>
      <c r="H65" s="53"/>
      <c r="I65" s="53"/>
      <c r="J65" s="53"/>
      <c r="K65" s="53"/>
      <c r="L65" s="53"/>
      <c r="M65" s="53"/>
      <c r="N65" s="53"/>
      <c r="O65" s="53"/>
      <c r="P65" s="53"/>
      <c r="Q65" s="53"/>
      <c r="R65" s="53"/>
      <c r="S65" s="282"/>
      <c r="T65" s="53"/>
    </row>
  </sheetData>
  <sheetProtection algorithmName="SHA-512" hashValue="dHlIhT1vlomFiaPO0U0H1SFoHFskqaGAKUc1gwkOcSj5f6X3++ganf6/R2GRFy5toFNTaFLgOpXR8FZY950OZw==" saltValue="GzfwYBRth7rkNZ2GdJaZCw==" spinCount="100000" sheet="1" objects="1" scenarios="1"/>
  <customSheetViews>
    <customSheetView guid="{5F9ED89D-ECFA-4459-A055-6360C65F3370}" scale="86" fitToPage="1" hiddenRows="1" hiddenColumns="1" topLeftCell="A19">
      <selection activeCell="E18" sqref="E18"/>
      <pageMargins left="0" right="0" top="0" bottom="0" header="0" footer="0"/>
      <pageSetup paperSize="9" scale="74" orientation="portrait" r:id="rId1"/>
      <headerFooter>
        <oddFooter>&amp;CDRAFT - FOR DISCUSSION PURPOSES ONLY</oddFooter>
      </headerFooter>
    </customSheetView>
  </customSheetViews>
  <mergeCells count="21">
    <mergeCell ref="H42:H43"/>
    <mergeCell ref="I42:I43"/>
    <mergeCell ref="J42:J43"/>
    <mergeCell ref="K42:K43"/>
    <mergeCell ref="O42:O43"/>
    <mergeCell ref="I31:I32"/>
    <mergeCell ref="J31:J32"/>
    <mergeCell ref="K31:K32"/>
    <mergeCell ref="L31:N31"/>
    <mergeCell ref="O31:O32"/>
    <mergeCell ref="B42:B43"/>
    <mergeCell ref="D42:D43"/>
    <mergeCell ref="E42:E43"/>
    <mergeCell ref="F42:F43"/>
    <mergeCell ref="G42:G43"/>
    <mergeCell ref="H31:H32"/>
    <mergeCell ref="B31:B32"/>
    <mergeCell ref="D31:D32"/>
    <mergeCell ref="E31:E32"/>
    <mergeCell ref="F31:F32"/>
    <mergeCell ref="G31:G32"/>
  </mergeCells>
  <conditionalFormatting sqref="P49:P50 P52:P56 P58">
    <cfRule type="cellIs" dxfId="511" priority="14" operator="equal">
      <formula>"OK"</formula>
    </cfRule>
    <cfRule type="cellIs" dxfId="510" priority="15" operator="equal">
      <formula>"ERROR"</formula>
    </cfRule>
  </conditionalFormatting>
  <conditionalFormatting sqref="S1:S57">
    <cfRule type="cellIs" dxfId="509" priority="8" operator="equal">
      <formula>"OK"</formula>
    </cfRule>
    <cfRule type="cellIs" dxfId="508" priority="9" operator="equal">
      <formula>"ERROR"</formula>
    </cfRule>
  </conditionalFormatting>
  <conditionalFormatting sqref="S7:S18">
    <cfRule type="cellIs" dxfId="507" priority="7" operator="equal">
      <formula>"ZERO"</formula>
    </cfRule>
  </conditionalFormatting>
  <conditionalFormatting sqref="S27 P49:P50 S51 P52:P56 S57 P58">
    <cfRule type="cellIs" dxfId="506" priority="13" operator="equal">
      <formula>"ZERO"</formula>
    </cfRule>
  </conditionalFormatting>
  <conditionalFormatting sqref="S38">
    <cfRule type="cellIs" dxfId="505" priority="10" operator="equal">
      <formula>"ZERO"</formula>
    </cfRule>
  </conditionalFormatting>
  <conditionalFormatting sqref="S59:S65">
    <cfRule type="cellIs" dxfId="504" priority="2" operator="equal">
      <formula>"OK"</formula>
    </cfRule>
    <cfRule type="cellIs" dxfId="503" priority="3" operator="equal">
      <formula>"ERROR"</formula>
    </cfRule>
  </conditionalFormatting>
  <conditionalFormatting sqref="S63">
    <cfRule type="cellIs" dxfId="502" priority="1" operator="equal">
      <formula>"ZERO"</formula>
    </cfRule>
  </conditionalFormatting>
  <dataValidations count="1">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 E22 E33 I33 N33 N43 E49 E55 E61" xr:uid="{00000000-0002-0000-1700-000000000000}"/>
  </dataValidations>
  <hyperlinks>
    <hyperlink ref="B7" location="Interest" display="Marketinterest" xr:uid="{00000000-0004-0000-1700-000000000000}"/>
    <hyperlink ref="B8" location="Equity" display="Marketequity" xr:uid="{00000000-0004-0000-1700-000001000000}"/>
    <hyperlink ref="B9" location="Property" display="Marketproperty" xr:uid="{00000000-0004-0000-1700-000002000000}"/>
    <hyperlink ref="B10" location="Currency" display="Marketfx" xr:uid="{00000000-0004-0000-1700-000003000000}"/>
    <hyperlink ref="B11" location="Spread" display="Marketspread" xr:uid="{00000000-0004-0000-1700-000004000000}"/>
    <hyperlink ref="B12" location="Concentration" display="Marketconc" xr:uid="{00000000-0004-0000-1700-000005000000}"/>
  </hyperlinks>
  <pageMargins left="0.70866141732283472" right="0.70866141732283472" top="0.74803149606299213" bottom="0.74803149606299213" header="0.31496062992125984" footer="0.31496062992125984"/>
  <pageSetup paperSize="9" scale="74" orientation="portrait" r:id="rId2"/>
  <headerFooter>
    <oddFooter>&amp;CDRAFT - FOR DISCUSSION PURPOSES ONLY</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1">
    <tabColor rgb="FF00B050"/>
    <pageSetUpPr fitToPage="1"/>
  </sheetPr>
  <dimension ref="A1:S108"/>
  <sheetViews>
    <sheetView workbookViewId="0"/>
  </sheetViews>
  <sheetFormatPr defaultColWidth="0" defaultRowHeight="14.25" zeroHeight="1" x14ac:dyDescent="0.2"/>
  <cols>
    <col min="1" max="1" width="1.875" customWidth="1"/>
    <col min="2" max="2" width="45.625" customWidth="1"/>
    <col min="3" max="4" width="1.875" customWidth="1"/>
    <col min="5" max="5" width="18.375" customWidth="1"/>
    <col min="6" max="6" width="1.875" customWidth="1"/>
    <col min="7" max="7" width="9.625" bestFit="1" customWidth="1"/>
    <col min="8" max="8" width="1.625" customWidth="1"/>
    <col min="9" max="9" width="9" bestFit="1" customWidth="1"/>
    <col min="10" max="10" width="1.875" customWidth="1"/>
    <col min="11" max="11" width="13" customWidth="1"/>
    <col min="12" max="12" width="2" customWidth="1"/>
    <col min="13" max="13" width="9" customWidth="1"/>
    <col min="14" max="14" width="2" customWidth="1"/>
    <col min="15" max="15" width="13.875" customWidth="1"/>
    <col min="16" max="17" width="1.875" customWidth="1"/>
    <col min="18" max="18" width="9" customWidth="1"/>
    <col min="19" max="19" width="1.875" customWidth="1"/>
  </cols>
  <sheetData>
    <row r="1" spans="1:19" ht="15.75" x14ac:dyDescent="0.25">
      <c r="A1" s="59">
        <v>1</v>
      </c>
      <c r="B1" s="59"/>
      <c r="C1" s="60"/>
      <c r="D1" s="60"/>
      <c r="E1" s="60"/>
      <c r="F1" s="60"/>
      <c r="G1" s="59"/>
      <c r="H1" s="59"/>
      <c r="I1" s="185"/>
      <c r="J1" s="59"/>
      <c r="K1" s="60"/>
      <c r="L1" s="60"/>
      <c r="M1" s="60"/>
      <c r="N1" s="60"/>
      <c r="O1" s="60"/>
      <c r="P1" s="60"/>
      <c r="Q1" s="60"/>
      <c r="R1" s="60"/>
      <c r="S1" s="60"/>
    </row>
    <row r="2" spans="1:19" ht="29.25" customHeight="1" x14ac:dyDescent="0.25">
      <c r="A2" s="60"/>
      <c r="B2" s="60"/>
      <c r="C2" s="60"/>
      <c r="D2" s="60"/>
      <c r="E2" s="52" t="s">
        <v>66</v>
      </c>
      <c r="F2" s="60"/>
      <c r="G2" s="60"/>
      <c r="H2" s="60"/>
      <c r="I2" s="60"/>
      <c r="J2" s="60"/>
      <c r="K2" s="60"/>
      <c r="L2" s="60"/>
      <c r="M2" s="60"/>
      <c r="N2" s="60"/>
      <c r="O2" s="60"/>
      <c r="P2" s="60"/>
      <c r="Q2" s="60"/>
      <c r="R2" s="61"/>
      <c r="S2" s="60"/>
    </row>
    <row r="3" spans="1:19" ht="15.75" x14ac:dyDescent="0.25">
      <c r="A3" s="53"/>
      <c r="B3" s="53"/>
      <c r="C3" s="53"/>
      <c r="D3" s="53"/>
      <c r="E3" s="53"/>
      <c r="F3" s="53"/>
      <c r="G3" s="53"/>
      <c r="H3" s="53"/>
      <c r="I3" s="158"/>
      <c r="J3" s="53"/>
      <c r="K3" s="53"/>
      <c r="L3" s="53"/>
      <c r="M3" s="53"/>
      <c r="N3" s="53"/>
      <c r="O3" s="53"/>
      <c r="P3" s="53"/>
      <c r="Q3" s="53"/>
      <c r="R3" s="53"/>
      <c r="S3" s="53"/>
    </row>
    <row r="4" spans="1:19" ht="16.5" thickBot="1" x14ac:dyDescent="0.3">
      <c r="A4" s="53"/>
      <c r="B4" s="53"/>
      <c r="C4" s="53"/>
      <c r="D4" s="53"/>
      <c r="E4" s="53"/>
      <c r="F4" s="53"/>
      <c r="G4" s="53"/>
      <c r="H4" s="53"/>
      <c r="I4" s="334" t="str">
        <f>IF(COUNTIF(I17,"Incomplete")&gt;0,"Incomplete","Complete")</f>
        <v>Complete</v>
      </c>
      <c r="J4" s="53"/>
      <c r="K4" s="53"/>
      <c r="L4" s="53"/>
      <c r="M4" s="53"/>
      <c r="N4" s="53"/>
      <c r="O4" s="53"/>
      <c r="P4" s="53"/>
      <c r="Q4" s="53"/>
      <c r="R4" s="53"/>
      <c r="S4" s="53"/>
    </row>
    <row r="5" spans="1:19" ht="14.25" customHeight="1" x14ac:dyDescent="0.25">
      <c r="A5" s="53"/>
      <c r="B5" s="353" t="s">
        <v>542</v>
      </c>
      <c r="C5" s="135"/>
      <c r="D5" s="289"/>
      <c r="E5" s="290" t="s">
        <v>164</v>
      </c>
      <c r="F5" s="138"/>
      <c r="G5" s="60"/>
      <c r="H5" s="60"/>
      <c r="I5" s="158"/>
      <c r="J5" s="60"/>
      <c r="K5" s="53"/>
      <c r="L5" s="53"/>
      <c r="M5" s="53"/>
      <c r="N5" s="53"/>
      <c r="O5" s="53"/>
      <c r="P5" s="53"/>
      <c r="Q5" s="53"/>
      <c r="R5" s="53"/>
      <c r="S5" s="53"/>
    </row>
    <row r="6" spans="1:19" ht="6" customHeight="1" x14ac:dyDescent="0.25">
      <c r="A6" s="53"/>
      <c r="B6" s="106"/>
      <c r="C6" s="80"/>
      <c r="D6" s="150"/>
      <c r="E6" s="80"/>
      <c r="F6" s="81"/>
      <c r="G6" s="53"/>
      <c r="H6" s="53"/>
      <c r="I6" s="158"/>
      <c r="J6" s="53"/>
      <c r="K6" s="53"/>
      <c r="L6" s="53"/>
      <c r="M6" s="53"/>
      <c r="N6" s="53"/>
      <c r="O6" s="53"/>
      <c r="P6" s="53"/>
      <c r="Q6" s="53"/>
      <c r="R6" s="53"/>
      <c r="S6" s="53"/>
    </row>
    <row r="7" spans="1:19" ht="15.75" x14ac:dyDescent="0.25">
      <c r="A7" s="53"/>
      <c r="B7" s="106" t="s">
        <v>543</v>
      </c>
      <c r="C7" s="279"/>
      <c r="D7" s="150"/>
      <c r="E7" s="626">
        <f>NL_PR_10</f>
        <v>0</v>
      </c>
      <c r="F7" s="81"/>
      <c r="G7" s="291"/>
      <c r="H7" s="291"/>
      <c r="I7" s="53"/>
      <c r="J7" s="292"/>
      <c r="K7" s="53"/>
      <c r="L7" s="53"/>
      <c r="M7" s="66"/>
      <c r="N7" s="53"/>
      <c r="O7" s="53"/>
      <c r="P7" s="53"/>
      <c r="Q7" s="53"/>
      <c r="R7" s="158"/>
      <c r="S7" s="53"/>
    </row>
    <row r="8" spans="1:19" ht="15.75" x14ac:dyDescent="0.25">
      <c r="A8" s="53"/>
      <c r="B8" s="106" t="s">
        <v>507</v>
      </c>
      <c r="C8" s="755"/>
      <c r="D8" s="150"/>
      <c r="E8" s="626">
        <f>NL_Lapse_10</f>
        <v>0</v>
      </c>
      <c r="F8" s="81"/>
      <c r="G8" s="292"/>
      <c r="H8" s="292"/>
      <c r="I8" s="53"/>
      <c r="J8" s="292"/>
      <c r="K8" s="53"/>
      <c r="L8" s="53"/>
      <c r="M8" s="66"/>
      <c r="N8" s="53"/>
      <c r="O8" s="53"/>
      <c r="P8" s="53"/>
      <c r="Q8" s="53"/>
      <c r="R8" s="158"/>
      <c r="S8" s="53"/>
    </row>
    <row r="9" spans="1:19" ht="15.75" hidden="1" x14ac:dyDescent="0.25">
      <c r="A9" s="53"/>
      <c r="B9" s="293"/>
      <c r="C9" s="279"/>
      <c r="D9" s="150"/>
      <c r="E9" s="668">
        <f>NL_CAT_10</f>
        <v>0</v>
      </c>
      <c r="F9" s="81"/>
      <c r="G9" s="292"/>
      <c r="H9" s="292"/>
      <c r="I9" s="53"/>
      <c r="J9" s="292"/>
      <c r="K9" s="53"/>
      <c r="L9" s="53"/>
      <c r="M9" s="66"/>
      <c r="N9" s="53"/>
      <c r="O9" s="53"/>
      <c r="P9" s="53"/>
      <c r="Q9" s="53"/>
      <c r="R9" s="158"/>
      <c r="S9" s="53"/>
    </row>
    <row r="10" spans="1:19" ht="10.5" customHeight="1" x14ac:dyDescent="0.25">
      <c r="A10" s="53"/>
      <c r="B10" s="106"/>
      <c r="C10" s="80"/>
      <c r="D10" s="150"/>
      <c r="E10" s="201"/>
      <c r="F10" s="81"/>
      <c r="G10" s="292"/>
      <c r="H10" s="292"/>
      <c r="I10" s="53"/>
      <c r="J10" s="292"/>
      <c r="K10" s="53"/>
      <c r="L10" s="53"/>
      <c r="M10" s="53"/>
      <c r="N10" s="53"/>
      <c r="O10" s="53"/>
      <c r="P10" s="53"/>
      <c r="Q10" s="53"/>
      <c r="R10" s="158"/>
      <c r="S10" s="53"/>
    </row>
    <row r="11" spans="1:19" ht="15.75" x14ac:dyDescent="0.25">
      <c r="A11" s="53"/>
      <c r="B11" s="106" t="s">
        <v>544</v>
      </c>
      <c r="C11" s="80"/>
      <c r="D11" s="150"/>
      <c r="E11" s="626">
        <f>SUM(E7:E9)</f>
        <v>0</v>
      </c>
      <c r="F11" s="81"/>
      <c r="G11" s="292"/>
      <c r="H11" s="292"/>
      <c r="I11" s="53"/>
      <c r="J11" s="292"/>
      <c r="K11" s="53"/>
      <c r="L11" s="53"/>
      <c r="M11" s="66"/>
      <c r="N11" s="53"/>
      <c r="O11" s="53"/>
      <c r="P11" s="53"/>
      <c r="Q11" s="53"/>
      <c r="R11" s="158"/>
      <c r="S11" s="53"/>
    </row>
    <row r="12" spans="1:19" ht="6" customHeight="1" x14ac:dyDescent="0.25">
      <c r="A12" s="53"/>
      <c r="B12" s="106"/>
      <c r="C12" s="80"/>
      <c r="D12" s="150"/>
      <c r="E12" s="201"/>
      <c r="F12" s="81"/>
      <c r="G12" s="292"/>
      <c r="H12" s="292"/>
      <c r="I12" s="53"/>
      <c r="J12" s="292"/>
      <c r="K12" s="53"/>
      <c r="L12" s="53"/>
      <c r="M12" s="53"/>
      <c r="N12" s="53"/>
      <c r="O12" s="53"/>
      <c r="P12" s="53"/>
      <c r="Q12" s="53"/>
      <c r="R12" s="158"/>
      <c r="S12" s="53"/>
    </row>
    <row r="13" spans="1:19" ht="15.75" x14ac:dyDescent="0.25">
      <c r="A13" s="53"/>
      <c r="B13" s="106" t="s">
        <v>545</v>
      </c>
      <c r="C13" s="80"/>
      <c r="D13" s="150"/>
      <c r="E13" s="626">
        <f>E15-E11</f>
        <v>0</v>
      </c>
      <c r="F13" s="81"/>
      <c r="G13" s="292"/>
      <c r="H13" s="292"/>
      <c r="I13" s="53"/>
      <c r="J13" s="292"/>
      <c r="K13" s="53"/>
      <c r="L13" s="53"/>
      <c r="M13" s="66"/>
      <c r="N13" s="53"/>
      <c r="O13" s="53"/>
      <c r="P13" s="53"/>
      <c r="Q13" s="53"/>
      <c r="R13" s="158"/>
      <c r="S13" s="53"/>
    </row>
    <row r="14" spans="1:19" ht="6" customHeight="1" x14ac:dyDescent="0.25">
      <c r="A14" s="53"/>
      <c r="B14" s="106"/>
      <c r="C14" s="80"/>
      <c r="D14" s="150"/>
      <c r="E14" s="201"/>
      <c r="F14" s="81"/>
      <c r="G14" s="292"/>
      <c r="H14" s="292"/>
      <c r="I14" s="53"/>
      <c r="J14" s="292"/>
      <c r="K14" s="53"/>
      <c r="L14" s="53"/>
      <c r="M14" s="53"/>
      <c r="N14" s="53"/>
      <c r="O14" s="53"/>
      <c r="P14" s="53"/>
      <c r="Q14" s="53"/>
      <c r="R14" s="158"/>
      <c r="S14" s="53"/>
    </row>
    <row r="15" spans="1:19" ht="15.75" x14ac:dyDescent="0.25">
      <c r="A15" s="53"/>
      <c r="B15" s="106" t="s">
        <v>546</v>
      </c>
      <c r="C15" s="755"/>
      <c r="D15" s="150"/>
      <c r="E15" s="626">
        <f t="array" ref="E15">SQRT(MMULT(MMULT(TRANSPOSE(E7:E9),NLCorr_10),E7:E9))</f>
        <v>0</v>
      </c>
      <c r="F15" s="81"/>
      <c r="G15" s="292"/>
      <c r="H15" s="292"/>
      <c r="I15" s="53"/>
      <c r="J15" s="292"/>
      <c r="K15" s="53"/>
      <c r="L15" s="53"/>
      <c r="M15" s="66"/>
      <c r="N15" s="53"/>
      <c r="O15" s="53"/>
      <c r="P15" s="53"/>
      <c r="Q15" s="53"/>
      <c r="R15" s="158"/>
      <c r="S15" s="53"/>
    </row>
    <row r="16" spans="1:19" ht="6" customHeight="1" x14ac:dyDescent="0.25">
      <c r="A16" s="53"/>
      <c r="B16" s="202"/>
      <c r="C16" s="755"/>
      <c r="D16" s="150"/>
      <c r="E16" s="201"/>
      <c r="F16" s="81"/>
      <c r="G16" s="292"/>
      <c r="H16" s="292"/>
      <c r="I16" s="53"/>
      <c r="J16" s="292"/>
      <c r="K16" s="53"/>
      <c r="L16" s="53"/>
      <c r="M16" s="66"/>
      <c r="N16" s="53"/>
      <c r="O16" s="53"/>
      <c r="P16" s="53"/>
      <c r="Q16" s="53"/>
      <c r="R16" s="158"/>
      <c r="S16" s="53"/>
    </row>
    <row r="17" spans="1:19" ht="15.75" x14ac:dyDescent="0.25">
      <c r="A17" s="53"/>
      <c r="B17" s="106" t="s">
        <v>547</v>
      </c>
      <c r="C17" s="755"/>
      <c r="D17" s="150"/>
      <c r="E17" s="624">
        <v>0</v>
      </c>
      <c r="F17" s="81"/>
      <c r="G17" s="292"/>
      <c r="H17" s="292"/>
      <c r="I17" s="334" t="str">
        <f>IF(OR(E17=""),"Incomplete","Complete")</f>
        <v>Complete</v>
      </c>
      <c r="J17" s="292"/>
      <c r="K17" s="53"/>
      <c r="L17" s="53"/>
      <c r="M17" s="66"/>
      <c r="N17" s="53"/>
      <c r="O17" s="53"/>
      <c r="P17" s="53"/>
      <c r="Q17" s="53"/>
      <c r="R17" s="158"/>
      <c r="S17" s="53"/>
    </row>
    <row r="18" spans="1:19" ht="6" customHeight="1" x14ac:dyDescent="0.25">
      <c r="A18" s="53"/>
      <c r="B18" s="202"/>
      <c r="C18" s="755"/>
      <c r="D18" s="150"/>
      <c r="E18" s="201"/>
      <c r="F18" s="81"/>
      <c r="G18" s="292"/>
      <c r="H18" s="292"/>
      <c r="I18" s="53"/>
      <c r="J18" s="292"/>
      <c r="K18" s="53"/>
      <c r="L18" s="53"/>
      <c r="M18" s="66"/>
      <c r="N18" s="53"/>
      <c r="O18" s="53"/>
      <c r="P18" s="53"/>
      <c r="Q18" s="53"/>
      <c r="R18" s="158"/>
      <c r="S18" s="53"/>
    </row>
    <row r="19" spans="1:19" ht="15.75" x14ac:dyDescent="0.25">
      <c r="A19" s="53"/>
      <c r="B19" s="106" t="s">
        <v>548</v>
      </c>
      <c r="C19" s="755"/>
      <c r="D19" s="150"/>
      <c r="E19" s="626">
        <f>IF(E17&lt;&gt;0,MIN(E17,SCR_Non_Life_10),SCR_Non_Life_10)</f>
        <v>0</v>
      </c>
      <c r="F19" s="81"/>
      <c r="G19" s="292"/>
      <c r="H19" s="292"/>
      <c r="I19" s="53"/>
      <c r="J19" s="292"/>
      <c r="K19" s="53"/>
      <c r="L19" s="53"/>
      <c r="M19" s="66"/>
      <c r="N19" s="53"/>
      <c r="O19" s="53"/>
      <c r="P19" s="53"/>
      <c r="Q19" s="53"/>
      <c r="R19" s="158"/>
      <c r="S19" s="53"/>
    </row>
    <row r="20" spans="1:19" ht="6" customHeight="1" thickBot="1" x14ac:dyDescent="0.3">
      <c r="A20" s="53"/>
      <c r="B20" s="110"/>
      <c r="C20" s="93"/>
      <c r="D20" s="159"/>
      <c r="E20" s="134"/>
      <c r="F20" s="94"/>
      <c r="G20" s="53"/>
      <c r="H20" s="53"/>
      <c r="I20" s="53"/>
      <c r="J20" s="53"/>
      <c r="K20" s="53"/>
      <c r="L20" s="53"/>
      <c r="M20" s="53"/>
      <c r="N20" s="53"/>
      <c r="O20" s="53"/>
      <c r="P20" s="53"/>
      <c r="Q20" s="53"/>
      <c r="R20" s="158"/>
      <c r="S20" s="53"/>
    </row>
    <row r="21" spans="1:19" ht="15.75" x14ac:dyDescent="0.25">
      <c r="A21" s="53"/>
      <c r="B21" s="53"/>
      <c r="C21" s="53"/>
      <c r="D21" s="53"/>
      <c r="E21" s="109"/>
      <c r="F21" s="53"/>
      <c r="G21" s="53"/>
      <c r="H21" s="53"/>
      <c r="I21" s="158"/>
      <c r="J21" s="53"/>
      <c r="K21" s="53"/>
      <c r="L21" s="53"/>
      <c r="M21" s="53"/>
      <c r="N21" s="53"/>
      <c r="O21" s="53"/>
      <c r="P21" s="53"/>
      <c r="Q21" s="53"/>
      <c r="R21" s="158"/>
      <c r="S21" s="53"/>
    </row>
    <row r="22" spans="1:19" ht="6" customHeight="1" thickBot="1" x14ac:dyDescent="0.3">
      <c r="A22" s="53"/>
      <c r="B22" s="294"/>
      <c r="C22" s="53"/>
      <c r="D22" s="53"/>
      <c r="E22" s="109"/>
      <c r="F22" s="53"/>
      <c r="G22" s="53"/>
      <c r="H22" s="53"/>
      <c r="I22" s="53"/>
      <c r="J22" s="53"/>
      <c r="K22" s="53"/>
      <c r="L22" s="53"/>
      <c r="M22" s="53"/>
      <c r="N22" s="53"/>
      <c r="O22" s="53"/>
      <c r="P22" s="53"/>
      <c r="Q22" s="53"/>
      <c r="R22" s="158"/>
      <c r="S22" s="53"/>
    </row>
    <row r="23" spans="1:19" ht="14.25" customHeight="1" x14ac:dyDescent="0.25">
      <c r="A23" s="53"/>
      <c r="B23" s="353" t="s">
        <v>52</v>
      </c>
      <c r="C23" s="366"/>
      <c r="D23" s="289"/>
      <c r="E23" s="290" t="s">
        <v>164</v>
      </c>
      <c r="F23" s="138"/>
      <c r="G23" s="60"/>
      <c r="H23" s="60"/>
      <c r="I23" s="53"/>
      <c r="J23" s="60"/>
      <c r="K23" s="53"/>
      <c r="L23" s="60"/>
      <c r="M23" s="60"/>
      <c r="N23" s="60"/>
      <c r="O23" s="60"/>
      <c r="P23" s="53"/>
      <c r="Q23" s="53"/>
      <c r="R23" s="185"/>
      <c r="S23" s="53"/>
    </row>
    <row r="24" spans="1:19" ht="6" customHeight="1" x14ac:dyDescent="0.25">
      <c r="A24" s="53"/>
      <c r="B24" s="106"/>
      <c r="C24" s="80"/>
      <c r="D24" s="150"/>
      <c r="E24" s="85"/>
      <c r="F24" s="81"/>
      <c r="G24" s="53"/>
      <c r="H24" s="53"/>
      <c r="I24" s="53"/>
      <c r="J24" s="53"/>
      <c r="K24" s="53"/>
      <c r="L24" s="53"/>
      <c r="M24" s="53"/>
      <c r="N24" s="53"/>
      <c r="O24" s="53"/>
      <c r="P24" s="53"/>
      <c r="Q24" s="53"/>
      <c r="R24" s="158"/>
      <c r="S24" s="53"/>
    </row>
    <row r="25" spans="1:19" ht="15.75" x14ac:dyDescent="0.25">
      <c r="A25" s="53"/>
      <c r="B25" s="295" t="s">
        <v>444</v>
      </c>
      <c r="C25" s="80"/>
      <c r="D25" s="150"/>
      <c r="E25" s="669">
        <f>'Underwriting Risk'!G104</f>
        <v>0</v>
      </c>
      <c r="F25" s="81"/>
      <c r="G25" s="53"/>
      <c r="H25" s="53"/>
      <c r="I25" s="53"/>
      <c r="J25" s="53"/>
      <c r="K25" s="53"/>
      <c r="L25" s="53"/>
      <c r="M25" s="53"/>
      <c r="N25" s="53"/>
      <c r="O25" s="53"/>
      <c r="P25" s="53"/>
      <c r="Q25" s="66"/>
      <c r="R25" s="158"/>
      <c r="S25" s="53"/>
    </row>
    <row r="26" spans="1:19" ht="15.75" x14ac:dyDescent="0.25">
      <c r="A26" s="53"/>
      <c r="B26" s="295" t="s">
        <v>549</v>
      </c>
      <c r="C26" s="80"/>
      <c r="D26" s="150"/>
      <c r="E26" s="659">
        <f>'Underwriting Risk'!G105</f>
        <v>0</v>
      </c>
      <c r="F26" s="81"/>
      <c r="G26" s="53"/>
      <c r="H26" s="53"/>
      <c r="I26" s="53"/>
      <c r="J26" s="53"/>
      <c r="K26" s="53"/>
      <c r="L26" s="53"/>
      <c r="M26" s="53"/>
      <c r="N26" s="53"/>
      <c r="O26" s="53"/>
      <c r="P26" s="53"/>
      <c r="Q26" s="66"/>
      <c r="R26" s="158"/>
      <c r="S26" s="53"/>
    </row>
    <row r="27" spans="1:19" ht="15.75" x14ac:dyDescent="0.25">
      <c r="A27" s="53"/>
      <c r="B27" s="295" t="s">
        <v>536</v>
      </c>
      <c r="C27" s="80"/>
      <c r="D27" s="296"/>
      <c r="E27" s="670">
        <v>1.3</v>
      </c>
      <c r="F27" s="81"/>
      <c r="G27" s="53"/>
      <c r="H27" s="53"/>
      <c r="I27" s="53"/>
      <c r="J27" s="53"/>
      <c r="K27" s="53"/>
      <c r="L27" s="53"/>
      <c r="M27" s="53"/>
      <c r="N27" s="53"/>
      <c r="O27" s="53"/>
      <c r="P27" s="53"/>
      <c r="Q27" s="66"/>
      <c r="R27" s="158"/>
      <c r="S27" s="53"/>
    </row>
    <row r="28" spans="1:19" ht="6" customHeight="1" x14ac:dyDescent="0.25">
      <c r="A28" s="53"/>
      <c r="B28" s="106"/>
      <c r="C28" s="80"/>
      <c r="D28" s="150"/>
      <c r="E28" s="286"/>
      <c r="F28" s="81"/>
      <c r="G28" s="53"/>
      <c r="H28" s="53"/>
      <c r="I28" s="53"/>
      <c r="J28" s="53"/>
      <c r="K28" s="53"/>
      <c r="L28" s="53"/>
      <c r="M28" s="53"/>
      <c r="N28" s="53"/>
      <c r="O28" s="53"/>
      <c r="P28" s="53"/>
      <c r="Q28" s="53"/>
      <c r="R28" s="158"/>
      <c r="S28" s="53"/>
    </row>
    <row r="29" spans="1:19" ht="15.75" x14ac:dyDescent="0.25">
      <c r="A29" s="53"/>
      <c r="B29" s="106" t="s">
        <v>543</v>
      </c>
      <c r="C29" s="80"/>
      <c r="D29" s="150"/>
      <c r="E29" s="666">
        <f>E$25*E$26*E$27</f>
        <v>0</v>
      </c>
      <c r="F29" s="81"/>
      <c r="G29" s="53"/>
      <c r="H29" s="53"/>
      <c r="I29" s="53"/>
      <c r="J29" s="53"/>
      <c r="K29" s="53"/>
      <c r="L29" s="53"/>
      <c r="M29" s="53"/>
      <c r="N29" s="53"/>
      <c r="O29" s="53"/>
      <c r="P29" s="53"/>
      <c r="Q29" s="66"/>
      <c r="R29" s="158"/>
      <c r="S29" s="53"/>
    </row>
    <row r="30" spans="1:19" ht="6" customHeight="1" thickBot="1" x14ac:dyDescent="0.3">
      <c r="A30" s="53"/>
      <c r="B30" s="110"/>
      <c r="C30" s="93"/>
      <c r="D30" s="159"/>
      <c r="E30" s="93"/>
      <c r="F30" s="94"/>
      <c r="G30" s="53"/>
      <c r="H30" s="53"/>
      <c r="I30" s="53"/>
      <c r="J30" s="53"/>
      <c r="K30" s="53"/>
      <c r="L30" s="53"/>
      <c r="M30" s="53"/>
      <c r="N30" s="53"/>
      <c r="O30" s="53"/>
      <c r="P30" s="53"/>
      <c r="Q30" s="53"/>
      <c r="R30" s="158"/>
      <c r="S30" s="53"/>
    </row>
    <row r="31" spans="1:19" ht="15.75" x14ac:dyDescent="0.25">
      <c r="A31" s="53"/>
      <c r="B31" s="53"/>
      <c r="C31" s="53"/>
      <c r="D31" s="53"/>
      <c r="E31" s="53"/>
      <c r="F31" s="53"/>
      <c r="G31" s="53"/>
      <c r="H31" s="53"/>
      <c r="I31" s="53"/>
      <c r="J31" s="53"/>
      <c r="K31" s="53"/>
      <c r="L31" s="53"/>
      <c r="M31" s="53"/>
      <c r="N31" s="53"/>
      <c r="O31" s="53"/>
      <c r="P31" s="53"/>
      <c r="Q31" s="53"/>
      <c r="R31" s="158"/>
      <c r="S31" s="53"/>
    </row>
    <row r="32" spans="1:19" ht="6" customHeight="1" thickBot="1" x14ac:dyDescent="0.3">
      <c r="A32" s="53"/>
      <c r="B32" s="53"/>
      <c r="C32" s="53"/>
      <c r="D32" s="53"/>
      <c r="E32" s="53"/>
      <c r="F32" s="53"/>
      <c r="G32" s="53"/>
      <c r="H32" s="53"/>
      <c r="I32" s="53"/>
      <c r="J32" s="53"/>
      <c r="K32" s="53"/>
      <c r="L32" s="53"/>
      <c r="M32" s="53"/>
      <c r="N32" s="53"/>
      <c r="O32" s="53"/>
      <c r="P32" s="53"/>
      <c r="Q32" s="53"/>
      <c r="R32" s="158"/>
      <c r="S32" s="53"/>
    </row>
    <row r="33" spans="1:19" ht="13.7" customHeight="1" x14ac:dyDescent="0.25">
      <c r="A33" s="53"/>
      <c r="B33" s="353" t="s">
        <v>56</v>
      </c>
      <c r="C33" s="366"/>
      <c r="D33" s="289"/>
      <c r="E33" s="290" t="s">
        <v>164</v>
      </c>
      <c r="F33" s="138"/>
      <c r="G33" s="53"/>
      <c r="H33" s="53"/>
      <c r="I33" s="53"/>
      <c r="J33" s="53"/>
      <c r="K33" s="53"/>
      <c r="L33" s="53"/>
      <c r="M33" s="53"/>
      <c r="N33" s="53"/>
      <c r="O33" s="53"/>
      <c r="P33" s="53"/>
      <c r="Q33" s="53"/>
      <c r="R33" s="158"/>
      <c r="S33" s="53"/>
    </row>
    <row r="34" spans="1:19" ht="6" customHeight="1" x14ac:dyDescent="0.25">
      <c r="A34" s="53"/>
      <c r="B34" s="106"/>
      <c r="C34" s="80"/>
      <c r="D34" s="150"/>
      <c r="E34" s="80"/>
      <c r="F34" s="81"/>
      <c r="G34" s="53"/>
      <c r="H34" s="53"/>
      <c r="I34" s="53"/>
      <c r="J34" s="53"/>
      <c r="K34" s="53"/>
      <c r="L34" s="53"/>
      <c r="M34" s="53"/>
      <c r="N34" s="53"/>
      <c r="O34" s="53"/>
      <c r="P34" s="53"/>
      <c r="Q34" s="53"/>
      <c r="R34" s="158"/>
      <c r="S34" s="53"/>
    </row>
    <row r="35" spans="1:19" ht="6" customHeight="1" x14ac:dyDescent="0.25">
      <c r="A35" s="53"/>
      <c r="B35" s="106"/>
      <c r="C35" s="80"/>
      <c r="D35" s="150"/>
      <c r="E35" s="80"/>
      <c r="F35" s="81"/>
      <c r="G35" s="53"/>
      <c r="H35" s="53"/>
      <c r="I35" s="53"/>
      <c r="J35" s="53"/>
      <c r="K35" s="53"/>
      <c r="L35" s="53"/>
      <c r="M35" s="53"/>
      <c r="N35" s="53"/>
      <c r="O35" s="53"/>
      <c r="P35" s="53"/>
      <c r="Q35" s="53"/>
      <c r="R35" s="158"/>
      <c r="S35" s="53"/>
    </row>
    <row r="36" spans="1:19" ht="15.75" x14ac:dyDescent="0.25">
      <c r="A36" s="53"/>
      <c r="B36" s="106" t="s">
        <v>550</v>
      </c>
      <c r="C36" s="80"/>
      <c r="D36" s="150"/>
      <c r="E36" s="626">
        <f>LAPSE_UP_10</f>
        <v>0</v>
      </c>
      <c r="F36" s="81"/>
      <c r="G36" s="53"/>
      <c r="H36" s="53"/>
      <c r="I36" s="53"/>
      <c r="J36" s="53"/>
      <c r="K36" s="53"/>
      <c r="L36" s="53"/>
      <c r="M36" s="53"/>
      <c r="N36" s="53"/>
      <c r="O36" s="53"/>
      <c r="P36" s="53"/>
      <c r="Q36" s="53"/>
      <c r="R36" s="158"/>
      <c r="S36" s="53"/>
    </row>
    <row r="37" spans="1:19" ht="6" customHeight="1" thickBot="1" x14ac:dyDescent="0.3">
      <c r="A37" s="53"/>
      <c r="B37" s="110"/>
      <c r="C37" s="93"/>
      <c r="D37" s="159"/>
      <c r="E37" s="93"/>
      <c r="F37" s="94"/>
      <c r="G37" s="53"/>
      <c r="H37" s="53"/>
      <c r="I37" s="53"/>
      <c r="J37" s="53"/>
      <c r="K37" s="53"/>
      <c r="L37" s="53"/>
      <c r="M37" s="53"/>
      <c r="N37" s="53"/>
      <c r="O37" s="53"/>
      <c r="P37" s="53"/>
      <c r="Q37" s="53"/>
      <c r="R37" s="158"/>
      <c r="S37" s="53"/>
    </row>
    <row r="38" spans="1:19" ht="15.75" x14ac:dyDescent="0.25">
      <c r="A38" s="53"/>
      <c r="B38" s="53"/>
      <c r="C38" s="53"/>
      <c r="D38" s="53"/>
      <c r="E38" s="53"/>
      <c r="F38" s="53"/>
      <c r="G38" s="53"/>
      <c r="H38" s="53"/>
      <c r="I38" s="158"/>
      <c r="J38" s="53"/>
      <c r="K38" s="53"/>
      <c r="L38" s="53"/>
      <c r="M38" s="53"/>
      <c r="N38" s="53"/>
      <c r="O38" s="53"/>
      <c r="P38" s="53"/>
      <c r="Q38" s="53"/>
      <c r="R38" s="158"/>
      <c r="S38" s="53"/>
    </row>
    <row r="39" spans="1:19" ht="6" customHeight="1" x14ac:dyDescent="0.25">
      <c r="A39" s="53"/>
      <c r="B39" s="53"/>
      <c r="C39" s="53"/>
      <c r="D39" s="53"/>
      <c r="E39" s="53"/>
      <c r="F39" s="53"/>
      <c r="G39" s="53"/>
      <c r="H39" s="53"/>
      <c r="I39" s="53"/>
      <c r="J39" s="53"/>
      <c r="K39" s="53"/>
      <c r="L39" s="53"/>
      <c r="M39" s="53"/>
      <c r="N39" s="53"/>
      <c r="O39" s="53"/>
      <c r="P39" s="53"/>
      <c r="Q39" s="53"/>
      <c r="R39" s="158"/>
      <c r="S39" s="53"/>
    </row>
    <row r="40" spans="1:19" ht="14.25" hidden="1" customHeight="1" x14ac:dyDescent="0.25">
      <c r="A40" s="53"/>
      <c r="B40" s="297" t="s">
        <v>551</v>
      </c>
      <c r="C40" s="298"/>
      <c r="D40" s="299"/>
      <c r="E40" s="300" t="s">
        <v>216</v>
      </c>
      <c r="F40" s="301"/>
      <c r="G40" s="53"/>
      <c r="H40" s="53"/>
      <c r="I40" s="53"/>
      <c r="J40" s="53"/>
      <c r="K40" s="53"/>
      <c r="L40" s="53"/>
      <c r="M40" s="53"/>
      <c r="N40" s="53"/>
      <c r="O40" s="53"/>
      <c r="P40" s="53"/>
      <c r="Q40" s="53"/>
      <c r="R40" s="158"/>
      <c r="S40" s="53"/>
    </row>
    <row r="41" spans="1:19" ht="6" hidden="1" customHeight="1" x14ac:dyDescent="0.25">
      <c r="A41" s="53"/>
      <c r="B41" s="106"/>
      <c r="C41" s="80"/>
      <c r="D41" s="150"/>
      <c r="E41" s="80"/>
      <c r="F41" s="81"/>
      <c r="G41" s="53"/>
      <c r="H41" s="53"/>
      <c r="I41" s="53"/>
      <c r="J41" s="53"/>
      <c r="K41" s="53"/>
      <c r="L41" s="53"/>
      <c r="M41" s="53"/>
      <c r="N41" s="53"/>
      <c r="O41" s="53"/>
      <c r="P41" s="53"/>
      <c r="Q41" s="53"/>
      <c r="R41" s="158"/>
      <c r="S41" s="53"/>
    </row>
    <row r="42" spans="1:19" ht="18.75" hidden="1" x14ac:dyDescent="0.35">
      <c r="A42" s="53"/>
      <c r="B42" s="293" t="s">
        <v>552</v>
      </c>
      <c r="C42" s="80"/>
      <c r="D42" s="150"/>
      <c r="E42" s="671">
        <v>0</v>
      </c>
      <c r="F42" s="81"/>
      <c r="G42" s="53"/>
      <c r="H42" s="53"/>
      <c r="I42" s="53"/>
      <c r="J42" s="53"/>
      <c r="K42" s="53"/>
      <c r="L42" s="53"/>
      <c r="M42" s="53"/>
      <c r="N42" s="53"/>
      <c r="O42" s="53"/>
      <c r="P42" s="53"/>
      <c r="Q42" s="53"/>
      <c r="R42" s="158"/>
      <c r="S42" s="53"/>
    </row>
    <row r="43" spans="1:19" ht="18.75" hidden="1" x14ac:dyDescent="0.35">
      <c r="A43" s="53"/>
      <c r="B43" s="293" t="s">
        <v>553</v>
      </c>
      <c r="C43" s="80"/>
      <c r="D43" s="150"/>
      <c r="E43" s="671">
        <v>0</v>
      </c>
      <c r="F43" s="81"/>
      <c r="G43" s="53"/>
      <c r="H43" s="53"/>
      <c r="I43" s="53"/>
      <c r="J43" s="53"/>
      <c r="K43" s="53"/>
      <c r="L43" s="53"/>
      <c r="M43" s="53"/>
      <c r="N43" s="53"/>
      <c r="O43" s="53"/>
      <c r="P43" s="53"/>
      <c r="Q43" s="53"/>
      <c r="R43" s="158"/>
      <c r="S43" s="53"/>
    </row>
    <row r="44" spans="1:19" ht="18.75" hidden="1" x14ac:dyDescent="0.35">
      <c r="A44" s="53"/>
      <c r="B44" s="293" t="s">
        <v>554</v>
      </c>
      <c r="C44" s="80"/>
      <c r="D44" s="150"/>
      <c r="E44" s="671">
        <v>0</v>
      </c>
      <c r="F44" s="81"/>
      <c r="G44" s="53"/>
      <c r="H44" s="53"/>
      <c r="I44" s="53"/>
      <c r="J44" s="53"/>
      <c r="K44" s="53"/>
      <c r="L44" s="53"/>
      <c r="M44" s="53"/>
      <c r="N44" s="53"/>
      <c r="O44" s="53"/>
      <c r="P44" s="53"/>
      <c r="Q44" s="53"/>
      <c r="R44" s="158"/>
      <c r="S44" s="53"/>
    </row>
    <row r="45" spans="1:19" ht="18.75" hidden="1" x14ac:dyDescent="0.35">
      <c r="A45" s="53"/>
      <c r="B45" s="293" t="s">
        <v>555</v>
      </c>
      <c r="C45" s="80"/>
      <c r="D45" s="150"/>
      <c r="E45" s="671">
        <v>0</v>
      </c>
      <c r="F45" s="81"/>
      <c r="G45" s="53"/>
      <c r="H45" s="53"/>
      <c r="I45" s="53"/>
      <c r="J45" s="53"/>
      <c r="K45" s="53"/>
      <c r="L45" s="53"/>
      <c r="M45" s="53"/>
      <c r="N45" s="53"/>
      <c r="O45" s="53"/>
      <c r="P45" s="53"/>
      <c r="Q45" s="53"/>
      <c r="R45" s="158"/>
      <c r="S45" s="53"/>
    </row>
    <row r="46" spans="1:19" ht="6" hidden="1" customHeight="1" x14ac:dyDescent="0.25">
      <c r="A46" s="53"/>
      <c r="B46" s="106"/>
      <c r="C46" s="80"/>
      <c r="D46" s="150"/>
      <c r="E46" s="80"/>
      <c r="F46" s="81"/>
      <c r="G46" s="53"/>
      <c r="H46" s="53"/>
      <c r="I46" s="158"/>
      <c r="J46" s="53"/>
      <c r="K46" s="53"/>
      <c r="L46" s="53"/>
      <c r="M46" s="53"/>
      <c r="N46" s="53"/>
      <c r="O46" s="53"/>
      <c r="P46" s="53"/>
      <c r="Q46" s="53"/>
      <c r="R46" s="53"/>
      <c r="S46" s="53"/>
    </row>
    <row r="47" spans="1:19" ht="18.75" hidden="1" x14ac:dyDescent="0.35">
      <c r="A47" s="53"/>
      <c r="B47" s="202" t="s">
        <v>556</v>
      </c>
      <c r="C47" s="80"/>
      <c r="D47" s="150"/>
      <c r="E47" s="671">
        <f t="array" ref="E47">SQRT(MMULT(MMULT(TRANSPOSE(E42:E45),CorrCAT_10),E42:E45))</f>
        <v>0</v>
      </c>
      <c r="F47" s="81"/>
      <c r="G47" s="53"/>
      <c r="H47" s="53"/>
      <c r="I47" s="158"/>
      <c r="J47" s="53"/>
      <c r="K47" s="53"/>
      <c r="L47" s="53"/>
      <c r="M47" s="53"/>
      <c r="N47" s="53"/>
      <c r="O47" s="53"/>
      <c r="P47" s="53"/>
      <c r="Q47" s="53"/>
      <c r="R47" s="53"/>
      <c r="S47" s="53"/>
    </row>
    <row r="48" spans="1:19" ht="6" hidden="1" customHeight="1" thickBot="1" x14ac:dyDescent="0.3">
      <c r="A48" s="53"/>
      <c r="B48" s="110"/>
      <c r="C48" s="93"/>
      <c r="D48" s="159"/>
      <c r="E48" s="93"/>
      <c r="F48" s="94"/>
      <c r="G48" s="53"/>
      <c r="H48" s="53"/>
      <c r="I48" s="158"/>
      <c r="J48" s="53"/>
      <c r="K48" s="53"/>
      <c r="L48" s="53"/>
      <c r="M48" s="53"/>
      <c r="N48" s="53"/>
      <c r="O48" s="53"/>
      <c r="P48" s="53"/>
      <c r="Q48" s="53"/>
      <c r="R48" s="53"/>
      <c r="S48" s="53"/>
    </row>
    <row r="49" spans="1:19" ht="15.75" hidden="1" x14ac:dyDescent="0.25">
      <c r="A49" s="53"/>
      <c r="B49" s="53"/>
      <c r="C49" s="53"/>
      <c r="D49" s="53"/>
      <c r="E49" s="53"/>
      <c r="F49" s="53"/>
      <c r="G49" s="53"/>
      <c r="H49" s="53"/>
      <c r="I49" s="158"/>
      <c r="J49" s="53"/>
      <c r="K49" s="53"/>
      <c r="L49" s="53"/>
      <c r="M49" s="53"/>
      <c r="N49" s="53"/>
      <c r="O49" s="53"/>
      <c r="P49" s="53"/>
      <c r="Q49" s="53"/>
      <c r="R49" s="53"/>
      <c r="S49" s="53"/>
    </row>
    <row r="50" spans="1:19" ht="6" customHeight="1" x14ac:dyDescent="0.25">
      <c r="A50" s="53"/>
      <c r="B50" s="53"/>
      <c r="C50" s="53"/>
      <c r="D50" s="53"/>
      <c r="E50" s="53"/>
      <c r="F50" s="53"/>
      <c r="G50" s="53"/>
      <c r="H50" s="53"/>
      <c r="I50" s="158"/>
      <c r="J50" s="53"/>
      <c r="K50" s="53"/>
      <c r="L50" s="53"/>
      <c r="M50" s="53"/>
      <c r="N50" s="53"/>
      <c r="O50" s="53"/>
      <c r="P50" s="53"/>
      <c r="Q50" s="53"/>
      <c r="R50" s="53"/>
      <c r="S50" s="53"/>
    </row>
    <row r="51" spans="1:19" ht="14.25" customHeight="1" x14ac:dyDescent="0.25">
      <c r="A51" s="53"/>
      <c r="B51" s="53"/>
      <c r="C51" s="53"/>
      <c r="D51" s="53"/>
      <c r="E51" s="53"/>
      <c r="F51" s="53"/>
      <c r="G51" s="53"/>
      <c r="H51" s="53"/>
      <c r="I51" s="158"/>
      <c r="J51" s="53"/>
      <c r="K51" s="53"/>
      <c r="L51" s="53"/>
      <c r="M51" s="53"/>
      <c r="N51" s="53"/>
      <c r="O51" s="53"/>
      <c r="P51" s="53"/>
      <c r="Q51" s="53"/>
      <c r="R51" s="53"/>
      <c r="S51" s="53"/>
    </row>
    <row r="52" spans="1:19" ht="6" customHeight="1" thickBot="1" x14ac:dyDescent="0.3">
      <c r="A52" s="53"/>
      <c r="B52" s="53"/>
      <c r="C52" s="53"/>
      <c r="D52" s="53"/>
      <c r="E52" s="53"/>
      <c r="F52" s="53"/>
      <c r="G52" s="53"/>
      <c r="H52" s="53"/>
      <c r="I52" s="53"/>
      <c r="J52" s="53"/>
      <c r="K52" s="53"/>
      <c r="L52" s="53"/>
      <c r="M52" s="53"/>
      <c r="N52" s="53"/>
      <c r="O52" s="53"/>
      <c r="P52" s="53"/>
      <c r="Q52" s="53"/>
      <c r="R52" s="53"/>
      <c r="S52" s="53"/>
    </row>
    <row r="53" spans="1:19" ht="95.25" thickBot="1" x14ac:dyDescent="0.3">
      <c r="A53" s="53"/>
      <c r="B53" s="126" t="s">
        <v>557</v>
      </c>
      <c r="C53" s="127"/>
      <c r="D53" s="164"/>
      <c r="E53" s="127"/>
      <c r="F53" s="164"/>
      <c r="G53" s="165"/>
      <c r="H53" s="165"/>
      <c r="I53" s="165"/>
      <c r="J53" s="165"/>
      <c r="K53" s="367" t="s">
        <v>558</v>
      </c>
      <c r="L53" s="165"/>
      <c r="M53" s="367" t="s">
        <v>559</v>
      </c>
      <c r="N53" s="266"/>
      <c r="O53" s="165"/>
      <c r="P53" s="166"/>
      <c r="Q53" s="53"/>
      <c r="R53" s="53"/>
      <c r="S53" s="53"/>
    </row>
    <row r="54" spans="1:19" ht="15.75" x14ac:dyDescent="0.25">
      <c r="A54" s="53"/>
      <c r="B54" s="106"/>
      <c r="C54" s="80"/>
      <c r="D54" s="80"/>
      <c r="E54" s="80"/>
      <c r="F54" s="80"/>
      <c r="G54" s="80"/>
      <c r="H54" s="80"/>
      <c r="I54" s="80"/>
      <c r="J54" s="80"/>
      <c r="K54" s="80"/>
      <c r="L54" s="80"/>
      <c r="M54" s="80"/>
      <c r="N54" s="80"/>
      <c r="O54" s="80"/>
      <c r="P54" s="81"/>
      <c r="Q54" s="53"/>
      <c r="R54" s="53"/>
      <c r="S54" s="53"/>
    </row>
    <row r="55" spans="1:19" ht="15.75" x14ac:dyDescent="0.25">
      <c r="A55" s="53"/>
      <c r="B55" s="106" t="s">
        <v>560</v>
      </c>
      <c r="C55" s="80"/>
      <c r="D55" s="80"/>
      <c r="E55" s="80"/>
      <c r="F55" s="80"/>
      <c r="G55" s="80"/>
      <c r="H55" s="80"/>
      <c r="I55" s="80"/>
      <c r="J55" s="80"/>
      <c r="K55" s="659">
        <v>8.0000000000000016E-2</v>
      </c>
      <c r="L55" s="766"/>
      <c r="M55" s="767">
        <v>0.09</v>
      </c>
      <c r="N55" s="80"/>
      <c r="O55" s="80"/>
      <c r="P55" s="81"/>
      <c r="Q55" s="53"/>
      <c r="R55" s="66"/>
      <c r="S55" s="53"/>
    </row>
    <row r="56" spans="1:19" ht="15.75" x14ac:dyDescent="0.25">
      <c r="A56" s="53"/>
      <c r="B56" s="106" t="s">
        <v>561</v>
      </c>
      <c r="C56" s="80"/>
      <c r="D56" s="80"/>
      <c r="E56" s="80"/>
      <c r="F56" s="80"/>
      <c r="G56" s="80"/>
      <c r="H56" s="80"/>
      <c r="I56" s="80"/>
      <c r="J56" s="80"/>
      <c r="K56" s="659">
        <v>0.08</v>
      </c>
      <c r="L56" s="766"/>
      <c r="M56" s="767">
        <v>0.08</v>
      </c>
      <c r="N56" s="80"/>
      <c r="O56" s="80"/>
      <c r="P56" s="81"/>
      <c r="Q56" s="53"/>
      <c r="R56" s="66"/>
      <c r="S56" s="53"/>
    </row>
    <row r="57" spans="1:19" ht="15.75" x14ac:dyDescent="0.25">
      <c r="A57" s="53"/>
      <c r="B57" s="106" t="s">
        <v>562</v>
      </c>
      <c r="C57" s="80"/>
      <c r="D57" s="80"/>
      <c r="E57" s="80"/>
      <c r="F57" s="80"/>
      <c r="G57" s="80"/>
      <c r="H57" s="80"/>
      <c r="I57" s="80"/>
      <c r="J57" s="80"/>
      <c r="K57" s="659">
        <v>0.15</v>
      </c>
      <c r="L57" s="766"/>
      <c r="M57" s="767">
        <v>0.11</v>
      </c>
      <c r="N57" s="80"/>
      <c r="O57" s="80"/>
      <c r="P57" s="81"/>
      <c r="Q57" s="53"/>
      <c r="R57" s="66"/>
      <c r="S57" s="53"/>
    </row>
    <row r="58" spans="1:19" ht="15.75" x14ac:dyDescent="0.25">
      <c r="A58" s="53"/>
      <c r="B58" s="106" t="s">
        <v>563</v>
      </c>
      <c r="C58" s="80"/>
      <c r="D58" s="80"/>
      <c r="E58" s="80"/>
      <c r="F58" s="80"/>
      <c r="G58" s="80"/>
      <c r="H58" s="80"/>
      <c r="I58" s="80"/>
      <c r="J58" s="80"/>
      <c r="K58" s="659">
        <v>6.4000000000000001E-2</v>
      </c>
      <c r="L58" s="766"/>
      <c r="M58" s="767">
        <v>0.1</v>
      </c>
      <c r="N58" s="80"/>
      <c r="O58" s="80"/>
      <c r="P58" s="81"/>
      <c r="Q58" s="53"/>
      <c r="R58" s="66"/>
      <c r="S58" s="53"/>
    </row>
    <row r="59" spans="1:19" ht="15.75" x14ac:dyDescent="0.25">
      <c r="A59" s="53"/>
      <c r="B59" s="106" t="s">
        <v>564</v>
      </c>
      <c r="C59" s="80"/>
      <c r="D59" s="80"/>
      <c r="E59" s="80"/>
      <c r="F59" s="80"/>
      <c r="G59" s="80"/>
      <c r="H59" s="80"/>
      <c r="I59" s="80"/>
      <c r="J59" s="80"/>
      <c r="K59" s="659">
        <v>0.11200000000000002</v>
      </c>
      <c r="L59" s="766"/>
      <c r="M59" s="767">
        <v>0.11</v>
      </c>
      <c r="N59" s="80"/>
      <c r="O59" s="80"/>
      <c r="P59" s="81"/>
      <c r="Q59" s="53"/>
      <c r="R59" s="66"/>
      <c r="S59" s="53"/>
    </row>
    <row r="60" spans="1:19" ht="15.75" x14ac:dyDescent="0.25">
      <c r="A60" s="53"/>
      <c r="B60" s="106" t="s">
        <v>565</v>
      </c>
      <c r="C60" s="80"/>
      <c r="D60" s="80"/>
      <c r="E60" s="80"/>
      <c r="F60" s="80"/>
      <c r="G60" s="80"/>
      <c r="H60" s="80"/>
      <c r="I60" s="80"/>
      <c r="J60" s="80"/>
      <c r="K60" s="787">
        <v>0.19</v>
      </c>
      <c r="L60" s="766"/>
      <c r="M60" s="788">
        <v>0.17199999999999999</v>
      </c>
      <c r="N60" s="80"/>
      <c r="O60" s="80"/>
      <c r="P60" s="81"/>
      <c r="Q60" s="53"/>
      <c r="R60" s="66"/>
      <c r="S60" s="53"/>
    </row>
    <row r="61" spans="1:19" ht="15.75" x14ac:dyDescent="0.25">
      <c r="A61" s="53"/>
      <c r="B61" s="106" t="s">
        <v>566</v>
      </c>
      <c r="C61" s="80"/>
      <c r="D61" s="80"/>
      <c r="E61" s="80"/>
      <c r="F61" s="80"/>
      <c r="G61" s="80"/>
      <c r="H61" s="80"/>
      <c r="I61" s="80"/>
      <c r="J61" s="80"/>
      <c r="K61" s="787">
        <v>8.3000000000000004E-2</v>
      </c>
      <c r="L61" s="766"/>
      <c r="M61" s="788">
        <v>5.5E-2</v>
      </c>
      <c r="N61" s="80"/>
      <c r="O61" s="80"/>
      <c r="P61" s="81"/>
      <c r="Q61" s="53"/>
      <c r="R61" s="66"/>
      <c r="S61" s="53"/>
    </row>
    <row r="62" spans="1:19" ht="15.75" x14ac:dyDescent="0.25">
      <c r="A62" s="53"/>
      <c r="B62" s="106" t="s">
        <v>567</v>
      </c>
      <c r="C62" s="80"/>
      <c r="D62" s="80"/>
      <c r="E62" s="80"/>
      <c r="F62" s="80"/>
      <c r="G62" s="80"/>
      <c r="H62" s="80"/>
      <c r="I62" s="80"/>
      <c r="J62" s="80"/>
      <c r="K62" s="787">
        <v>6.4000000000000001E-2</v>
      </c>
      <c r="L62" s="766"/>
      <c r="M62" s="788">
        <v>0.22</v>
      </c>
      <c r="N62" s="80"/>
      <c r="O62" s="80"/>
      <c r="P62" s="81"/>
      <c r="Q62" s="53"/>
      <c r="R62" s="66"/>
      <c r="S62" s="53"/>
    </row>
    <row r="63" spans="1:19" ht="15.75" x14ac:dyDescent="0.25">
      <c r="A63" s="53"/>
      <c r="B63" s="106" t="s">
        <v>568</v>
      </c>
      <c r="C63" s="80"/>
      <c r="D63" s="80"/>
      <c r="E63" s="80"/>
      <c r="F63" s="80"/>
      <c r="G63" s="80"/>
      <c r="H63" s="80"/>
      <c r="I63" s="80"/>
      <c r="J63" s="80"/>
      <c r="K63" s="659">
        <v>0.13</v>
      </c>
      <c r="L63" s="766"/>
      <c r="M63" s="767">
        <v>0.2</v>
      </c>
      <c r="N63" s="80"/>
      <c r="O63" s="80"/>
      <c r="P63" s="81"/>
      <c r="Q63" s="53"/>
      <c r="R63" s="66"/>
      <c r="S63" s="53"/>
    </row>
    <row r="64" spans="1:19" ht="15.75" x14ac:dyDescent="0.25">
      <c r="A64" s="53"/>
      <c r="B64" s="106" t="s">
        <v>454</v>
      </c>
      <c r="C64" s="80"/>
      <c r="D64" s="80"/>
      <c r="E64" s="80"/>
      <c r="F64" s="80"/>
      <c r="G64" s="80"/>
      <c r="H64" s="80"/>
      <c r="I64" s="80"/>
      <c r="J64" s="80"/>
      <c r="K64" s="659">
        <v>0.17</v>
      </c>
      <c r="L64" s="766"/>
      <c r="M64" s="767">
        <v>0.2</v>
      </c>
      <c r="N64" s="80"/>
      <c r="O64" s="80"/>
      <c r="P64" s="81"/>
      <c r="Q64" s="53"/>
      <c r="R64" s="66"/>
      <c r="S64" s="53"/>
    </row>
    <row r="65" spans="1:19" ht="15.75" x14ac:dyDescent="0.25">
      <c r="A65" s="53"/>
      <c r="B65" s="106" t="s">
        <v>455</v>
      </c>
      <c r="C65" s="80"/>
      <c r="D65" s="80"/>
      <c r="E65" s="80"/>
      <c r="F65" s="80"/>
      <c r="G65" s="80"/>
      <c r="H65" s="80"/>
      <c r="I65" s="80"/>
      <c r="J65" s="80"/>
      <c r="K65" s="659">
        <v>0.17</v>
      </c>
      <c r="L65" s="766"/>
      <c r="M65" s="767">
        <v>0.2</v>
      </c>
      <c r="N65" s="80"/>
      <c r="O65" s="80"/>
      <c r="P65" s="81"/>
      <c r="Q65" s="53"/>
      <c r="R65" s="66"/>
      <c r="S65" s="53"/>
    </row>
    <row r="66" spans="1:19" ht="15.75" x14ac:dyDescent="0.25">
      <c r="A66" s="53"/>
      <c r="B66" s="106" t="s">
        <v>456</v>
      </c>
      <c r="C66" s="80"/>
      <c r="D66" s="80"/>
      <c r="E66" s="80"/>
      <c r="F66" s="80"/>
      <c r="G66" s="80"/>
      <c r="H66" s="80"/>
      <c r="I66" s="80"/>
      <c r="J66" s="80"/>
      <c r="K66" s="659">
        <v>0.17</v>
      </c>
      <c r="L66" s="766"/>
      <c r="M66" s="767">
        <v>0.2</v>
      </c>
      <c r="N66" s="80"/>
      <c r="O66" s="80"/>
      <c r="P66" s="81"/>
      <c r="Q66" s="53"/>
      <c r="R66" s="66"/>
      <c r="S66" s="53"/>
    </row>
    <row r="67" spans="1:19" ht="16.5" thickBot="1" x14ac:dyDescent="0.3">
      <c r="A67" s="53"/>
      <c r="B67" s="110"/>
      <c r="C67" s="93"/>
      <c r="D67" s="93"/>
      <c r="E67" s="93"/>
      <c r="F67" s="93"/>
      <c r="G67" s="93"/>
      <c r="H67" s="93"/>
      <c r="I67" s="93"/>
      <c r="J67" s="93"/>
      <c r="K67" s="93"/>
      <c r="L67" s="93"/>
      <c r="M67" s="93"/>
      <c r="N67" s="93"/>
      <c r="O67" s="93"/>
      <c r="P67" s="94"/>
      <c r="Q67" s="53"/>
      <c r="R67" s="53"/>
      <c r="S67" s="53"/>
    </row>
    <row r="68" spans="1:19" ht="15.75" x14ac:dyDescent="0.25">
      <c r="A68" s="53"/>
      <c r="B68" s="53"/>
      <c r="C68" s="53"/>
      <c r="D68" s="53"/>
      <c r="E68" s="53"/>
      <c r="F68" s="53"/>
      <c r="G68" s="53"/>
      <c r="H68" s="53"/>
      <c r="I68" s="53"/>
      <c r="J68" s="53"/>
      <c r="K68" s="53"/>
      <c r="L68" s="53"/>
      <c r="M68" s="53"/>
      <c r="N68" s="53"/>
      <c r="O68" s="53"/>
      <c r="P68" s="53"/>
      <c r="Q68" s="53"/>
      <c r="R68" s="53"/>
      <c r="S68" s="53"/>
    </row>
    <row r="69" spans="1:19" ht="6" customHeight="1" thickBot="1" x14ac:dyDescent="0.3">
      <c r="A69" s="53"/>
      <c r="B69" s="53"/>
      <c r="C69" s="53"/>
      <c r="D69" s="53"/>
      <c r="E69" s="53"/>
      <c r="F69" s="53"/>
      <c r="G69" s="53"/>
      <c r="H69" s="53"/>
      <c r="I69" s="53"/>
      <c r="J69" s="53"/>
      <c r="K69" s="53"/>
      <c r="L69" s="53"/>
      <c r="M69" s="53"/>
      <c r="N69" s="53"/>
      <c r="O69" s="53"/>
      <c r="P69" s="53"/>
      <c r="Q69" s="53"/>
      <c r="R69" s="53"/>
      <c r="S69" s="53"/>
    </row>
    <row r="70" spans="1:19" ht="111" thickBot="1" x14ac:dyDescent="0.3">
      <c r="A70" s="53"/>
      <c r="B70" s="126" t="s">
        <v>569</v>
      </c>
      <c r="C70" s="127"/>
      <c r="D70" s="164"/>
      <c r="E70" s="127"/>
      <c r="F70" s="164"/>
      <c r="G70" s="165"/>
      <c r="H70" s="165"/>
      <c r="I70" s="165"/>
      <c r="J70" s="165"/>
      <c r="K70" s="367" t="s">
        <v>570</v>
      </c>
      <c r="L70" s="165"/>
      <c r="M70" s="367" t="s">
        <v>559</v>
      </c>
      <c r="N70" s="266"/>
      <c r="O70" s="367" t="s">
        <v>571</v>
      </c>
      <c r="P70" s="166"/>
      <c r="Q70" s="53"/>
      <c r="R70" s="53"/>
      <c r="S70" s="53"/>
    </row>
    <row r="71" spans="1:19" ht="15.75" x14ac:dyDescent="0.25">
      <c r="A71" s="53"/>
      <c r="B71" s="106"/>
      <c r="C71" s="80"/>
      <c r="D71" s="80"/>
      <c r="E71" s="80"/>
      <c r="F71" s="80"/>
      <c r="G71" s="80"/>
      <c r="H71" s="80"/>
      <c r="I71" s="80"/>
      <c r="J71" s="80"/>
      <c r="K71" s="80"/>
      <c r="L71" s="80"/>
      <c r="M71" s="80"/>
      <c r="N71" s="80"/>
      <c r="O71" s="80"/>
      <c r="P71" s="81"/>
      <c r="Q71" s="53"/>
      <c r="R71" s="53"/>
      <c r="S71" s="53"/>
    </row>
    <row r="72" spans="1:19" ht="15.75" x14ac:dyDescent="0.25">
      <c r="A72" s="53"/>
      <c r="B72" s="106" t="s">
        <v>560</v>
      </c>
      <c r="C72" s="80"/>
      <c r="D72" s="80"/>
      <c r="E72" s="80"/>
      <c r="F72" s="80"/>
      <c r="G72" s="80"/>
      <c r="H72" s="80"/>
      <c r="I72" s="80"/>
      <c r="J72" s="80"/>
      <c r="K72" s="659">
        <f>IF('Premium and Reserve Risk'!Q8&lt;&gt;0,(SUMPRODUCT(Agg_P_1,Agg_sP_1)+('Premium and Reserve Risk'!Q8-SUM(Agg_P_1))*'Underwriting Risk'!K55)/'Premium and Reserve Risk'!Q8,'Underwriting Risk'!K55)</f>
        <v>8.0000000000000016E-2</v>
      </c>
      <c r="L72" s="80"/>
      <c r="M72" s="659">
        <f>IF('Premium and Reserve Risk'!S8&lt;&gt;0,(SUMPRODUCT(Agg_R_1,Agg_sR_1)+('Premium and Reserve Risk'!S8-SUM(Agg_R_1))*'Underwriting Risk'!M55)/'Premium and Reserve Risk'!S8,'Underwriting Risk'!M55)</f>
        <v>0.09</v>
      </c>
      <c r="N72" s="80"/>
      <c r="O72" s="659">
        <f>IF(SUM('Premium and Reserve Risk'!Q8:S8)&lt;&gt;0,SQRT((K72*'Premium and Reserve Risk'!Q8)^2+0.5*(K72*'Premium and Reserve Risk'!Q8*M72*'Premium and Reserve Risk'!S8)+(M72*'Premium and Reserve Risk'!S8)^2)/('Premium and Reserve Risk'!Q8+'Premium and Reserve Risk'!S8),0)</f>
        <v>0</v>
      </c>
      <c r="P72" s="81"/>
      <c r="Q72" s="53"/>
      <c r="R72" s="66"/>
      <c r="S72" s="53"/>
    </row>
    <row r="73" spans="1:19" ht="15.75" x14ac:dyDescent="0.25">
      <c r="A73" s="53"/>
      <c r="B73" s="106" t="s">
        <v>561</v>
      </c>
      <c r="C73" s="80"/>
      <c r="D73" s="80"/>
      <c r="E73" s="80"/>
      <c r="F73" s="80"/>
      <c r="G73" s="80"/>
      <c r="H73" s="80"/>
      <c r="I73" s="80"/>
      <c r="J73" s="80"/>
      <c r="K73" s="659">
        <f>IF('Premium and Reserve Risk'!Q9&lt;&gt;0,(SUMPRODUCT(Agg_P_2,Agg_sP_2)+('Premium and Reserve Risk'!Q9-SUM(Agg_P_2))*'Underwriting Risk'!K56)/'Premium and Reserve Risk'!Q9,'Underwriting Risk'!K56)</f>
        <v>0.08</v>
      </c>
      <c r="L73" s="80"/>
      <c r="M73" s="659">
        <f>IF('Premium and Reserve Risk'!S9&lt;&gt;0,(SUMPRODUCT(Agg_R_2,Agg_sR_2)+('Premium and Reserve Risk'!S9-SUM(Agg_R_2))*'Underwriting Risk'!M56)/'Premium and Reserve Risk'!S9,'Underwriting Risk'!M56)</f>
        <v>0.08</v>
      </c>
      <c r="N73" s="80"/>
      <c r="O73" s="659">
        <f>IF(SUM('Premium and Reserve Risk'!Q9:S9)&lt;&gt;0,SQRT((K73*'Premium and Reserve Risk'!Q9)^2+0.5*(K73*'Premium and Reserve Risk'!Q9*M73*'Premium and Reserve Risk'!S9)+(M73*'Premium and Reserve Risk'!S9)^2)/('Premium and Reserve Risk'!Q9+'Premium and Reserve Risk'!S9),0)</f>
        <v>0</v>
      </c>
      <c r="P73" s="81"/>
      <c r="Q73" s="53"/>
      <c r="R73" s="66"/>
      <c r="S73" s="53"/>
    </row>
    <row r="74" spans="1:19" ht="15.75" x14ac:dyDescent="0.25">
      <c r="A74" s="53"/>
      <c r="B74" s="106" t="s">
        <v>562</v>
      </c>
      <c r="C74" s="80"/>
      <c r="D74" s="80"/>
      <c r="E74" s="80"/>
      <c r="F74" s="80"/>
      <c r="G74" s="80"/>
      <c r="H74" s="80"/>
      <c r="I74" s="80"/>
      <c r="J74" s="80"/>
      <c r="K74" s="659">
        <f>IF('Premium and Reserve Risk'!Q10&lt;&gt;0,(SUMPRODUCT(Agg_P_3,Agg_sP_3)+('Premium and Reserve Risk'!Q10-SUM(Agg_P_3))*'Underwriting Risk'!K57)/'Premium and Reserve Risk'!Q10,'Underwriting Risk'!K57)</f>
        <v>0.15</v>
      </c>
      <c r="L74" s="80"/>
      <c r="M74" s="659">
        <f>IF('Premium and Reserve Risk'!S10&lt;&gt;0,(SUMPRODUCT(Agg_R_3,Agg_sR_3)+('Premium and Reserve Risk'!S10-SUM(Agg_R_3))*'Underwriting Risk'!M57)/'Premium and Reserve Risk'!S10,'Underwriting Risk'!M57)</f>
        <v>0.11</v>
      </c>
      <c r="N74" s="80"/>
      <c r="O74" s="659">
        <f>IF(SUM('Premium and Reserve Risk'!Q10:S10)&lt;&gt;0,SQRT((K74*'Premium and Reserve Risk'!Q10)^2+0.5*(K74*'Premium and Reserve Risk'!Q10*M74*'Premium and Reserve Risk'!S10)+(M74*'Premium and Reserve Risk'!S10)^2)/('Premium and Reserve Risk'!Q10+'Premium and Reserve Risk'!S10),0)</f>
        <v>0</v>
      </c>
      <c r="P74" s="81"/>
      <c r="Q74" s="53"/>
      <c r="R74" s="66"/>
      <c r="S74" s="53"/>
    </row>
    <row r="75" spans="1:19" ht="15.75" x14ac:dyDescent="0.25">
      <c r="A75" s="53"/>
      <c r="B75" s="106" t="s">
        <v>563</v>
      </c>
      <c r="C75" s="80"/>
      <c r="D75" s="80"/>
      <c r="E75" s="80"/>
      <c r="F75" s="80"/>
      <c r="G75" s="80"/>
      <c r="H75" s="80"/>
      <c r="I75" s="80"/>
      <c r="J75" s="80"/>
      <c r="K75" s="659">
        <f>IF('Premium and Reserve Risk'!Q11&lt;&gt;0,(SUMPRODUCT(Agg_P_4,Agg_sP_4)+('Premium and Reserve Risk'!Q11-SUM(Agg_P_4))*'Underwriting Risk'!K58)/'Premium and Reserve Risk'!Q11,'Underwriting Risk'!K58)</f>
        <v>6.4000000000000001E-2</v>
      </c>
      <c r="L75" s="80"/>
      <c r="M75" s="659">
        <f>IF('Premium and Reserve Risk'!S11&lt;&gt;0,(SUMPRODUCT(Agg_R_4,Agg_sR_4)+('Premium and Reserve Risk'!S11-SUM(Agg_R_4))*'Underwriting Risk'!M58)/'Premium and Reserve Risk'!S11,'Underwriting Risk'!M58)</f>
        <v>0.1</v>
      </c>
      <c r="N75" s="80"/>
      <c r="O75" s="659">
        <f>IF(SUM('Premium and Reserve Risk'!Q11:S11)&lt;&gt;0,SQRT((K75*'Premium and Reserve Risk'!Q11)^2+0.5*(K75*'Premium and Reserve Risk'!Q11*M75*'Premium and Reserve Risk'!S11)+(M75*'Premium and Reserve Risk'!S11)^2)/('Premium and Reserve Risk'!Q11+'Premium and Reserve Risk'!S11),0)</f>
        <v>0</v>
      </c>
      <c r="P75" s="81"/>
      <c r="Q75" s="53"/>
      <c r="R75" s="66"/>
      <c r="S75" s="53"/>
    </row>
    <row r="76" spans="1:19" ht="15.75" x14ac:dyDescent="0.25">
      <c r="A76" s="53"/>
      <c r="B76" s="106" t="s">
        <v>564</v>
      </c>
      <c r="C76" s="80"/>
      <c r="D76" s="80"/>
      <c r="E76" s="80"/>
      <c r="F76" s="80"/>
      <c r="G76" s="80"/>
      <c r="H76" s="80"/>
      <c r="I76" s="80"/>
      <c r="J76" s="80"/>
      <c r="K76" s="659">
        <f>IF('Premium and Reserve Risk'!Q12&lt;&gt;0,(SUMPRODUCT(Agg_P_5,Agg_sP_5)+('Premium and Reserve Risk'!Q12-SUM(Agg_P_5))*'Underwriting Risk'!K59)/'Premium and Reserve Risk'!Q12,'Underwriting Risk'!K59)</f>
        <v>0.11200000000000002</v>
      </c>
      <c r="L76" s="80"/>
      <c r="M76" s="659">
        <f>IF('Premium and Reserve Risk'!S12&lt;&gt;0,(SUMPRODUCT(Agg_R_5,Agg_sR_5)+('Premium and Reserve Risk'!S12-SUM(Agg_R_5))*'Underwriting Risk'!M59)/'Premium and Reserve Risk'!S12,'Underwriting Risk'!M59)</f>
        <v>0.11</v>
      </c>
      <c r="N76" s="80"/>
      <c r="O76" s="659">
        <f>IF(SUM('Premium and Reserve Risk'!Q12:S12)&lt;&gt;0,SQRT((K76*'Premium and Reserve Risk'!Q12)^2+0.5*(K76*'Premium and Reserve Risk'!Q12*M76*'Premium and Reserve Risk'!S12)+(M76*'Premium and Reserve Risk'!S12)^2)/('Premium and Reserve Risk'!Q12+'Premium and Reserve Risk'!S12),0)</f>
        <v>0</v>
      </c>
      <c r="P76" s="81"/>
      <c r="Q76" s="53"/>
      <c r="R76" s="66"/>
      <c r="S76" s="53"/>
    </row>
    <row r="77" spans="1:19" ht="15.75" x14ac:dyDescent="0.25">
      <c r="A77" s="53"/>
      <c r="B77" s="106" t="s">
        <v>565</v>
      </c>
      <c r="C77" s="80"/>
      <c r="D77" s="80"/>
      <c r="E77" s="80"/>
      <c r="F77" s="80"/>
      <c r="G77" s="80"/>
      <c r="H77" s="80"/>
      <c r="I77" s="80"/>
      <c r="J77" s="80"/>
      <c r="K77" s="659">
        <f>IF('Premium and Reserve Risk'!Q13&lt;&gt;0,(SUMPRODUCT(Agg_P_6,Agg_sP_6)+('Premium and Reserve Risk'!Q13-SUM(Agg_P_6))*'Underwriting Risk'!K60)/'Premium and Reserve Risk'!Q13,'Underwriting Risk'!K60)</f>
        <v>0.19</v>
      </c>
      <c r="L77" s="80"/>
      <c r="M77" s="659">
        <f>IF('Premium and Reserve Risk'!S13&lt;&gt;0,(SUMPRODUCT(Agg_R_6,Agg_sR_6)+('Premium and Reserve Risk'!S13-SUM(Agg_R_6))*'Underwriting Risk'!M60)/'Premium and Reserve Risk'!S13,'Underwriting Risk'!M60)</f>
        <v>0.17199999999999999</v>
      </c>
      <c r="N77" s="80"/>
      <c r="O77" s="659">
        <f>IF(SUM('Premium and Reserve Risk'!Q13:S13)&lt;&gt;0,SQRT((K77*'Premium and Reserve Risk'!Q13)^2+0.5*(K77*'Premium and Reserve Risk'!Q13*M77*'Premium and Reserve Risk'!S13)+(M77*'Premium and Reserve Risk'!S13)^2)/('Premium and Reserve Risk'!Q13+'Premium and Reserve Risk'!S13),0)</f>
        <v>0</v>
      </c>
      <c r="P77" s="81"/>
      <c r="Q77" s="53"/>
      <c r="R77" s="66"/>
      <c r="S77" s="53"/>
    </row>
    <row r="78" spans="1:19" ht="15.75" x14ac:dyDescent="0.25">
      <c r="A78" s="53"/>
      <c r="B78" s="106" t="s">
        <v>566</v>
      </c>
      <c r="C78" s="80"/>
      <c r="D78" s="80"/>
      <c r="E78" s="80"/>
      <c r="F78" s="80"/>
      <c r="G78" s="80"/>
      <c r="H78" s="80"/>
      <c r="I78" s="80"/>
      <c r="J78" s="80"/>
      <c r="K78" s="659">
        <f>IF('Premium and Reserve Risk'!Q14&lt;&gt;0,(SUMPRODUCT(Agg_P_7,Agg_sP_7)+('Premium and Reserve Risk'!Q14-SUM(Agg_P_7))*'Underwriting Risk'!K61)/'Premium and Reserve Risk'!Q14,'Underwriting Risk'!K61)</f>
        <v>8.3000000000000004E-2</v>
      </c>
      <c r="L78" s="80"/>
      <c r="M78" s="659">
        <f>IF('Premium and Reserve Risk'!S14&lt;&gt;0,(SUMPRODUCT(Agg_R_7,Agg_sR_7)+('Premium and Reserve Risk'!S14-SUM(Agg_R_7))*'Underwriting Risk'!M61)/'Premium and Reserve Risk'!S14,'Underwriting Risk'!M61)</f>
        <v>5.5E-2</v>
      </c>
      <c r="N78" s="80"/>
      <c r="O78" s="659">
        <f>IF(SUM('Premium and Reserve Risk'!Q14:S14)&lt;&gt;0,SQRT((K78*'Premium and Reserve Risk'!Q14)^2+0.5*(K78*'Premium and Reserve Risk'!Q14*M78*'Premium and Reserve Risk'!S14)+(M78*'Premium and Reserve Risk'!S14)^2)/('Premium and Reserve Risk'!Q14+'Premium and Reserve Risk'!S14),0)</f>
        <v>0</v>
      </c>
      <c r="P78" s="81"/>
      <c r="Q78" s="53"/>
      <c r="R78" s="66"/>
      <c r="S78" s="53"/>
    </row>
    <row r="79" spans="1:19" ht="15.75" x14ac:dyDescent="0.25">
      <c r="A79" s="53"/>
      <c r="B79" s="106" t="s">
        <v>567</v>
      </c>
      <c r="C79" s="80"/>
      <c r="D79" s="80"/>
      <c r="E79" s="80"/>
      <c r="F79" s="80"/>
      <c r="G79" s="80"/>
      <c r="H79" s="80"/>
      <c r="I79" s="80"/>
      <c r="J79" s="80"/>
      <c r="K79" s="659">
        <f>IF('Premium and Reserve Risk'!Q15&lt;&gt;0,(SUMPRODUCT(Agg_P_8,Agg_sP_8)+('Premium and Reserve Risk'!Q15-SUM(Agg_P_8))*'Underwriting Risk'!K62)/'Premium and Reserve Risk'!Q15,'Underwriting Risk'!K62)</f>
        <v>6.4000000000000001E-2</v>
      </c>
      <c r="L79" s="80"/>
      <c r="M79" s="659">
        <f>IF('Premium and Reserve Risk'!S15&lt;&gt;0,(SUMPRODUCT(Agg_R_8,Agg_sR_8)+('Premium and Reserve Risk'!S15-SUM(Agg_R_8))*'Underwriting Risk'!M62)/'Premium and Reserve Risk'!S15,'Underwriting Risk'!M62)</f>
        <v>0.22</v>
      </c>
      <c r="N79" s="80"/>
      <c r="O79" s="659">
        <f>IF(SUM('Premium and Reserve Risk'!Q15:S15)&lt;&gt;0,SQRT((K79*'Premium and Reserve Risk'!Q15)^2+0.5*(K79*'Premium and Reserve Risk'!Q15*M79*'Premium and Reserve Risk'!S15)+(M79*'Premium and Reserve Risk'!S15)^2)/('Premium and Reserve Risk'!Q15+'Premium and Reserve Risk'!S15),0)</f>
        <v>0</v>
      </c>
      <c r="P79" s="81"/>
      <c r="Q79" s="53"/>
      <c r="R79" s="66"/>
      <c r="S79" s="53"/>
    </row>
    <row r="80" spans="1:19" ht="15.75" x14ac:dyDescent="0.25">
      <c r="A80" s="53"/>
      <c r="B80" s="106" t="s">
        <v>568</v>
      </c>
      <c r="C80" s="80"/>
      <c r="D80" s="80"/>
      <c r="E80" s="80"/>
      <c r="F80" s="80"/>
      <c r="G80" s="80"/>
      <c r="H80" s="80"/>
      <c r="I80" s="80"/>
      <c r="J80" s="80"/>
      <c r="K80" s="659">
        <f>IF('Premium and Reserve Risk'!Q16&lt;&gt;0,(SUMPRODUCT(Agg_P_9,Agg_sP_9)+('Premium and Reserve Risk'!Q16-SUM(Agg_P_9))*'Underwriting Risk'!K63)/'Premium and Reserve Risk'!Q16,'Underwriting Risk'!K63)</f>
        <v>0.13</v>
      </c>
      <c r="L80" s="80"/>
      <c r="M80" s="659">
        <f>IF('Premium and Reserve Risk'!S16&lt;&gt;0,(SUMPRODUCT(Agg_R_9,Agg_sR_9)+('Premium and Reserve Risk'!S16-SUM(Agg_R_9))*'Underwriting Risk'!M63)/'Premium and Reserve Risk'!S16,'Underwriting Risk'!M63)</f>
        <v>0.2</v>
      </c>
      <c r="N80" s="80"/>
      <c r="O80" s="659">
        <f>IF(SUM('Premium and Reserve Risk'!Q16:S16)&lt;&gt;0,SQRT((K80*'Premium and Reserve Risk'!Q16)^2+0.5*(K80*'Premium and Reserve Risk'!Q16*M80*'Premium and Reserve Risk'!S16)+(M80*'Premium and Reserve Risk'!S16)^2)/('Premium and Reserve Risk'!Q16+'Premium and Reserve Risk'!S16),0)</f>
        <v>0</v>
      </c>
      <c r="P80" s="81"/>
      <c r="Q80" s="53"/>
      <c r="R80" s="66"/>
      <c r="S80" s="53"/>
    </row>
    <row r="81" spans="1:19" ht="15.75" x14ac:dyDescent="0.25">
      <c r="A81" s="53"/>
      <c r="B81" s="106" t="s">
        <v>454</v>
      </c>
      <c r="C81" s="80"/>
      <c r="D81" s="80"/>
      <c r="E81" s="80"/>
      <c r="F81" s="80"/>
      <c r="G81" s="80"/>
      <c r="H81" s="80"/>
      <c r="I81" s="80"/>
      <c r="J81" s="80"/>
      <c r="K81" s="659">
        <f>IF('Premium and Reserve Risk'!Q17&lt;&gt;0,(SUMPRODUCT(Agg_P_19,Agg_sP_19)+('Premium and Reserve Risk'!Q17-SUM(Agg_P_19))*'Underwriting Risk'!K64)/'Premium and Reserve Risk'!Q17,'Underwriting Risk'!K64)</f>
        <v>0.17</v>
      </c>
      <c r="L81" s="80"/>
      <c r="M81" s="659">
        <f>IF('Premium and Reserve Risk'!S17&lt;&gt;0,(SUMPRODUCT(Agg_R_19,Agg_sR_19)+('Premium and Reserve Risk'!S17-SUM(Agg_R_19))*'Underwriting Risk'!M64)/'Premium and Reserve Risk'!S17,'Underwriting Risk'!M64)</f>
        <v>0.2</v>
      </c>
      <c r="N81" s="80"/>
      <c r="O81" s="659">
        <f>IF(SUM('Premium and Reserve Risk'!Q17:S17)&lt;&gt;0,SQRT((K81*'Premium and Reserve Risk'!Q17)^2+0.5*(K81*'Premium and Reserve Risk'!Q17*M81*'Premium and Reserve Risk'!S17)+(M81*'Premium and Reserve Risk'!S17)^2)/('Premium and Reserve Risk'!Q17+'Premium and Reserve Risk'!S17),0)</f>
        <v>0</v>
      </c>
      <c r="P81" s="81"/>
      <c r="Q81" s="53"/>
      <c r="R81" s="66"/>
      <c r="S81" s="53"/>
    </row>
    <row r="82" spans="1:19" ht="15.75" x14ac:dyDescent="0.25">
      <c r="A82" s="53"/>
      <c r="B82" s="106" t="s">
        <v>455</v>
      </c>
      <c r="C82" s="80"/>
      <c r="D82" s="80"/>
      <c r="E82" s="80"/>
      <c r="F82" s="80"/>
      <c r="G82" s="80"/>
      <c r="H82" s="80"/>
      <c r="I82" s="80"/>
      <c r="J82" s="80"/>
      <c r="K82" s="659">
        <f>IF('Premium and Reserve Risk'!Q18&lt;&gt;0,(SUMPRODUCT(Agg_P_20,Agg_sP_20)+('Premium and Reserve Risk'!Q18-SUM(Agg_P_20))*'Underwriting Risk'!K65)/'Premium and Reserve Risk'!Q18,'Underwriting Risk'!K65)</f>
        <v>0.17</v>
      </c>
      <c r="L82" s="80"/>
      <c r="M82" s="659">
        <f>IF('Premium and Reserve Risk'!S18&lt;&gt;0,(SUMPRODUCT(Agg_R_20,Agg_sR_20)+('Premium and Reserve Risk'!S18-SUM(Agg_R_20))*'Underwriting Risk'!M65)/'Premium and Reserve Risk'!S18,'Underwriting Risk'!M65)</f>
        <v>0.2</v>
      </c>
      <c r="N82" s="80"/>
      <c r="O82" s="659">
        <f>IF(SUM('Premium and Reserve Risk'!Q18:S18)&lt;&gt;0,SQRT((K82*'Premium and Reserve Risk'!Q18)^2+0.5*(K82*'Premium and Reserve Risk'!Q18*M82*'Premium and Reserve Risk'!S18)+(M82*'Premium and Reserve Risk'!S18)^2)/('Premium and Reserve Risk'!Q18+'Premium and Reserve Risk'!S18),0)</f>
        <v>0</v>
      </c>
      <c r="P82" s="81"/>
      <c r="Q82" s="53"/>
      <c r="R82" s="66"/>
      <c r="S82" s="53"/>
    </row>
    <row r="83" spans="1:19" ht="15.75" x14ac:dyDescent="0.25">
      <c r="A83" s="53"/>
      <c r="B83" s="106" t="s">
        <v>456</v>
      </c>
      <c r="C83" s="80"/>
      <c r="D83" s="80"/>
      <c r="E83" s="80"/>
      <c r="F83" s="80"/>
      <c r="G83" s="80"/>
      <c r="H83" s="80"/>
      <c r="I83" s="80"/>
      <c r="J83" s="80"/>
      <c r="K83" s="659">
        <f>IF('Premium and Reserve Risk'!Q19&lt;&gt;0,(SUMPRODUCT(Agg_P_21,Agg_sP_21)+('Premium and Reserve Risk'!Q19-SUM(Agg_P_21))*'Underwriting Risk'!K66)/'Premium and Reserve Risk'!Q19,'Underwriting Risk'!K66)</f>
        <v>0.17</v>
      </c>
      <c r="L83" s="80"/>
      <c r="M83" s="659">
        <f>IF('Premium and Reserve Risk'!S19&lt;&gt;0,(SUMPRODUCT(Agg_R_21,Agg_sR_21)+('Premium and Reserve Risk'!S19-SUM(Agg_R_21))*'Underwriting Risk'!M66)/'Premium and Reserve Risk'!S19,'Underwriting Risk'!M66)</f>
        <v>0.2</v>
      </c>
      <c r="N83" s="80"/>
      <c r="O83" s="659">
        <f>IF(SUM('Premium and Reserve Risk'!Q19:S19)&lt;&gt;0,SQRT((K83*'Premium and Reserve Risk'!Q19)^2+0.5*(K83*'Premium and Reserve Risk'!Q19*M83*'Premium and Reserve Risk'!S19)+(M83*'Premium and Reserve Risk'!S19)^2)/('Premium and Reserve Risk'!Q19+'Premium and Reserve Risk'!S19),0)</f>
        <v>0</v>
      </c>
      <c r="P83" s="81"/>
      <c r="Q83" s="53"/>
      <c r="R83" s="66"/>
      <c r="S83" s="53"/>
    </row>
    <row r="84" spans="1:19" ht="16.5" thickBot="1" x14ac:dyDescent="0.3">
      <c r="A84" s="53"/>
      <c r="B84" s="110"/>
      <c r="C84" s="93"/>
      <c r="D84" s="93"/>
      <c r="E84" s="93"/>
      <c r="F84" s="93"/>
      <c r="G84" s="93"/>
      <c r="H84" s="93"/>
      <c r="I84" s="93"/>
      <c r="J84" s="93"/>
      <c r="K84" s="93"/>
      <c r="L84" s="93"/>
      <c r="M84" s="93"/>
      <c r="N84" s="93"/>
      <c r="O84" s="93"/>
      <c r="P84" s="94"/>
      <c r="Q84" s="53"/>
      <c r="R84" s="53"/>
      <c r="S84" s="53"/>
    </row>
    <row r="85" spans="1:19" ht="15.75" x14ac:dyDescent="0.25">
      <c r="A85" s="53"/>
      <c r="B85" s="53"/>
      <c r="C85" s="53"/>
      <c r="D85" s="53"/>
      <c r="E85" s="53"/>
      <c r="F85" s="53"/>
      <c r="G85" s="53"/>
      <c r="H85" s="53"/>
      <c r="I85" s="53"/>
      <c r="J85" s="53"/>
      <c r="K85" s="53"/>
      <c r="L85" s="53"/>
      <c r="M85" s="53"/>
      <c r="N85" s="53"/>
      <c r="O85" s="53"/>
      <c r="P85" s="53"/>
      <c r="Q85" s="53"/>
      <c r="R85" s="53"/>
      <c r="S85" s="53"/>
    </row>
    <row r="86" spans="1:19" ht="6" customHeight="1" thickBot="1" x14ac:dyDescent="0.3">
      <c r="A86" s="53"/>
      <c r="B86" s="53"/>
      <c r="C86" s="53"/>
      <c r="D86" s="53"/>
      <c r="E86" s="53"/>
      <c r="F86" s="53"/>
      <c r="G86" s="53"/>
      <c r="H86" s="53"/>
      <c r="I86" s="53"/>
      <c r="J86" s="53"/>
      <c r="K86" s="53"/>
      <c r="L86" s="53"/>
      <c r="M86" s="53"/>
      <c r="N86" s="53"/>
      <c r="O86" s="53"/>
      <c r="P86" s="53"/>
      <c r="Q86" s="53"/>
      <c r="R86" s="53"/>
      <c r="S86" s="53"/>
    </row>
    <row r="87" spans="1:19" ht="39.75" customHeight="1" thickBot="1" x14ac:dyDescent="0.3">
      <c r="A87" s="53"/>
      <c r="B87" s="126" t="s">
        <v>572</v>
      </c>
      <c r="C87" s="127"/>
      <c r="D87" s="127"/>
      <c r="E87" s="873" t="s">
        <v>573</v>
      </c>
      <c r="F87" s="873"/>
      <c r="G87" s="873"/>
      <c r="H87" s="302"/>
      <c r="I87" s="230"/>
      <c r="J87" s="53"/>
      <c r="K87" s="53"/>
      <c r="L87" s="53"/>
      <c r="M87" s="53"/>
      <c r="N87" s="53"/>
      <c r="O87" s="53"/>
      <c r="P87" s="53"/>
      <c r="Q87" s="53"/>
      <c r="R87" s="53"/>
      <c r="S87" s="53"/>
    </row>
    <row r="88" spans="1:19" ht="15.75" x14ac:dyDescent="0.25">
      <c r="A88" s="53"/>
      <c r="B88" s="231"/>
      <c r="C88" s="131"/>
      <c r="D88" s="131"/>
      <c r="E88" s="131"/>
      <c r="F88" s="131"/>
      <c r="G88" s="131"/>
      <c r="H88" s="133"/>
      <c r="I88" s="53"/>
      <c r="J88" s="53"/>
      <c r="K88" s="53"/>
      <c r="L88" s="53"/>
      <c r="M88" s="53"/>
      <c r="N88" s="53"/>
      <c r="O88" s="53"/>
      <c r="P88" s="53"/>
      <c r="Q88" s="53"/>
      <c r="R88" s="53"/>
      <c r="S88" s="53"/>
    </row>
    <row r="89" spans="1:19" ht="15.75" x14ac:dyDescent="0.25">
      <c r="A89" s="53"/>
      <c r="B89" s="106" t="s">
        <v>560</v>
      </c>
      <c r="C89" s="80"/>
      <c r="D89" s="80"/>
      <c r="E89" s="80"/>
      <c r="F89" s="80"/>
      <c r="G89" s="666">
        <f>'Premium and Reserve Risk'!W8*O72</f>
        <v>0</v>
      </c>
      <c r="H89" s="81"/>
      <c r="I89" s="53"/>
      <c r="J89" s="53"/>
      <c r="K89" s="53"/>
      <c r="L89" s="53"/>
      <c r="M89" s="53"/>
      <c r="N89" s="53"/>
      <c r="O89" s="53"/>
      <c r="P89" s="53"/>
      <c r="Q89" s="53"/>
      <c r="R89" s="53"/>
      <c r="S89" s="53"/>
    </row>
    <row r="90" spans="1:19" ht="15.75" x14ac:dyDescent="0.25">
      <c r="A90" s="53"/>
      <c r="B90" s="106" t="s">
        <v>561</v>
      </c>
      <c r="C90" s="80"/>
      <c r="D90" s="80"/>
      <c r="E90" s="80"/>
      <c r="F90" s="80"/>
      <c r="G90" s="666">
        <f>'Premium and Reserve Risk'!W9*O73</f>
        <v>0</v>
      </c>
      <c r="H90" s="81"/>
      <c r="I90" s="53"/>
      <c r="J90" s="53"/>
      <c r="K90" s="53"/>
      <c r="L90" s="53"/>
      <c r="M90" s="53"/>
      <c r="N90" s="53"/>
      <c r="O90" s="53"/>
      <c r="P90" s="53"/>
      <c r="Q90" s="53"/>
      <c r="R90" s="53"/>
      <c r="S90" s="53"/>
    </row>
    <row r="91" spans="1:19" ht="15.75" x14ac:dyDescent="0.25">
      <c r="A91" s="53"/>
      <c r="B91" s="106" t="s">
        <v>562</v>
      </c>
      <c r="C91" s="80"/>
      <c r="D91" s="80"/>
      <c r="E91" s="80"/>
      <c r="F91" s="80"/>
      <c r="G91" s="666">
        <f>'Premium and Reserve Risk'!W10*O74</f>
        <v>0</v>
      </c>
      <c r="H91" s="81"/>
      <c r="I91" s="53"/>
      <c r="J91" s="53"/>
      <c r="K91" s="53"/>
      <c r="L91" s="53"/>
      <c r="M91" s="53"/>
      <c r="N91" s="53"/>
      <c r="O91" s="53"/>
      <c r="P91" s="53"/>
      <c r="Q91" s="53"/>
      <c r="R91" s="53"/>
      <c r="S91" s="53"/>
    </row>
    <row r="92" spans="1:19" ht="15.75" x14ac:dyDescent="0.25">
      <c r="A92" s="53"/>
      <c r="B92" s="106" t="s">
        <v>563</v>
      </c>
      <c r="C92" s="80"/>
      <c r="D92" s="80"/>
      <c r="E92" s="80"/>
      <c r="F92" s="80"/>
      <c r="G92" s="666">
        <f>'Premium and Reserve Risk'!W11*O75</f>
        <v>0</v>
      </c>
      <c r="H92" s="81"/>
      <c r="I92" s="53"/>
      <c r="J92" s="53"/>
      <c r="K92" s="53"/>
      <c r="L92" s="53"/>
      <c r="M92" s="53"/>
      <c r="N92" s="53"/>
      <c r="O92" s="53"/>
      <c r="P92" s="53"/>
      <c r="Q92" s="53"/>
      <c r="R92" s="53"/>
      <c r="S92" s="53"/>
    </row>
    <row r="93" spans="1:19" ht="15.75" x14ac:dyDescent="0.25">
      <c r="A93" s="53"/>
      <c r="B93" s="106" t="s">
        <v>564</v>
      </c>
      <c r="C93" s="80"/>
      <c r="D93" s="80"/>
      <c r="E93" s="80"/>
      <c r="F93" s="80"/>
      <c r="G93" s="666">
        <f>'Premium and Reserve Risk'!W12*O76</f>
        <v>0</v>
      </c>
      <c r="H93" s="81"/>
      <c r="I93" s="53"/>
      <c r="J93" s="53"/>
      <c r="K93" s="53"/>
      <c r="L93" s="53"/>
      <c r="M93" s="53"/>
      <c r="N93" s="53"/>
      <c r="O93" s="53"/>
      <c r="P93" s="53"/>
      <c r="Q93" s="53"/>
      <c r="R93" s="53"/>
      <c r="S93" s="53"/>
    </row>
    <row r="94" spans="1:19" ht="15.75" x14ac:dyDescent="0.25">
      <c r="A94" s="53"/>
      <c r="B94" s="106" t="s">
        <v>565</v>
      </c>
      <c r="C94" s="80"/>
      <c r="D94" s="80"/>
      <c r="E94" s="80"/>
      <c r="F94" s="80"/>
      <c r="G94" s="666">
        <f>'Premium and Reserve Risk'!W13*O77</f>
        <v>0</v>
      </c>
      <c r="H94" s="81"/>
      <c r="I94" s="53"/>
      <c r="J94" s="53"/>
      <c r="K94" s="53"/>
      <c r="L94" s="53"/>
      <c r="M94" s="53"/>
      <c r="N94" s="53"/>
      <c r="O94" s="53"/>
      <c r="P94" s="53"/>
      <c r="Q94" s="53"/>
      <c r="R94" s="53"/>
      <c r="S94" s="53"/>
    </row>
    <row r="95" spans="1:19" ht="15.75" x14ac:dyDescent="0.25">
      <c r="A95" s="53"/>
      <c r="B95" s="106" t="s">
        <v>566</v>
      </c>
      <c r="C95" s="80"/>
      <c r="D95" s="80"/>
      <c r="E95" s="80"/>
      <c r="F95" s="80"/>
      <c r="G95" s="666">
        <f>'Premium and Reserve Risk'!W14*O78</f>
        <v>0</v>
      </c>
      <c r="H95" s="81"/>
      <c r="I95" s="53"/>
      <c r="J95" s="53"/>
      <c r="K95" s="53"/>
      <c r="L95" s="53"/>
      <c r="M95" s="53"/>
      <c r="N95" s="53"/>
      <c r="O95" s="53"/>
      <c r="P95" s="53"/>
      <c r="Q95" s="53"/>
      <c r="R95" s="53"/>
      <c r="S95" s="53"/>
    </row>
    <row r="96" spans="1:19" ht="15.75" x14ac:dyDescent="0.25">
      <c r="A96" s="53"/>
      <c r="B96" s="106" t="s">
        <v>567</v>
      </c>
      <c r="C96" s="80"/>
      <c r="D96" s="80"/>
      <c r="E96" s="80"/>
      <c r="F96" s="80"/>
      <c r="G96" s="666">
        <f>'Premium and Reserve Risk'!W15*O79</f>
        <v>0</v>
      </c>
      <c r="H96" s="81"/>
      <c r="I96" s="53"/>
      <c r="J96" s="53"/>
      <c r="K96" s="53"/>
      <c r="L96" s="53"/>
      <c r="M96" s="53"/>
      <c r="N96" s="53"/>
      <c r="O96" s="53"/>
      <c r="P96" s="53"/>
      <c r="Q96" s="53"/>
      <c r="R96" s="53"/>
      <c r="S96" s="53"/>
    </row>
    <row r="97" spans="1:19" ht="15.75" x14ac:dyDescent="0.25">
      <c r="A97" s="53"/>
      <c r="B97" s="106" t="s">
        <v>568</v>
      </c>
      <c r="C97" s="80"/>
      <c r="D97" s="80"/>
      <c r="E97" s="80"/>
      <c r="F97" s="80"/>
      <c r="G97" s="666">
        <f>'Premium and Reserve Risk'!W16*O80</f>
        <v>0</v>
      </c>
      <c r="H97" s="81"/>
      <c r="I97" s="53"/>
      <c r="J97" s="53"/>
      <c r="K97" s="53"/>
      <c r="L97" s="53"/>
      <c r="M97" s="53"/>
      <c r="N97" s="53"/>
      <c r="O97" s="53"/>
      <c r="P97" s="53"/>
      <c r="Q97" s="53"/>
      <c r="R97" s="53"/>
      <c r="S97" s="53"/>
    </row>
    <row r="98" spans="1:19" ht="15.75" x14ac:dyDescent="0.25">
      <c r="A98" s="53"/>
      <c r="B98" s="106" t="s">
        <v>454</v>
      </c>
      <c r="C98" s="80"/>
      <c r="D98" s="80"/>
      <c r="E98" s="80"/>
      <c r="F98" s="80"/>
      <c r="G98" s="666">
        <f>'Premium and Reserve Risk'!W17*O81</f>
        <v>0</v>
      </c>
      <c r="H98" s="81"/>
      <c r="I98" s="53"/>
      <c r="J98" s="53"/>
      <c r="K98" s="53"/>
      <c r="L98" s="53"/>
      <c r="M98" s="53"/>
      <c r="N98" s="53"/>
      <c r="O98" s="53"/>
      <c r="P98" s="53"/>
      <c r="Q98" s="53"/>
      <c r="R98" s="53"/>
      <c r="S98" s="53"/>
    </row>
    <row r="99" spans="1:19" ht="15.75" x14ac:dyDescent="0.25">
      <c r="A99" s="53"/>
      <c r="B99" s="106" t="s">
        <v>455</v>
      </c>
      <c r="C99" s="80"/>
      <c r="D99" s="80"/>
      <c r="E99" s="80"/>
      <c r="F99" s="80"/>
      <c r="G99" s="666">
        <f>'Premium and Reserve Risk'!W18*O82</f>
        <v>0</v>
      </c>
      <c r="H99" s="81"/>
      <c r="I99" s="53"/>
      <c r="J99" s="53"/>
      <c r="K99" s="53"/>
      <c r="L99" s="53"/>
      <c r="M99" s="53"/>
      <c r="N99" s="53"/>
      <c r="O99" s="53"/>
      <c r="P99" s="53"/>
      <c r="Q99" s="53"/>
      <c r="R99" s="53"/>
      <c r="S99" s="53"/>
    </row>
    <row r="100" spans="1:19" ht="15.75" x14ac:dyDescent="0.25">
      <c r="A100" s="53"/>
      <c r="B100" s="106" t="s">
        <v>456</v>
      </c>
      <c r="C100" s="80"/>
      <c r="D100" s="80"/>
      <c r="E100" s="80"/>
      <c r="F100" s="80"/>
      <c r="G100" s="666">
        <f>'Premium and Reserve Risk'!W19*O83</f>
        <v>0</v>
      </c>
      <c r="H100" s="81"/>
      <c r="I100" s="53"/>
      <c r="J100" s="53"/>
      <c r="K100" s="53"/>
      <c r="L100" s="53"/>
      <c r="M100" s="53"/>
      <c r="N100" s="53"/>
      <c r="O100" s="53"/>
      <c r="P100" s="53"/>
      <c r="Q100" s="53"/>
      <c r="R100" s="53"/>
      <c r="S100" s="53"/>
    </row>
    <row r="101" spans="1:19" ht="15.75" x14ac:dyDescent="0.25">
      <c r="A101" s="53"/>
      <c r="B101" s="106"/>
      <c r="C101" s="80"/>
      <c r="D101" s="80"/>
      <c r="E101" s="80"/>
      <c r="F101" s="80"/>
      <c r="G101" s="85"/>
      <c r="H101" s="81"/>
      <c r="I101" s="53"/>
      <c r="J101" s="53"/>
      <c r="K101" s="53"/>
      <c r="L101" s="53"/>
      <c r="M101" s="53"/>
      <c r="N101" s="53"/>
      <c r="O101" s="53"/>
      <c r="P101" s="53"/>
      <c r="Q101" s="53"/>
      <c r="R101" s="53"/>
      <c r="S101" s="53"/>
    </row>
    <row r="102" spans="1:19" ht="15.75" x14ac:dyDescent="0.25">
      <c r="A102" s="53"/>
      <c r="B102" s="107" t="s">
        <v>574</v>
      </c>
      <c r="C102" s="622"/>
      <c r="D102" s="622"/>
      <c r="E102" s="622"/>
      <c r="F102" s="622"/>
      <c r="G102" s="627"/>
      <c r="H102" s="632"/>
      <c r="I102" s="53"/>
      <c r="J102" s="53"/>
      <c r="K102" s="53"/>
      <c r="L102" s="53"/>
      <c r="M102" s="53"/>
      <c r="N102" s="53"/>
      <c r="O102" s="53"/>
      <c r="P102" s="53"/>
      <c r="Q102" s="53"/>
      <c r="R102" s="53"/>
      <c r="S102" s="53"/>
    </row>
    <row r="103" spans="1:19" ht="15.75" x14ac:dyDescent="0.25">
      <c r="A103" s="53"/>
      <c r="B103" s="106"/>
      <c r="C103" s="80"/>
      <c r="D103" s="80"/>
      <c r="E103" s="80"/>
      <c r="F103" s="80"/>
      <c r="G103" s="85"/>
      <c r="H103" s="81"/>
      <c r="I103" s="53"/>
      <c r="J103" s="53"/>
      <c r="K103" s="53"/>
      <c r="L103" s="53"/>
      <c r="M103" s="53"/>
      <c r="N103" s="53"/>
      <c r="O103" s="53"/>
      <c r="P103" s="53"/>
      <c r="Q103" s="53"/>
      <c r="R103" s="53"/>
      <c r="S103" s="53"/>
    </row>
    <row r="104" spans="1:19" ht="15.75" x14ac:dyDescent="0.25">
      <c r="A104" s="53"/>
      <c r="B104" s="303" t="s">
        <v>575</v>
      </c>
      <c r="C104" s="80"/>
      <c r="D104" s="80"/>
      <c r="E104" s="80"/>
      <c r="F104" s="80"/>
      <c r="G104" s="669">
        <f>SUM('Premium and Reserve Risk'!$W$8:$W$19)</f>
        <v>0</v>
      </c>
      <c r="H104" s="81"/>
      <c r="I104" s="53"/>
      <c r="J104" s="53"/>
      <c r="K104" s="53"/>
      <c r="L104" s="53"/>
      <c r="M104" s="53"/>
      <c r="N104" s="53"/>
      <c r="O104" s="53"/>
      <c r="P104" s="53"/>
      <c r="Q104" s="53"/>
      <c r="R104" s="53"/>
      <c r="S104" s="66"/>
    </row>
    <row r="105" spans="1:19" ht="15.75" x14ac:dyDescent="0.25">
      <c r="A105" s="53"/>
      <c r="B105" s="303" t="s">
        <v>576</v>
      </c>
      <c r="C105" s="80"/>
      <c r="D105" s="80"/>
      <c r="E105" s="80"/>
      <c r="F105" s="80"/>
      <c r="G105" s="659">
        <f t="array" ref="G105">IF($G$104=0,0,SQRT(MMULT(MMULT(TRANSPOSE($G$89:$G$100),CorrPR_10),$G$89:$G$100))/$G$104)</f>
        <v>0</v>
      </c>
      <c r="H105" s="81"/>
      <c r="I105" s="53"/>
      <c r="J105" s="53"/>
      <c r="K105" s="53"/>
      <c r="L105" s="53"/>
      <c r="M105" s="53"/>
      <c r="N105" s="53"/>
      <c r="O105" s="53"/>
      <c r="P105" s="53"/>
      <c r="Q105" s="53"/>
      <c r="R105" s="53"/>
      <c r="S105" s="66"/>
    </row>
    <row r="106" spans="1:19" ht="16.5" thickBot="1" x14ac:dyDescent="0.3">
      <c r="A106" s="53"/>
      <c r="B106" s="110"/>
      <c r="C106" s="93"/>
      <c r="D106" s="93"/>
      <c r="E106" s="93"/>
      <c r="F106" s="93"/>
      <c r="G106" s="93"/>
      <c r="H106" s="94"/>
      <c r="I106" s="53"/>
      <c r="J106" s="53"/>
      <c r="K106" s="53"/>
      <c r="L106" s="53"/>
      <c r="M106" s="53"/>
      <c r="N106" s="53"/>
      <c r="O106" s="53"/>
      <c r="P106" s="53"/>
      <c r="Q106" s="53"/>
      <c r="R106" s="53"/>
      <c r="S106" s="53"/>
    </row>
    <row r="107" spans="1:19" ht="15.75" x14ac:dyDescent="0.25">
      <c r="A107" s="53"/>
      <c r="B107" s="53"/>
      <c r="C107" s="53"/>
      <c r="D107" s="53"/>
      <c r="E107" s="53"/>
      <c r="F107" s="53"/>
      <c r="G107" s="53"/>
      <c r="H107" s="53"/>
      <c r="I107" s="53"/>
      <c r="J107" s="53"/>
      <c r="K107" s="53"/>
      <c r="L107" s="53"/>
      <c r="M107" s="53"/>
      <c r="N107" s="53"/>
      <c r="O107" s="53"/>
      <c r="P107" s="53"/>
      <c r="Q107" s="53"/>
      <c r="R107" s="53"/>
      <c r="S107" s="53"/>
    </row>
    <row r="108" spans="1:19" ht="15.75" x14ac:dyDescent="0.25">
      <c r="A108" s="53"/>
      <c r="B108" s="53"/>
      <c r="C108" s="53"/>
      <c r="D108" s="53"/>
      <c r="E108" s="53"/>
      <c r="F108" s="53"/>
      <c r="G108" s="53"/>
      <c r="H108" s="53"/>
      <c r="I108" s="158"/>
      <c r="J108" s="53"/>
      <c r="K108" s="53"/>
      <c r="L108" s="53"/>
      <c r="M108" s="53"/>
      <c r="N108" s="53"/>
      <c r="O108" s="53"/>
      <c r="P108" s="53"/>
      <c r="Q108" s="53"/>
      <c r="R108" s="53"/>
      <c r="S108" s="53"/>
    </row>
  </sheetData>
  <sheetProtection algorithmName="SHA-512" hashValue="i9fhulDQvexjOrLBAQyPW4Wl+oEYbjbk5smcHcjEB2WiK0hZucdJpszWCA3GDDnmKqB27QB+WQ/Xwm9K6XP5zw==" saltValue="8McoSNjKv2K3QI9+qcO/Vg==" spinCount="100000" sheet="1" objects="1" scenarios="1"/>
  <customSheetViews>
    <customSheetView guid="{5F9ED89D-ECFA-4459-A055-6360C65F3370}" scale="85" fitToPage="1" hiddenRows="1" hiddenColumns="1">
      <selection sqref="A1:XFD1048576"/>
      <pageMargins left="0" right="0" top="0" bottom="0" header="0" footer="0"/>
      <pageSetup paperSize="9" orientation="portrait" r:id="rId1"/>
      <headerFooter>
        <oddFooter>&amp;CDRAFT - FOR DISCUSSION PURPOSES ONLY</oddFooter>
      </headerFooter>
    </customSheetView>
  </customSheetViews>
  <mergeCells count="1">
    <mergeCell ref="E87:G87"/>
  </mergeCells>
  <conditionalFormatting sqref="I1 I3 I5:I6 R7:R45 I46:I51 I108">
    <cfRule type="cellIs" dxfId="501" priority="11" operator="equal">
      <formula>"ZERO"</formula>
    </cfRule>
    <cfRule type="cellIs" dxfId="500" priority="50" operator="equal">
      <formula>"OK"</formula>
    </cfRule>
    <cfRule type="cellIs" dxfId="499" priority="51" operator="equal">
      <formula>"ERROR"</formula>
    </cfRule>
  </conditionalFormatting>
  <conditionalFormatting sqref="I4">
    <cfRule type="cellIs" dxfId="498" priority="3" operator="equal">
      <formula>"Complete"</formula>
    </cfRule>
    <cfRule type="cellIs" dxfId="497" priority="4" operator="equal">
      <formula>"Incomplete"</formula>
    </cfRule>
  </conditionalFormatting>
  <conditionalFormatting sqref="I17">
    <cfRule type="cellIs" dxfId="496" priority="1" operator="equal">
      <formula>"Complete"</formula>
    </cfRule>
    <cfRule type="cellIs" dxfId="495" priority="2" operator="equal">
      <formula>"Incomplete"</formula>
    </cfRule>
  </conditionalFormatting>
  <conditionalFormatting sqref="Q26:Q29">
    <cfRule type="cellIs" dxfId="494" priority="38" operator="equal">
      <formula>"OK"</formula>
    </cfRule>
    <cfRule type="cellIs" dxfId="493" priority="39" operator="equal">
      <formula>"ERROR"</formula>
    </cfRule>
  </conditionalFormatting>
  <conditionalFormatting sqref="R2">
    <cfRule type="cellIs" dxfId="492" priority="9" operator="equal">
      <formula>"OK"</formula>
    </cfRule>
    <cfRule type="cellIs" dxfId="491" priority="10" operator="equal">
      <formula>"ERROR"</formula>
    </cfRule>
  </conditionalFormatting>
  <conditionalFormatting sqref="R70:R84">
    <cfRule type="cellIs" dxfId="490" priority="5" operator="equal">
      <formula>"OK"</formula>
    </cfRule>
    <cfRule type="cellIs" dxfId="489" priority="6" operator="equal">
      <formula>"ERROR"</formula>
    </cfRule>
  </conditionalFormatting>
  <conditionalFormatting sqref="S52 R53:R68 S69 S85:S107">
    <cfRule type="cellIs" dxfId="488" priority="46" operator="equal">
      <formula>"OK"</formula>
    </cfRule>
    <cfRule type="cellIs" dxfId="487" priority="47" operator="equal">
      <formula>"ERROR"</formula>
    </cfRule>
  </conditionalFormatting>
  <dataValidations count="9">
    <dataValidation allowBlank="1" showInputMessage="1" showErrorMessage="1" promptTitle="SCR Non-Life" prompt="See TS 2.8.3 for the calculation of the diversified capital requirement for non-life underwriting risk." sqref="C18:C19" xr:uid="{00000000-0002-0000-1800-000000000000}"/>
    <dataValidation allowBlank="1" showInputMessage="1" showErrorMessage="1" promptTitle="σ(s)" prompt="See TS 2.8.4.15. - overall standard deviation for premium and reserve risk for each segment, s." sqref="O53" xr:uid="{00000000-0002-0000-1800-000001000000}"/>
    <dataValidation allowBlank="1" showErrorMessage="1" promptTitle="σ(prem,s)" prompt="See TS 2.8.4.9. - standard deviation for premium risk gross of reinsurance for each segment, s." sqref="I70" xr:uid="{00000000-0002-0000-1800-000002000000}"/>
    <dataValidation allowBlank="1" showErrorMessage="1" promptTitle="Segmentation by Line of Business" prompt="See TS 2.6.4.4. for the proposed segmentation by LoB, this differs slightly to that used for the Technical Provisions since proportional reinsurance is included within each of the first 9 segments, s." sqref="B70" xr:uid="{00000000-0002-0000-1800-000003000000}"/>
    <dataValidation allowBlank="1" showErrorMessage="1" promptTitle="Segmentation by Line of Business" prompt="See TS(10) 2.6.4.4. for the proposed segmentation by LoB, this differs slightly to that used for the Technical Provisions since proportional reinsurance is included within each of the first 9 segments, s." sqref="B53" xr:uid="{00000000-0002-0000-1800-000004000000}"/>
    <dataValidation allowBlank="1" showErrorMessage="1" promptTitle="NP(s)" prompt="See TS(10) 2.6.4.10. &amp; 2.6.4.11. - NP(s) allows undertakings to take into account the risk-mitigating effect of particular per risk excess of loss reinsurance." sqref="G70" xr:uid="{00000000-0002-0000-1800-000005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33 E23 E5" xr:uid="{00000000-0002-0000-1800-000006000000}"/>
    <dataValidation allowBlank="1" showErrorMessage="1" sqref="K53:M53" xr:uid="{00000000-0002-0000-1800-000007000000}"/>
    <dataValidation allowBlank="1" showErrorMessage="1" prompt="The insurers retention under its stop loss agreement less incurred claims." sqref="B17" xr:uid="{00000000-0002-0000-1800-000008000000}"/>
  </dataValidations>
  <hyperlinks>
    <hyperlink ref="B42" location="NLCAT_natural" display="NLCATnatural" xr:uid="{00000000-0004-0000-1800-000000000000}"/>
    <hyperlink ref="B43" location="NLCAT_npproperty" display="NLCATnpproperty" xr:uid="{00000000-0004-0000-1800-000001000000}"/>
    <hyperlink ref="B44" location="NLCAT_manmade" display="NLCATmanmade" xr:uid="{00000000-0004-0000-1800-000002000000}"/>
    <hyperlink ref="B45" location="NLCAT_other" display="NLCATother" xr:uid="{00000000-0004-0000-1800-000003000000}"/>
    <hyperlink ref="B7" location="Premium" display="NLpr" xr:uid="{00000000-0004-0000-1800-000004000000}"/>
    <hyperlink ref="B8" location="Lapse" display="NLlapse" xr:uid="{00000000-0004-0000-1800-000005000000}"/>
    <hyperlink ref="B29" location="'Premium and Reserve Risk'!A1" display="NLpr" xr:uid="{00000000-0004-0000-1800-000006000000}"/>
  </hyperlinks>
  <pageMargins left="0.70866141732283472" right="0.70866141732283472" top="0.74803149606299213" bottom="0.74803149606299213" header="0.31496062992125984" footer="0.31496062992125984"/>
  <pageSetup paperSize="9" scale="49" orientation="portrait" r:id="rId2"/>
  <headerFooter>
    <oddFooter>&amp;CDRAFT - FOR DISCUSSION PURPOSES ONLY</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00B050"/>
    <pageSetUpPr fitToPage="1"/>
  </sheetPr>
  <dimension ref="A1:R82"/>
  <sheetViews>
    <sheetView workbookViewId="0"/>
  </sheetViews>
  <sheetFormatPr defaultColWidth="0" defaultRowHeight="14.25" zeroHeight="1" x14ac:dyDescent="0.2"/>
  <cols>
    <col min="1" max="1" width="1.875" customWidth="1"/>
    <col min="2" max="2" width="48" customWidth="1"/>
    <col min="3" max="4" width="1.875" customWidth="1"/>
    <col min="5" max="5" width="19.375" customWidth="1"/>
    <col min="6" max="7" width="1.875" customWidth="1"/>
    <col min="8" max="8" width="9.625" bestFit="1" customWidth="1"/>
    <col min="9" max="9" width="1.875" customWidth="1"/>
    <col min="10" max="10" width="19.625" customWidth="1"/>
    <col min="11" max="11" width="2" customWidth="1"/>
    <col min="12" max="12" width="19.125" customWidth="1"/>
    <col min="13" max="13" width="2" customWidth="1"/>
    <col min="14" max="14" width="13.875" customWidth="1"/>
    <col min="15" max="16" width="1.375" customWidth="1"/>
    <col min="17" max="17" width="10.125" customWidth="1"/>
    <col min="18" max="18" width="1.375" customWidth="1"/>
  </cols>
  <sheetData>
    <row r="1" spans="1:18" ht="15.75" x14ac:dyDescent="0.25">
      <c r="A1" s="59">
        <v>1</v>
      </c>
      <c r="B1" s="59"/>
      <c r="C1" s="60"/>
      <c r="D1" s="60"/>
      <c r="E1" s="60"/>
      <c r="F1" s="60"/>
      <c r="G1" s="59"/>
      <c r="H1" s="185"/>
      <c r="I1" s="59"/>
      <c r="J1" s="60"/>
      <c r="K1" s="60"/>
      <c r="L1" s="60"/>
      <c r="M1" s="60"/>
      <c r="N1" s="60"/>
      <c r="O1" s="60"/>
      <c r="P1" s="60"/>
      <c r="Q1" s="60"/>
      <c r="R1" s="60"/>
    </row>
    <row r="2" spans="1:18" ht="35.25" customHeight="1" x14ac:dyDescent="0.25">
      <c r="A2" s="60"/>
      <c r="B2" s="60"/>
      <c r="C2" s="60"/>
      <c r="D2" s="60"/>
      <c r="E2" s="52" t="s">
        <v>68</v>
      </c>
      <c r="F2" s="60"/>
      <c r="G2" s="60"/>
      <c r="H2" s="60"/>
      <c r="I2" s="60"/>
      <c r="J2" s="60"/>
      <c r="K2" s="60"/>
      <c r="L2" s="60"/>
      <c r="M2" s="60"/>
      <c r="N2" s="60"/>
      <c r="O2" s="60"/>
      <c r="P2" s="60"/>
      <c r="Q2" s="61"/>
      <c r="R2" s="60"/>
    </row>
    <row r="3" spans="1:18" ht="15.75" x14ac:dyDescent="0.25">
      <c r="A3" s="53"/>
      <c r="B3" s="53"/>
      <c r="C3" s="53"/>
      <c r="D3" s="53"/>
      <c r="E3" s="53"/>
      <c r="F3" s="53"/>
      <c r="G3" s="53"/>
      <c r="H3" s="158"/>
      <c r="I3" s="53"/>
      <c r="J3" s="53"/>
      <c r="K3" s="53"/>
      <c r="L3" s="53"/>
      <c r="M3" s="53"/>
      <c r="N3" s="53"/>
      <c r="O3" s="53"/>
      <c r="P3" s="53"/>
      <c r="Q3" s="53"/>
      <c r="R3" s="53"/>
    </row>
    <row r="4" spans="1:18" ht="16.5" thickBot="1" x14ac:dyDescent="0.3">
      <c r="A4" s="53"/>
      <c r="B4" s="53"/>
      <c r="C4" s="53"/>
      <c r="D4" s="53"/>
      <c r="E4" s="53"/>
      <c r="F4" s="53"/>
      <c r="G4" s="53"/>
      <c r="H4" s="334" t="str">
        <f>IF(COUNTIF(H17,"Incomplete")&gt;0,"Incomplete","Complete")</f>
        <v>Complete</v>
      </c>
      <c r="I4" s="53"/>
      <c r="J4" s="53"/>
      <c r="K4" s="53"/>
      <c r="L4" s="53"/>
      <c r="M4" s="53"/>
      <c r="N4" s="53"/>
      <c r="O4" s="53"/>
      <c r="P4" s="53"/>
      <c r="Q4" s="53"/>
      <c r="R4" s="53"/>
    </row>
    <row r="5" spans="1:18" ht="14.25" customHeight="1" x14ac:dyDescent="0.25">
      <c r="A5" s="53"/>
      <c r="B5" s="353" t="s">
        <v>577</v>
      </c>
      <c r="C5" s="135"/>
      <c r="D5" s="289"/>
      <c r="E5" s="290" t="s">
        <v>164</v>
      </c>
      <c r="F5" s="138"/>
      <c r="G5" s="60"/>
      <c r="H5" s="158"/>
      <c r="I5" s="60"/>
      <c r="J5" s="53"/>
      <c r="K5" s="53"/>
      <c r="L5" s="53"/>
      <c r="M5" s="53"/>
      <c r="N5" s="53"/>
      <c r="O5" s="53"/>
      <c r="P5" s="53"/>
      <c r="Q5" s="53"/>
      <c r="R5" s="53"/>
    </row>
    <row r="6" spans="1:18" ht="6" customHeight="1" x14ac:dyDescent="0.25">
      <c r="A6" s="53"/>
      <c r="B6" s="106"/>
      <c r="C6" s="80"/>
      <c r="D6" s="150"/>
      <c r="E6" s="80"/>
      <c r="F6" s="81"/>
      <c r="G6" s="53"/>
      <c r="H6" s="158"/>
      <c r="I6" s="53"/>
      <c r="J6" s="53"/>
      <c r="K6" s="53"/>
      <c r="L6" s="53"/>
      <c r="M6" s="53"/>
      <c r="N6" s="53"/>
      <c r="O6" s="53"/>
      <c r="P6" s="53"/>
      <c r="Q6" s="53"/>
      <c r="R6" s="53"/>
    </row>
    <row r="7" spans="1:18" ht="15.75" x14ac:dyDescent="0.25">
      <c r="A7" s="53"/>
      <c r="B7" s="106" t="s">
        <v>578</v>
      </c>
      <c r="C7" s="279"/>
      <c r="D7" s="150"/>
      <c r="E7" s="626">
        <f>NL_Health_PR_10</f>
        <v>0</v>
      </c>
      <c r="F7" s="81"/>
      <c r="G7" s="291"/>
      <c r="H7" s="53"/>
      <c r="I7" s="292"/>
      <c r="J7" s="53"/>
      <c r="K7" s="53"/>
      <c r="L7" s="66"/>
      <c r="M7" s="53"/>
      <c r="N7" s="53"/>
      <c r="O7" s="53"/>
      <c r="P7" s="53"/>
      <c r="Q7" s="158"/>
      <c r="R7" s="53"/>
    </row>
    <row r="8" spans="1:18" ht="15.75" x14ac:dyDescent="0.25">
      <c r="A8" s="53"/>
      <c r="B8" s="106" t="s">
        <v>579</v>
      </c>
      <c r="C8" s="755"/>
      <c r="D8" s="150"/>
      <c r="E8" s="626">
        <f>NL_Lapse_10_Health</f>
        <v>0</v>
      </c>
      <c r="F8" s="81"/>
      <c r="G8" s="292"/>
      <c r="H8" s="53"/>
      <c r="I8" s="292"/>
      <c r="J8" s="53"/>
      <c r="K8" s="53"/>
      <c r="L8" s="66"/>
      <c r="M8" s="53"/>
      <c r="N8" s="53"/>
      <c r="O8" s="53"/>
      <c r="P8" s="53"/>
      <c r="Q8" s="158"/>
      <c r="R8" s="53"/>
    </row>
    <row r="9" spans="1:18" ht="15.75" x14ac:dyDescent="0.25">
      <c r="A9" s="53"/>
      <c r="B9" s="293"/>
      <c r="C9" s="279"/>
      <c r="D9" s="150"/>
      <c r="E9" s="668">
        <v>0</v>
      </c>
      <c r="F9" s="81"/>
      <c r="G9" s="292"/>
      <c r="H9" s="53"/>
      <c r="I9" s="292"/>
      <c r="J9" s="53"/>
      <c r="K9" s="53"/>
      <c r="L9" s="66"/>
      <c r="M9" s="53"/>
      <c r="N9" s="53"/>
      <c r="O9" s="53"/>
      <c r="P9" s="53"/>
      <c r="Q9" s="158"/>
      <c r="R9" s="53"/>
    </row>
    <row r="10" spans="1:18" ht="6" customHeight="1" x14ac:dyDescent="0.25">
      <c r="A10" s="53"/>
      <c r="B10" s="106"/>
      <c r="C10" s="80"/>
      <c r="D10" s="150"/>
      <c r="E10" s="201"/>
      <c r="F10" s="81"/>
      <c r="G10" s="292"/>
      <c r="H10" s="53"/>
      <c r="I10" s="292"/>
      <c r="J10" s="53"/>
      <c r="K10" s="53"/>
      <c r="L10" s="53"/>
      <c r="M10" s="53"/>
      <c r="N10" s="53"/>
      <c r="O10" s="53"/>
      <c r="P10" s="53"/>
      <c r="Q10" s="158"/>
      <c r="R10" s="53"/>
    </row>
    <row r="11" spans="1:18" ht="15.75" x14ac:dyDescent="0.25">
      <c r="A11" s="53"/>
      <c r="B11" s="106" t="s">
        <v>544</v>
      </c>
      <c r="C11" s="80"/>
      <c r="D11" s="150"/>
      <c r="E11" s="626">
        <f>SUM(E7:E9)</f>
        <v>0</v>
      </c>
      <c r="F11" s="81"/>
      <c r="G11" s="292"/>
      <c r="H11" s="53"/>
      <c r="I11" s="292"/>
      <c r="J11" s="53"/>
      <c r="K11" s="53"/>
      <c r="L11" s="66"/>
      <c r="M11" s="53"/>
      <c r="N11" s="53"/>
      <c r="O11" s="53"/>
      <c r="P11" s="53"/>
      <c r="Q11" s="158"/>
      <c r="R11" s="53"/>
    </row>
    <row r="12" spans="1:18" ht="6" customHeight="1" x14ac:dyDescent="0.25">
      <c r="A12" s="53"/>
      <c r="B12" s="106"/>
      <c r="C12" s="80"/>
      <c r="D12" s="150"/>
      <c r="E12" s="201"/>
      <c r="F12" s="81"/>
      <c r="G12" s="292"/>
      <c r="H12" s="53"/>
      <c r="I12" s="292"/>
      <c r="J12" s="53"/>
      <c r="K12" s="53"/>
      <c r="L12" s="53"/>
      <c r="M12" s="53"/>
      <c r="N12" s="53"/>
      <c r="O12" s="53"/>
      <c r="P12" s="53"/>
      <c r="Q12" s="158"/>
      <c r="R12" s="53"/>
    </row>
    <row r="13" spans="1:18" ht="15.75" x14ac:dyDescent="0.25">
      <c r="A13" s="53"/>
      <c r="B13" s="106" t="s">
        <v>545</v>
      </c>
      <c r="C13" s="80"/>
      <c r="D13" s="150"/>
      <c r="E13" s="626">
        <f>E15-E11</f>
        <v>0</v>
      </c>
      <c r="F13" s="81"/>
      <c r="G13" s="292"/>
      <c r="H13" s="53"/>
      <c r="I13" s="292"/>
      <c r="J13" s="53"/>
      <c r="K13" s="53"/>
      <c r="L13" s="66"/>
      <c r="M13" s="53"/>
      <c r="N13" s="53"/>
      <c r="O13" s="53"/>
      <c r="P13" s="53"/>
      <c r="Q13" s="158"/>
      <c r="R13" s="53"/>
    </row>
    <row r="14" spans="1:18" ht="6" customHeight="1" x14ac:dyDescent="0.25">
      <c r="A14" s="53"/>
      <c r="B14" s="106"/>
      <c r="C14" s="80"/>
      <c r="D14" s="150"/>
      <c r="E14" s="201"/>
      <c r="F14" s="81"/>
      <c r="G14" s="292"/>
      <c r="H14" s="53"/>
      <c r="I14" s="292"/>
      <c r="J14" s="53"/>
      <c r="K14" s="53"/>
      <c r="L14" s="53"/>
      <c r="M14" s="53"/>
      <c r="N14" s="53"/>
      <c r="O14" s="53"/>
      <c r="P14" s="53"/>
      <c r="Q14" s="158"/>
      <c r="R14" s="53"/>
    </row>
    <row r="15" spans="1:18" ht="15.75" x14ac:dyDescent="0.25">
      <c r="A15" s="53"/>
      <c r="B15" s="106" t="s">
        <v>580</v>
      </c>
      <c r="C15" s="755"/>
      <c r="D15" s="150"/>
      <c r="E15" s="626">
        <f t="array" ref="E15">SQRT(MMULT(MMULT(TRANSPOSE(E7:E9),HealthCorr_10),E7:E9))</f>
        <v>0</v>
      </c>
      <c r="F15" s="81"/>
      <c r="G15" s="292"/>
      <c r="H15" s="53"/>
      <c r="I15" s="292"/>
      <c r="J15" s="53"/>
      <c r="K15" s="53"/>
      <c r="L15" s="66"/>
      <c r="M15" s="53"/>
      <c r="N15" s="53"/>
      <c r="O15" s="53"/>
      <c r="P15" s="53"/>
      <c r="Q15" s="158"/>
      <c r="R15" s="53"/>
    </row>
    <row r="16" spans="1:18" ht="6" customHeight="1" x14ac:dyDescent="0.25">
      <c r="A16" s="53"/>
      <c r="B16" s="202"/>
      <c r="C16" s="80"/>
      <c r="D16" s="150"/>
      <c r="E16" s="201"/>
      <c r="F16" s="81"/>
      <c r="G16" s="53"/>
      <c r="H16" s="53"/>
      <c r="I16" s="53"/>
      <c r="J16" s="53"/>
      <c r="K16" s="53"/>
      <c r="L16" s="53"/>
      <c r="M16" s="53"/>
      <c r="N16" s="53"/>
      <c r="O16" s="53"/>
      <c r="P16" s="53"/>
      <c r="Q16" s="53"/>
      <c r="R16" s="53"/>
    </row>
    <row r="17" spans="1:18" ht="15.75" x14ac:dyDescent="0.25">
      <c r="A17" s="53"/>
      <c r="B17" s="106" t="s">
        <v>581</v>
      </c>
      <c r="C17" s="755"/>
      <c r="D17" s="150"/>
      <c r="E17" s="624">
        <v>0</v>
      </c>
      <c r="F17" s="81"/>
      <c r="G17" s="53"/>
      <c r="H17" s="334" t="str">
        <f>IF(OR(E17=""),"Incomplete","Complete")</f>
        <v>Complete</v>
      </c>
      <c r="I17" s="53"/>
      <c r="J17" s="53"/>
      <c r="K17" s="53"/>
      <c r="L17" s="53"/>
      <c r="M17" s="53"/>
      <c r="N17" s="53"/>
      <c r="O17" s="53"/>
      <c r="P17" s="53"/>
      <c r="Q17" s="53"/>
      <c r="R17" s="53"/>
    </row>
    <row r="18" spans="1:18" ht="6" customHeight="1" x14ac:dyDescent="0.25">
      <c r="A18" s="53"/>
      <c r="B18" s="202"/>
      <c r="C18" s="80"/>
      <c r="D18" s="150"/>
      <c r="E18" s="201"/>
      <c r="F18" s="81"/>
      <c r="G18" s="53"/>
      <c r="H18" s="53"/>
      <c r="I18" s="53"/>
      <c r="J18" s="53"/>
      <c r="K18" s="53"/>
      <c r="L18" s="53"/>
      <c r="M18" s="53"/>
      <c r="N18" s="53"/>
      <c r="O18" s="53"/>
      <c r="P18" s="53"/>
      <c r="Q18" s="53"/>
      <c r="R18" s="53"/>
    </row>
    <row r="19" spans="1:18" ht="14.25" customHeight="1" x14ac:dyDescent="0.25">
      <c r="A19" s="53"/>
      <c r="B19" s="106" t="s">
        <v>582</v>
      </c>
      <c r="C19" s="755"/>
      <c r="D19" s="150"/>
      <c r="E19" s="626">
        <f>IF(E17&lt;&gt;0,MIN(E17,SCR_Health_10),SCR_Health_10)</f>
        <v>0</v>
      </c>
      <c r="F19" s="81"/>
      <c r="G19" s="53"/>
      <c r="H19" s="53"/>
      <c r="I19" s="53"/>
      <c r="J19" s="53"/>
      <c r="K19" s="53"/>
      <c r="L19" s="53"/>
      <c r="M19" s="53"/>
      <c r="N19" s="53"/>
      <c r="O19" s="53"/>
      <c r="P19" s="53"/>
      <c r="Q19" s="158"/>
      <c r="R19" s="53"/>
    </row>
    <row r="20" spans="1:18" ht="6" customHeight="1" thickBot="1" x14ac:dyDescent="0.3">
      <c r="A20" s="53"/>
      <c r="B20" s="110"/>
      <c r="C20" s="93"/>
      <c r="D20" s="159"/>
      <c r="E20" s="93"/>
      <c r="F20" s="94"/>
      <c r="G20" s="53"/>
      <c r="H20" s="53"/>
      <c r="I20" s="53"/>
      <c r="J20" s="53"/>
      <c r="K20" s="53"/>
      <c r="L20" s="53"/>
      <c r="M20" s="53"/>
      <c r="N20" s="53"/>
      <c r="O20" s="53"/>
      <c r="P20" s="53"/>
      <c r="Q20" s="158"/>
      <c r="R20" s="53"/>
    </row>
    <row r="21" spans="1:18" ht="15.75" x14ac:dyDescent="0.25">
      <c r="A21" s="53"/>
      <c r="B21" s="53"/>
      <c r="C21" s="53"/>
      <c r="D21" s="53"/>
      <c r="E21" s="53"/>
      <c r="F21" s="53"/>
      <c r="G21" s="53"/>
      <c r="H21" s="158"/>
      <c r="I21" s="53"/>
      <c r="J21" s="53"/>
      <c r="K21" s="53"/>
      <c r="L21" s="53"/>
      <c r="M21" s="53"/>
      <c r="N21" s="53"/>
      <c r="O21" s="53"/>
      <c r="P21" s="53"/>
      <c r="Q21" s="158"/>
      <c r="R21" s="53"/>
    </row>
    <row r="22" spans="1:18" ht="6" customHeight="1" thickBot="1" x14ac:dyDescent="0.3">
      <c r="A22" s="53"/>
      <c r="B22" s="294"/>
      <c r="C22" s="53"/>
      <c r="D22" s="53"/>
      <c r="E22" s="53"/>
      <c r="F22" s="53"/>
      <c r="G22" s="53"/>
      <c r="H22" s="53"/>
      <c r="I22" s="53"/>
      <c r="J22" s="53"/>
      <c r="K22" s="53"/>
      <c r="L22" s="53"/>
      <c r="M22" s="53"/>
      <c r="N22" s="53"/>
      <c r="O22" s="53"/>
      <c r="P22" s="53"/>
      <c r="Q22" s="158"/>
      <c r="R22" s="53"/>
    </row>
    <row r="23" spans="1:18" ht="15.75" x14ac:dyDescent="0.25">
      <c r="A23" s="53"/>
      <c r="B23" s="353" t="s">
        <v>52</v>
      </c>
      <c r="C23" s="366"/>
      <c r="D23" s="289"/>
      <c r="E23" s="290" t="s">
        <v>164</v>
      </c>
      <c r="F23" s="138"/>
      <c r="G23" s="60"/>
      <c r="H23" s="53"/>
      <c r="I23" s="60"/>
      <c r="J23" s="53"/>
      <c r="K23" s="60"/>
      <c r="L23" s="60"/>
      <c r="M23" s="60"/>
      <c r="N23" s="60"/>
      <c r="O23" s="53"/>
      <c r="P23" s="53"/>
      <c r="Q23" s="185"/>
      <c r="R23" s="53"/>
    </row>
    <row r="24" spans="1:18" ht="6" customHeight="1" x14ac:dyDescent="0.25">
      <c r="A24" s="53"/>
      <c r="B24" s="106"/>
      <c r="C24" s="80"/>
      <c r="D24" s="150"/>
      <c r="E24" s="80"/>
      <c r="F24" s="81"/>
      <c r="G24" s="53"/>
      <c r="H24" s="53"/>
      <c r="I24" s="53"/>
      <c r="J24" s="53"/>
      <c r="K24" s="53"/>
      <c r="L24" s="53"/>
      <c r="M24" s="53"/>
      <c r="N24" s="53"/>
      <c r="O24" s="53"/>
      <c r="P24" s="53"/>
      <c r="Q24" s="158"/>
      <c r="R24" s="53"/>
    </row>
    <row r="25" spans="1:18" ht="15.75" x14ac:dyDescent="0.25">
      <c r="A25" s="53"/>
      <c r="B25" s="295" t="s">
        <v>444</v>
      </c>
      <c r="C25" s="80"/>
      <c r="D25" s="150"/>
      <c r="E25" s="669">
        <f>'NSLT Health Risk'!E79</f>
        <v>0</v>
      </c>
      <c r="F25" s="81"/>
      <c r="G25" s="53"/>
      <c r="H25" s="53"/>
      <c r="I25" s="53"/>
      <c r="J25" s="53"/>
      <c r="K25" s="53"/>
      <c r="L25" s="53"/>
      <c r="M25" s="53"/>
      <c r="N25" s="53"/>
      <c r="O25" s="53"/>
      <c r="P25" s="66"/>
      <c r="Q25" s="158"/>
      <c r="R25" s="53"/>
    </row>
    <row r="26" spans="1:18" ht="15.75" customHeight="1" x14ac:dyDescent="0.25">
      <c r="A26" s="53"/>
      <c r="B26" s="295" t="s">
        <v>549</v>
      </c>
      <c r="C26" s="80"/>
      <c r="D26" s="150"/>
      <c r="E26" s="659">
        <f>'NSLT Health Risk'!E80</f>
        <v>0</v>
      </c>
      <c r="F26" s="81"/>
      <c r="G26" s="53"/>
      <c r="H26" s="53"/>
      <c r="I26" s="53"/>
      <c r="J26" s="53"/>
      <c r="K26" s="53"/>
      <c r="L26" s="53"/>
      <c r="M26" s="53"/>
      <c r="N26" s="53"/>
      <c r="O26" s="53"/>
      <c r="P26" s="66"/>
      <c r="Q26" s="158"/>
      <c r="R26" s="53"/>
    </row>
    <row r="27" spans="1:18" ht="15.75" x14ac:dyDescent="0.25">
      <c r="A27" s="53"/>
      <c r="B27" s="295" t="s">
        <v>536</v>
      </c>
      <c r="C27" s="80"/>
      <c r="D27" s="296"/>
      <c r="E27" s="670">
        <v>1.3</v>
      </c>
      <c r="F27" s="81"/>
      <c r="G27" s="53"/>
      <c r="H27" s="53"/>
      <c r="I27" s="53"/>
      <c r="J27" s="53"/>
      <c r="K27" s="53"/>
      <c r="L27" s="53"/>
      <c r="M27" s="53"/>
      <c r="N27" s="53"/>
      <c r="O27" s="53"/>
      <c r="P27" s="66"/>
      <c r="Q27" s="158"/>
      <c r="R27" s="53"/>
    </row>
    <row r="28" spans="1:18" ht="6" customHeight="1" x14ac:dyDescent="0.25">
      <c r="A28" s="53"/>
      <c r="B28" s="106"/>
      <c r="C28" s="80"/>
      <c r="D28" s="150"/>
      <c r="E28" s="286"/>
      <c r="F28" s="81"/>
      <c r="G28" s="53"/>
      <c r="H28" s="53"/>
      <c r="I28" s="53"/>
      <c r="J28" s="53"/>
      <c r="K28" s="53"/>
      <c r="L28" s="53"/>
      <c r="M28" s="53"/>
      <c r="N28" s="53"/>
      <c r="O28" s="53"/>
      <c r="P28" s="53"/>
      <c r="Q28" s="158"/>
      <c r="R28" s="53"/>
    </row>
    <row r="29" spans="1:18" ht="13.7" customHeight="1" x14ac:dyDescent="0.25">
      <c r="A29" s="53"/>
      <c r="B29" s="295" t="s">
        <v>578</v>
      </c>
      <c r="C29" s="80"/>
      <c r="D29" s="150"/>
      <c r="E29" s="666">
        <f>E$25*E$26*E$27</f>
        <v>0</v>
      </c>
      <c r="F29" s="81"/>
      <c r="G29" s="53"/>
      <c r="H29" s="53"/>
      <c r="I29" s="53"/>
      <c r="J29" s="53"/>
      <c r="K29" s="53"/>
      <c r="L29" s="53"/>
      <c r="M29" s="53"/>
      <c r="N29" s="53"/>
      <c r="O29" s="53"/>
      <c r="P29" s="66"/>
      <c r="Q29" s="158"/>
      <c r="R29" s="53"/>
    </row>
    <row r="30" spans="1:18" ht="6" customHeight="1" thickBot="1" x14ac:dyDescent="0.3">
      <c r="A30" s="53"/>
      <c r="B30" s="110"/>
      <c r="C30" s="93"/>
      <c r="D30" s="159"/>
      <c r="E30" s="93"/>
      <c r="F30" s="94"/>
      <c r="G30" s="53"/>
      <c r="H30" s="53"/>
      <c r="I30" s="53"/>
      <c r="J30" s="53"/>
      <c r="K30" s="53"/>
      <c r="L30" s="53"/>
      <c r="M30" s="53"/>
      <c r="N30" s="53"/>
      <c r="O30" s="53"/>
      <c r="P30" s="53"/>
      <c r="Q30" s="158"/>
      <c r="R30" s="53"/>
    </row>
    <row r="31" spans="1:18" ht="15.75" customHeight="1" x14ac:dyDescent="0.25">
      <c r="A31" s="53"/>
      <c r="B31" s="53"/>
      <c r="C31" s="53"/>
      <c r="D31" s="53"/>
      <c r="E31" s="53"/>
      <c r="F31" s="53"/>
      <c r="G31" s="53"/>
      <c r="H31" s="53"/>
      <c r="I31" s="53"/>
      <c r="J31" s="53"/>
      <c r="K31" s="53"/>
      <c r="L31" s="53"/>
      <c r="M31" s="53"/>
      <c r="N31" s="53"/>
      <c r="O31" s="53"/>
      <c r="P31" s="53"/>
      <c r="Q31" s="158"/>
      <c r="R31" s="53"/>
    </row>
    <row r="32" spans="1:18" ht="6" customHeight="1" thickBot="1" x14ac:dyDescent="0.3">
      <c r="A32" s="53"/>
      <c r="B32" s="53"/>
      <c r="C32" s="53"/>
      <c r="D32" s="53"/>
      <c r="E32" s="53"/>
      <c r="F32" s="53"/>
      <c r="G32" s="53"/>
      <c r="H32" s="53"/>
      <c r="I32" s="53"/>
      <c r="J32" s="53"/>
      <c r="K32" s="53"/>
      <c r="L32" s="53"/>
      <c r="M32" s="53"/>
      <c r="N32" s="53"/>
      <c r="O32" s="53"/>
      <c r="P32" s="53"/>
      <c r="Q32" s="158"/>
      <c r="R32" s="53"/>
    </row>
    <row r="33" spans="1:18" ht="15.75" customHeight="1" x14ac:dyDescent="0.25">
      <c r="A33" s="53"/>
      <c r="B33" s="353" t="s">
        <v>583</v>
      </c>
      <c r="C33" s="366"/>
      <c r="D33" s="289"/>
      <c r="E33" s="290" t="s">
        <v>164</v>
      </c>
      <c r="F33" s="138"/>
      <c r="G33" s="53"/>
      <c r="H33" s="53"/>
      <c r="I33" s="53"/>
      <c r="J33" s="53"/>
      <c r="K33" s="53"/>
      <c r="L33" s="53"/>
      <c r="M33" s="53"/>
      <c r="N33" s="53"/>
      <c r="O33" s="53"/>
      <c r="P33" s="53"/>
      <c r="Q33" s="158"/>
      <c r="R33" s="53"/>
    </row>
    <row r="34" spans="1:18" ht="6" customHeight="1" x14ac:dyDescent="0.25">
      <c r="A34" s="53"/>
      <c r="B34" s="106"/>
      <c r="C34" s="80"/>
      <c r="D34" s="150"/>
      <c r="E34" s="80"/>
      <c r="F34" s="81"/>
      <c r="G34" s="53"/>
      <c r="H34" s="53"/>
      <c r="I34" s="53"/>
      <c r="J34" s="53"/>
      <c r="K34" s="53"/>
      <c r="L34" s="53"/>
      <c r="M34" s="53"/>
      <c r="N34" s="53"/>
      <c r="O34" s="53"/>
      <c r="P34" s="53"/>
      <c r="Q34" s="158"/>
      <c r="R34" s="53"/>
    </row>
    <row r="35" spans="1:18" ht="6" customHeight="1" x14ac:dyDescent="0.25">
      <c r="A35" s="53"/>
      <c r="B35" s="106"/>
      <c r="C35" s="80"/>
      <c r="D35" s="150"/>
      <c r="E35" s="80"/>
      <c r="F35" s="81"/>
      <c r="G35" s="53"/>
      <c r="H35" s="53"/>
      <c r="I35" s="53"/>
      <c r="J35" s="53"/>
      <c r="K35" s="53"/>
      <c r="L35" s="53"/>
      <c r="M35" s="53"/>
      <c r="N35" s="53"/>
      <c r="O35" s="53"/>
      <c r="P35" s="53"/>
      <c r="Q35" s="158"/>
      <c r="R35" s="53"/>
    </row>
    <row r="36" spans="1:18" ht="14.25" customHeight="1" x14ac:dyDescent="0.25">
      <c r="A36" s="53"/>
      <c r="B36" s="106" t="s">
        <v>550</v>
      </c>
      <c r="C36" s="80"/>
      <c r="D36" s="150"/>
      <c r="E36" s="626">
        <f>LAPSE_UP_10_HEALTH</f>
        <v>0</v>
      </c>
      <c r="F36" s="81"/>
      <c r="G36" s="53"/>
      <c r="H36" s="53"/>
      <c r="I36" s="53"/>
      <c r="J36" s="53"/>
      <c r="K36" s="53"/>
      <c r="L36" s="53"/>
      <c r="M36" s="53"/>
      <c r="N36" s="53"/>
      <c r="O36" s="53"/>
      <c r="P36" s="53"/>
      <c r="Q36" s="158"/>
      <c r="R36" s="53"/>
    </row>
    <row r="37" spans="1:18" ht="6" customHeight="1" thickBot="1" x14ac:dyDescent="0.3">
      <c r="A37" s="53"/>
      <c r="B37" s="110"/>
      <c r="C37" s="93"/>
      <c r="D37" s="159"/>
      <c r="E37" s="93"/>
      <c r="F37" s="94"/>
      <c r="G37" s="53"/>
      <c r="H37" s="53"/>
      <c r="I37" s="53"/>
      <c r="J37" s="53"/>
      <c r="K37" s="53"/>
      <c r="L37" s="53"/>
      <c r="M37" s="53"/>
      <c r="N37" s="53"/>
      <c r="O37" s="53"/>
      <c r="P37" s="53"/>
      <c r="Q37" s="158"/>
      <c r="R37" s="53"/>
    </row>
    <row r="38" spans="1:18" ht="15.75" customHeight="1" x14ac:dyDescent="0.25">
      <c r="A38" s="53"/>
      <c r="B38" s="53"/>
      <c r="C38" s="53"/>
      <c r="D38" s="53"/>
      <c r="E38" s="53"/>
      <c r="F38" s="53"/>
      <c r="G38" s="53"/>
      <c r="H38" s="158"/>
      <c r="I38" s="53"/>
      <c r="J38" s="53"/>
      <c r="K38" s="53"/>
      <c r="L38" s="53"/>
      <c r="M38" s="53"/>
      <c r="N38" s="53"/>
      <c r="O38" s="53"/>
      <c r="P38" s="53"/>
      <c r="Q38" s="158"/>
      <c r="R38" s="53"/>
    </row>
    <row r="39" spans="1:18" ht="6" hidden="1" customHeight="1" x14ac:dyDescent="0.25">
      <c r="A39" s="53"/>
      <c r="B39" s="53"/>
      <c r="C39" s="53"/>
      <c r="D39" s="53"/>
      <c r="E39" s="53"/>
      <c r="F39" s="53"/>
      <c r="G39" s="53"/>
      <c r="H39" s="53"/>
      <c r="I39" s="53"/>
      <c r="J39" s="53"/>
      <c r="K39" s="53"/>
      <c r="L39" s="53"/>
      <c r="M39" s="53"/>
      <c r="N39" s="53"/>
      <c r="O39" s="53"/>
      <c r="P39" s="53"/>
      <c r="Q39" s="158"/>
      <c r="R39" s="53"/>
    </row>
    <row r="40" spans="1:18" ht="15.75" hidden="1" x14ac:dyDescent="0.25">
      <c r="A40" s="53"/>
      <c r="B40" s="297" t="s">
        <v>584</v>
      </c>
      <c r="C40" s="298"/>
      <c r="D40" s="299"/>
      <c r="E40" s="304" t="s">
        <v>164</v>
      </c>
      <c r="F40" s="301"/>
      <c r="G40" s="53"/>
      <c r="H40" s="53"/>
      <c r="I40" s="53"/>
      <c r="J40" s="53"/>
      <c r="K40" s="53"/>
      <c r="L40" s="53"/>
      <c r="M40" s="53"/>
      <c r="N40" s="53"/>
      <c r="O40" s="53"/>
      <c r="P40" s="53"/>
      <c r="Q40" s="158"/>
      <c r="R40" s="53"/>
    </row>
    <row r="41" spans="1:18" ht="6" hidden="1" customHeight="1" x14ac:dyDescent="0.25">
      <c r="A41" s="53"/>
      <c r="B41" s="106"/>
      <c r="C41" s="80"/>
      <c r="D41" s="150"/>
      <c r="E41" s="80"/>
      <c r="F41" s="81"/>
      <c r="G41" s="53"/>
      <c r="H41" s="53"/>
      <c r="I41" s="53"/>
      <c r="J41" s="53"/>
      <c r="K41" s="53"/>
      <c r="L41" s="53"/>
      <c r="M41" s="53"/>
      <c r="N41" s="53"/>
      <c r="O41" s="53"/>
      <c r="P41" s="53"/>
      <c r="Q41" s="158"/>
      <c r="R41" s="53"/>
    </row>
    <row r="42" spans="1:18" ht="15.75" hidden="1" x14ac:dyDescent="0.25">
      <c r="A42" s="53"/>
      <c r="B42" s="106" t="s">
        <v>585</v>
      </c>
      <c r="C42" s="80"/>
      <c r="D42" s="150"/>
      <c r="E42" s="668">
        <v>0</v>
      </c>
      <c r="F42" s="81"/>
      <c r="G42" s="53"/>
      <c r="H42" s="53"/>
      <c r="I42" s="53"/>
      <c r="J42" s="53"/>
      <c r="K42" s="53"/>
      <c r="L42" s="53"/>
      <c r="M42" s="53"/>
      <c r="N42" s="53"/>
      <c r="O42" s="53"/>
      <c r="P42" s="53"/>
      <c r="Q42" s="158"/>
      <c r="R42" s="53"/>
    </row>
    <row r="43" spans="1:18" ht="15.75" hidden="1" customHeight="1" x14ac:dyDescent="0.25">
      <c r="A43" s="53"/>
      <c r="B43" s="106" t="s">
        <v>586</v>
      </c>
      <c r="C43" s="80"/>
      <c r="D43" s="150"/>
      <c r="E43" s="668">
        <v>0</v>
      </c>
      <c r="F43" s="81"/>
      <c r="G43" s="53"/>
      <c r="H43" s="53"/>
      <c r="I43" s="53"/>
      <c r="J43" s="53"/>
      <c r="K43" s="53"/>
      <c r="L43" s="53"/>
      <c r="M43" s="53"/>
      <c r="N43" s="53"/>
      <c r="O43" s="53"/>
      <c r="P43" s="53"/>
      <c r="Q43" s="158"/>
      <c r="R43" s="53"/>
    </row>
    <row r="44" spans="1:18" ht="14.25" hidden="1" customHeight="1" x14ac:dyDescent="0.25">
      <c r="A44" s="53"/>
      <c r="B44" s="106" t="s">
        <v>587</v>
      </c>
      <c r="C44" s="80"/>
      <c r="D44" s="150"/>
      <c r="E44" s="668">
        <v>0</v>
      </c>
      <c r="F44" s="81"/>
      <c r="G44" s="53"/>
      <c r="H44" s="53"/>
      <c r="I44" s="53"/>
      <c r="J44" s="53"/>
      <c r="K44" s="53"/>
      <c r="L44" s="53"/>
      <c r="M44" s="53"/>
      <c r="N44" s="53"/>
      <c r="O44" s="53"/>
      <c r="P44" s="53"/>
      <c r="Q44" s="158"/>
      <c r="R44" s="53"/>
    </row>
    <row r="45" spans="1:18" ht="6" hidden="1" customHeight="1" x14ac:dyDescent="0.25">
      <c r="A45" s="53"/>
      <c r="B45" s="106"/>
      <c r="C45" s="80"/>
      <c r="D45" s="150"/>
      <c r="E45" s="85"/>
      <c r="F45" s="81"/>
      <c r="G45" s="53"/>
      <c r="H45" s="158"/>
      <c r="I45" s="53"/>
      <c r="J45" s="53"/>
      <c r="K45" s="53"/>
      <c r="L45" s="53"/>
      <c r="M45" s="53"/>
      <c r="N45" s="53"/>
      <c r="O45" s="53"/>
      <c r="P45" s="53"/>
      <c r="Q45" s="53"/>
      <c r="R45" s="53"/>
    </row>
    <row r="46" spans="1:18" ht="15.75" hidden="1" x14ac:dyDescent="0.25">
      <c r="A46" s="53"/>
      <c r="B46" s="106" t="s">
        <v>588</v>
      </c>
      <c r="C46" s="80"/>
      <c r="D46" s="150"/>
      <c r="E46" s="668">
        <f>SQRT(SUMSQ(E42:E44))</f>
        <v>0</v>
      </c>
      <c r="F46" s="81"/>
      <c r="G46" s="53"/>
      <c r="H46" s="158"/>
      <c r="I46" s="53"/>
      <c r="J46" s="53"/>
      <c r="K46" s="53"/>
      <c r="L46" s="53"/>
      <c r="M46" s="53"/>
      <c r="N46" s="53"/>
      <c r="O46" s="53"/>
      <c r="P46" s="53"/>
      <c r="Q46" s="53"/>
      <c r="R46" s="53"/>
    </row>
    <row r="47" spans="1:18" ht="6" hidden="1" customHeight="1" thickBot="1" x14ac:dyDescent="0.3">
      <c r="A47" s="53"/>
      <c r="B47" s="110"/>
      <c r="C47" s="93"/>
      <c r="D47" s="159"/>
      <c r="E47" s="93"/>
      <c r="F47" s="94"/>
      <c r="G47" s="53"/>
      <c r="H47" s="158"/>
      <c r="I47" s="53"/>
      <c r="J47" s="53"/>
      <c r="K47" s="53"/>
      <c r="L47" s="53"/>
      <c r="M47" s="53"/>
      <c r="N47" s="53"/>
      <c r="O47" s="53"/>
      <c r="P47" s="53"/>
      <c r="Q47" s="53"/>
      <c r="R47" s="53"/>
    </row>
    <row r="48" spans="1:18" ht="15.75" hidden="1" x14ac:dyDescent="0.25">
      <c r="A48" s="53"/>
      <c r="B48" s="53"/>
      <c r="C48" s="53"/>
      <c r="D48" s="53"/>
      <c r="E48" s="53"/>
      <c r="F48" s="53"/>
      <c r="G48" s="53"/>
      <c r="H48" s="158"/>
      <c r="I48" s="53"/>
      <c r="J48" s="53"/>
      <c r="K48" s="53"/>
      <c r="L48" s="53"/>
      <c r="M48" s="53"/>
      <c r="N48" s="53"/>
      <c r="O48" s="53"/>
      <c r="P48" s="53"/>
      <c r="Q48" s="53"/>
      <c r="R48" s="53"/>
    </row>
    <row r="49" spans="1:18" ht="6" hidden="1" customHeight="1" x14ac:dyDescent="0.25">
      <c r="A49" s="53"/>
      <c r="B49" s="53"/>
      <c r="C49" s="53"/>
      <c r="D49" s="53"/>
      <c r="E49" s="53"/>
      <c r="F49" s="53"/>
      <c r="G49" s="53"/>
      <c r="H49" s="158"/>
      <c r="I49" s="53"/>
      <c r="J49" s="53"/>
      <c r="K49" s="53"/>
      <c r="L49" s="53"/>
      <c r="M49" s="53"/>
      <c r="N49" s="53"/>
      <c r="O49" s="53"/>
      <c r="P49" s="53"/>
      <c r="Q49" s="53"/>
      <c r="R49" s="53"/>
    </row>
    <row r="50" spans="1:18" ht="15.75" hidden="1" x14ac:dyDescent="0.25">
      <c r="A50" s="53"/>
      <c r="B50" s="53"/>
      <c r="C50" s="53"/>
      <c r="D50" s="53"/>
      <c r="E50" s="53"/>
      <c r="F50" s="53"/>
      <c r="G50" s="53"/>
      <c r="H50" s="158"/>
      <c r="I50" s="53"/>
      <c r="J50" s="53"/>
      <c r="K50" s="53"/>
      <c r="L50" s="53"/>
      <c r="M50" s="53"/>
      <c r="N50" s="53"/>
      <c r="O50" s="53"/>
      <c r="P50" s="53"/>
      <c r="Q50" s="53"/>
      <c r="R50" s="53"/>
    </row>
    <row r="51" spans="1:18" ht="6" customHeight="1" thickBot="1" x14ac:dyDescent="0.3">
      <c r="A51" s="53"/>
      <c r="B51" s="53"/>
      <c r="C51" s="53"/>
      <c r="D51" s="53"/>
      <c r="E51" s="53"/>
      <c r="F51" s="53"/>
      <c r="G51" s="53"/>
      <c r="H51" s="305"/>
      <c r="I51" s="294"/>
      <c r="J51" s="53"/>
      <c r="K51" s="53"/>
      <c r="L51" s="53"/>
      <c r="M51" s="53"/>
      <c r="N51" s="53"/>
      <c r="O51" s="53"/>
      <c r="P51" s="53"/>
      <c r="Q51" s="53"/>
      <c r="R51" s="53"/>
    </row>
    <row r="52" spans="1:18" ht="48" thickBot="1" x14ac:dyDescent="0.3">
      <c r="A52" s="53"/>
      <c r="B52" s="126" t="s">
        <v>589</v>
      </c>
      <c r="C52" s="127"/>
      <c r="D52" s="164"/>
      <c r="E52" s="165"/>
      <c r="F52" s="165"/>
      <c r="G52" s="165"/>
      <c r="H52" s="165"/>
      <c r="I52" s="165"/>
      <c r="J52" s="367" t="s">
        <v>558</v>
      </c>
      <c r="K52" s="165"/>
      <c r="L52" s="367" t="s">
        <v>559</v>
      </c>
      <c r="M52" s="266"/>
      <c r="N52" s="165"/>
      <c r="O52" s="166"/>
      <c r="P52" s="53"/>
      <c r="Q52" s="53"/>
      <c r="R52" s="53"/>
    </row>
    <row r="53" spans="1:18" ht="15.75" x14ac:dyDescent="0.25">
      <c r="A53" s="53"/>
      <c r="B53" s="106"/>
      <c r="C53" s="80"/>
      <c r="D53" s="80"/>
      <c r="E53" s="80"/>
      <c r="F53" s="80"/>
      <c r="G53" s="80"/>
      <c r="H53" s="80"/>
      <c r="I53" s="80"/>
      <c r="J53" s="80"/>
      <c r="K53" s="80"/>
      <c r="L53" s="80"/>
      <c r="M53" s="80"/>
      <c r="N53" s="80"/>
      <c r="O53" s="81"/>
      <c r="P53" s="53"/>
      <c r="Q53" s="53"/>
      <c r="R53" s="53"/>
    </row>
    <row r="54" spans="1:18" ht="15.75" x14ac:dyDescent="0.25">
      <c r="A54" s="53"/>
      <c r="B54" s="106" t="s">
        <v>590</v>
      </c>
      <c r="C54" s="80"/>
      <c r="D54" s="80"/>
      <c r="E54" s="80"/>
      <c r="F54" s="80"/>
      <c r="G54" s="80"/>
      <c r="H54" s="80"/>
      <c r="I54" s="80"/>
      <c r="J54" s="659">
        <v>0.05</v>
      </c>
      <c r="K54" s="766"/>
      <c r="L54" s="788">
        <v>5.7000000000000002E-2</v>
      </c>
      <c r="M54" s="80"/>
      <c r="N54" s="306"/>
      <c r="O54" s="81"/>
      <c r="P54" s="53"/>
      <c r="Q54" s="66"/>
      <c r="R54" s="53"/>
    </row>
    <row r="55" spans="1:18" ht="15.75" x14ac:dyDescent="0.25">
      <c r="A55" s="53"/>
      <c r="B55" s="106" t="s">
        <v>591</v>
      </c>
      <c r="C55" s="80"/>
      <c r="D55" s="80"/>
      <c r="E55" s="80"/>
      <c r="F55" s="80"/>
      <c r="G55" s="80"/>
      <c r="H55" s="80"/>
      <c r="I55" s="80"/>
      <c r="J55" s="659">
        <v>8.5000000000000006E-2</v>
      </c>
      <c r="K55" s="766"/>
      <c r="L55" s="767">
        <v>0.14000000000000001</v>
      </c>
      <c r="M55" s="80"/>
      <c r="N55" s="306"/>
      <c r="O55" s="81"/>
      <c r="P55" s="53"/>
      <c r="Q55" s="66"/>
      <c r="R55" s="53"/>
    </row>
    <row r="56" spans="1:18" ht="15.75" customHeight="1" x14ac:dyDescent="0.25">
      <c r="A56" s="53"/>
      <c r="B56" s="106" t="s">
        <v>592</v>
      </c>
      <c r="C56" s="80"/>
      <c r="D56" s="80"/>
      <c r="E56" s="80"/>
      <c r="F56" s="80"/>
      <c r="G56" s="80"/>
      <c r="H56" s="80"/>
      <c r="I56" s="80"/>
      <c r="J56" s="787">
        <v>9.6000000000000002E-2</v>
      </c>
      <c r="K56" s="766"/>
      <c r="L56" s="767">
        <v>0.11</v>
      </c>
      <c r="M56" s="80"/>
      <c r="N56" s="306"/>
      <c r="O56" s="81"/>
      <c r="P56" s="53"/>
      <c r="Q56" s="66"/>
      <c r="R56" s="53"/>
    </row>
    <row r="57" spans="1:18" ht="15.75" x14ac:dyDescent="0.25">
      <c r="A57" s="53"/>
      <c r="B57" s="106" t="s">
        <v>515</v>
      </c>
      <c r="C57" s="80"/>
      <c r="D57" s="80"/>
      <c r="E57" s="80"/>
      <c r="F57" s="80"/>
      <c r="G57" s="80"/>
      <c r="H57" s="80"/>
      <c r="I57" s="80"/>
      <c r="J57" s="659">
        <v>0.17</v>
      </c>
      <c r="K57" s="766"/>
      <c r="L57" s="788">
        <v>0.17</v>
      </c>
      <c r="M57" s="80"/>
      <c r="N57" s="306"/>
      <c r="O57" s="81"/>
      <c r="P57" s="53"/>
      <c r="Q57" s="66"/>
      <c r="R57" s="53"/>
    </row>
    <row r="58" spans="1:18" ht="16.5" thickBot="1" x14ac:dyDescent="0.3">
      <c r="A58" s="53"/>
      <c r="B58" s="110"/>
      <c r="C58" s="93"/>
      <c r="D58" s="93"/>
      <c r="E58" s="93"/>
      <c r="F58" s="93"/>
      <c r="G58" s="93"/>
      <c r="H58" s="93"/>
      <c r="I58" s="93"/>
      <c r="J58" s="93"/>
      <c r="K58" s="93"/>
      <c r="L58" s="93"/>
      <c r="M58" s="93"/>
      <c r="N58" s="93"/>
      <c r="O58" s="94"/>
      <c r="P58" s="53"/>
      <c r="Q58" s="53"/>
      <c r="R58" s="53"/>
    </row>
    <row r="59" spans="1:18" ht="15.75" x14ac:dyDescent="0.25">
      <c r="A59" s="53"/>
      <c r="B59" s="53"/>
      <c r="C59" s="53"/>
      <c r="D59" s="53"/>
      <c r="E59" s="53"/>
      <c r="F59" s="53"/>
      <c r="G59" s="53"/>
      <c r="H59" s="53"/>
      <c r="I59" s="53"/>
      <c r="J59" s="53"/>
      <c r="K59" s="53"/>
      <c r="L59" s="53"/>
      <c r="M59" s="53"/>
      <c r="N59" s="53"/>
      <c r="O59" s="53"/>
      <c r="P59" s="53"/>
      <c r="Q59" s="53"/>
      <c r="R59" s="53"/>
    </row>
    <row r="60" spans="1:18" ht="6" customHeight="1" thickBot="1" x14ac:dyDescent="0.3">
      <c r="A60" s="53"/>
      <c r="B60" s="53"/>
      <c r="C60" s="53"/>
      <c r="D60" s="53"/>
      <c r="E60" s="53"/>
      <c r="F60" s="53"/>
      <c r="G60" s="53"/>
      <c r="H60" s="53"/>
      <c r="I60" s="53"/>
      <c r="J60" s="53"/>
      <c r="K60" s="53"/>
      <c r="L60" s="53"/>
      <c r="M60" s="53"/>
      <c r="N60" s="53"/>
      <c r="O60" s="53"/>
      <c r="P60" s="53"/>
      <c r="Q60" s="53"/>
      <c r="R60" s="53"/>
    </row>
    <row r="61" spans="1:18" ht="63.75" thickBot="1" x14ac:dyDescent="0.3">
      <c r="A61" s="53"/>
      <c r="B61" s="126" t="s">
        <v>593</v>
      </c>
      <c r="C61" s="127"/>
      <c r="D61" s="165"/>
      <c r="E61" s="307"/>
      <c r="F61" s="307"/>
      <c r="G61" s="165"/>
      <c r="H61" s="165"/>
      <c r="I61" s="307"/>
      <c r="J61" s="367" t="s">
        <v>570</v>
      </c>
      <c r="K61" s="165"/>
      <c r="L61" s="367" t="s">
        <v>559</v>
      </c>
      <c r="M61" s="266"/>
      <c r="N61" s="367" t="s">
        <v>571</v>
      </c>
      <c r="O61" s="302"/>
      <c r="P61" s="53"/>
      <c r="Q61" s="53"/>
      <c r="R61" s="53"/>
    </row>
    <row r="62" spans="1:18" ht="15.75" x14ac:dyDescent="0.25">
      <c r="A62" s="53"/>
      <c r="B62" s="231"/>
      <c r="C62" s="131"/>
      <c r="D62" s="131"/>
      <c r="E62" s="308"/>
      <c r="F62" s="308"/>
      <c r="G62" s="308"/>
      <c r="H62" s="308"/>
      <c r="I62" s="308"/>
      <c r="J62" s="308"/>
      <c r="K62" s="308"/>
      <c r="L62" s="308"/>
      <c r="M62" s="308"/>
      <c r="N62" s="131"/>
      <c r="O62" s="133"/>
      <c r="P62" s="53"/>
      <c r="Q62" s="53"/>
      <c r="R62" s="53"/>
    </row>
    <row r="63" spans="1:18" ht="15.75" x14ac:dyDescent="0.25">
      <c r="A63" s="53"/>
      <c r="B63" s="106" t="s">
        <v>590</v>
      </c>
      <c r="C63" s="80"/>
      <c r="D63" s="80"/>
      <c r="E63" s="309"/>
      <c r="F63" s="309"/>
      <c r="G63" s="310"/>
      <c r="H63" s="309"/>
      <c r="I63" s="309"/>
      <c r="J63" s="659">
        <f>IF('Health Prem &amp; Reserve Risk'!Q8&lt;&gt;0,(SUMPRODUCT(Agg_PH_1,Agg_SPH_1)+('Health Prem &amp; Reserve Risk'!Q8-SUM(Agg_PH_1))*'NSLT Health Risk'!J54)/'Health Prem &amp; Reserve Risk'!Q8,'NSLT Health Risk'!J54)</f>
        <v>0.05</v>
      </c>
      <c r="K63" s="80"/>
      <c r="L63" s="659">
        <f>IF('Health Prem &amp; Reserve Risk'!S8&lt;&gt;0,(SUMPRODUCT(Agg_RH_1,Agg_SRH_1)+('Health Prem &amp; Reserve Risk'!S8-SUM(Agg_RH_1))*'NSLT Health Risk'!L54)/'Health Prem &amp; Reserve Risk'!S8,'NSLT Health Risk'!L54)</f>
        <v>5.7000000000000002E-2</v>
      </c>
      <c r="M63" s="80"/>
      <c r="N63" s="659">
        <f>IF(SUM('Health Prem &amp; Reserve Risk'!Q8:S8)&lt;&gt;0,SQRT((J63*'Health Prem &amp; Reserve Risk'!Q8)^2+0.5*(J63*'Health Prem &amp; Reserve Risk'!Q8*L63*'Health Prem &amp; Reserve Risk'!S8)+(L63*'Health Prem &amp; Reserve Risk'!S8)^2)/('Health Prem &amp; Reserve Risk'!Q8+'Health Prem &amp; Reserve Risk'!S8),0)</f>
        <v>0</v>
      </c>
      <c r="O63" s="81"/>
      <c r="P63" s="53"/>
      <c r="Q63" s="53"/>
      <c r="R63" s="53"/>
    </row>
    <row r="64" spans="1:18" ht="15.75" x14ac:dyDescent="0.25">
      <c r="A64" s="53"/>
      <c r="B64" s="106" t="s">
        <v>591</v>
      </c>
      <c r="C64" s="80"/>
      <c r="D64" s="80"/>
      <c r="E64" s="309"/>
      <c r="F64" s="309"/>
      <c r="G64" s="310"/>
      <c r="H64" s="309"/>
      <c r="I64" s="309"/>
      <c r="J64" s="659">
        <f>IF('Health Prem &amp; Reserve Risk'!Q9&lt;&gt;0,(SUMPRODUCT(Agg_PH_2,Agg_SPH_2)+('Health Prem &amp; Reserve Risk'!Q9-SUM(Agg_PH_2))*'NSLT Health Risk'!J55)/'Health Prem &amp; Reserve Risk'!Q9,'NSLT Health Risk'!J55)</f>
        <v>8.5000000000000006E-2</v>
      </c>
      <c r="K64" s="80"/>
      <c r="L64" s="659">
        <f>IF('Health Prem &amp; Reserve Risk'!S9&lt;&gt;0,(SUMPRODUCT(Agg_RH_2,Agg_SRH_2)+('Health Prem &amp; Reserve Risk'!S9-SUM(Agg_RH_2))*'NSLT Health Risk'!L55)/'Health Prem &amp; Reserve Risk'!S9,'NSLT Health Risk'!L55)</f>
        <v>0.14000000000000001</v>
      </c>
      <c r="M64" s="80"/>
      <c r="N64" s="659">
        <f>IF(SUM('Health Prem &amp; Reserve Risk'!Q9:S9)&lt;&gt;0,SQRT((J64*'Health Prem &amp; Reserve Risk'!Q9)^2+0.5*(J64*'Health Prem &amp; Reserve Risk'!Q9*L64*'Health Prem &amp; Reserve Risk'!S9)+(L64*'Health Prem &amp; Reserve Risk'!S9)^2)/('Health Prem &amp; Reserve Risk'!Q9+'Health Prem &amp; Reserve Risk'!S9),0)</f>
        <v>0</v>
      </c>
      <c r="O64" s="81"/>
      <c r="P64" s="53"/>
      <c r="Q64" s="53"/>
      <c r="R64" s="53"/>
    </row>
    <row r="65" spans="1:18" ht="15.75" customHeight="1" x14ac:dyDescent="0.25">
      <c r="A65" s="53"/>
      <c r="B65" s="106" t="s">
        <v>592</v>
      </c>
      <c r="C65" s="80"/>
      <c r="D65" s="80"/>
      <c r="E65" s="309"/>
      <c r="F65" s="309"/>
      <c r="G65" s="310"/>
      <c r="H65" s="309"/>
      <c r="I65" s="309"/>
      <c r="J65" s="659">
        <f>IF('Health Prem &amp; Reserve Risk'!Q10&lt;&gt;0,(SUMPRODUCT(Agg_PH_3,Agg_SPH_3)+('Health Prem &amp; Reserve Risk'!Q10-SUM(Agg_PH_3))*'NSLT Health Risk'!J56)/'Health Prem &amp; Reserve Risk'!Q10,'NSLT Health Risk'!J56)</f>
        <v>9.6000000000000002E-2</v>
      </c>
      <c r="K65" s="80"/>
      <c r="L65" s="659">
        <f>IF('Health Prem &amp; Reserve Risk'!S10&lt;&gt;0,(SUMPRODUCT(Agg_RH_3,Agg_SRH_3)+('Health Prem &amp; Reserve Risk'!S10-SUM(Agg_RH_3))*'NSLT Health Risk'!L56)/'Health Prem &amp; Reserve Risk'!S10,'NSLT Health Risk'!L56)</f>
        <v>0.11</v>
      </c>
      <c r="M65" s="80"/>
      <c r="N65" s="659">
        <f>IF(SUM('Health Prem &amp; Reserve Risk'!Q10:S10)&lt;&gt;0,SQRT((J65*'Health Prem &amp; Reserve Risk'!Q10)^2+0.5*(J65*'Health Prem &amp; Reserve Risk'!Q10*L65*'Health Prem &amp; Reserve Risk'!S10)+(L65*'Health Prem &amp; Reserve Risk'!S10)^2)/('Health Prem &amp; Reserve Risk'!Q10+'Health Prem &amp; Reserve Risk'!S10),0)</f>
        <v>0</v>
      </c>
      <c r="O65" s="81"/>
      <c r="P65" s="53"/>
      <c r="Q65" s="53"/>
      <c r="R65" s="53"/>
    </row>
    <row r="66" spans="1:18" ht="15.75" x14ac:dyDescent="0.25">
      <c r="A66" s="53"/>
      <c r="B66" s="106" t="s">
        <v>515</v>
      </c>
      <c r="C66" s="80"/>
      <c r="D66" s="80"/>
      <c r="E66" s="309"/>
      <c r="F66" s="309"/>
      <c r="G66" s="310"/>
      <c r="H66" s="309"/>
      <c r="I66" s="309"/>
      <c r="J66" s="659">
        <f>IF('Health Prem &amp; Reserve Risk'!Q11&lt;&gt;0,(SUMPRODUCT(Agg_PH_4,Agg_SPH_4)+('Health Prem &amp; Reserve Risk'!Q11-SUM(Agg_PH_4))*'NSLT Health Risk'!J57)/'Health Prem &amp; Reserve Risk'!Q11,'NSLT Health Risk'!J57)</f>
        <v>0.17</v>
      </c>
      <c r="K66" s="80"/>
      <c r="L66" s="659">
        <f>IF('Health Prem &amp; Reserve Risk'!S11&lt;&gt;0,(SUMPRODUCT(Agg_RH_4,Agg_SRH_4)+('Health Prem &amp; Reserve Risk'!S11-SUM(Agg_RH_4))*'NSLT Health Risk'!L57)/'Health Prem &amp; Reserve Risk'!S11,'NSLT Health Risk'!L57)</f>
        <v>0.17</v>
      </c>
      <c r="M66" s="80"/>
      <c r="N66" s="659">
        <f>IF(SUM('Health Prem &amp; Reserve Risk'!Q11:S11)&lt;&gt;0,SQRT((J66*'Health Prem &amp; Reserve Risk'!Q11)^2+0.5*(J66*'Health Prem &amp; Reserve Risk'!Q11*L66*'Health Prem &amp; Reserve Risk'!S11)+(L66*'Health Prem &amp; Reserve Risk'!S11)^2)/('Health Prem &amp; Reserve Risk'!Q11+'Health Prem &amp; Reserve Risk'!S11),0)</f>
        <v>0</v>
      </c>
      <c r="O66" s="81"/>
      <c r="P66" s="53"/>
      <c r="Q66" s="53"/>
      <c r="R66" s="53"/>
    </row>
    <row r="67" spans="1:18" ht="16.5" thickBot="1" x14ac:dyDescent="0.3">
      <c r="A67" s="53"/>
      <c r="B67" s="110"/>
      <c r="C67" s="93"/>
      <c r="D67" s="93"/>
      <c r="E67" s="311"/>
      <c r="F67" s="311"/>
      <c r="G67" s="311"/>
      <c r="H67" s="311"/>
      <c r="I67" s="311"/>
      <c r="J67" s="311"/>
      <c r="K67" s="311"/>
      <c r="L67" s="311"/>
      <c r="M67" s="311"/>
      <c r="N67" s="93"/>
      <c r="O67" s="94"/>
      <c r="P67" s="53"/>
      <c r="Q67" s="53"/>
      <c r="R67" s="53"/>
    </row>
    <row r="68" spans="1:18" ht="15.75" x14ac:dyDescent="0.25">
      <c r="A68" s="53"/>
      <c r="B68" s="53"/>
      <c r="C68" s="53"/>
      <c r="D68" s="53"/>
      <c r="E68" s="53"/>
      <c r="F68" s="53"/>
      <c r="G68" s="53"/>
      <c r="H68" s="53"/>
      <c r="I68" s="53"/>
      <c r="J68" s="53"/>
      <c r="K68" s="53"/>
      <c r="L68" s="53"/>
      <c r="M68" s="53"/>
      <c r="N68" s="53"/>
      <c r="O68" s="53"/>
      <c r="P68" s="53"/>
      <c r="Q68" s="53"/>
      <c r="R68" s="53"/>
    </row>
    <row r="69" spans="1:18" ht="6" customHeight="1" thickBot="1" x14ac:dyDescent="0.3">
      <c r="A69" s="53"/>
      <c r="B69" s="53"/>
      <c r="C69" s="53"/>
      <c r="D69" s="53"/>
      <c r="E69" s="53"/>
      <c r="F69" s="53"/>
      <c r="G69" s="53"/>
      <c r="H69" s="53"/>
      <c r="I69" s="53"/>
      <c r="J69" s="53"/>
      <c r="K69" s="53"/>
      <c r="L69" s="53"/>
      <c r="M69" s="53"/>
      <c r="N69" s="53"/>
      <c r="O69" s="53"/>
      <c r="P69" s="53"/>
      <c r="Q69" s="53"/>
      <c r="R69" s="53"/>
    </row>
    <row r="70" spans="1:18" ht="93.75" customHeight="1" thickBot="1" x14ac:dyDescent="0.3">
      <c r="A70" s="53"/>
      <c r="B70" s="126" t="s">
        <v>572</v>
      </c>
      <c r="C70" s="873" t="s">
        <v>573</v>
      </c>
      <c r="D70" s="873"/>
      <c r="E70" s="873"/>
      <c r="F70" s="302"/>
      <c r="G70" s="312"/>
      <c r="H70" s="53"/>
      <c r="I70" s="53"/>
      <c r="J70" s="53"/>
      <c r="K70" s="53"/>
      <c r="L70" s="53"/>
      <c r="M70" s="53"/>
      <c r="N70" s="53"/>
      <c r="O70" s="53"/>
      <c r="P70" s="53"/>
      <c r="Q70" s="53"/>
      <c r="R70" s="53"/>
    </row>
    <row r="71" spans="1:18" ht="14.25" customHeight="1" x14ac:dyDescent="0.25">
      <c r="A71" s="53"/>
      <c r="B71" s="231"/>
      <c r="C71" s="131"/>
      <c r="D71" s="131"/>
      <c r="E71" s="131"/>
      <c r="F71" s="133"/>
      <c r="G71" s="313"/>
      <c r="H71" s="53"/>
      <c r="I71" s="53"/>
      <c r="J71" s="53"/>
      <c r="K71" s="53"/>
      <c r="L71" s="53"/>
      <c r="M71" s="53"/>
      <c r="N71" s="53"/>
      <c r="O71" s="53"/>
      <c r="P71" s="53"/>
      <c r="Q71" s="53"/>
      <c r="R71" s="53"/>
    </row>
    <row r="72" spans="1:18" ht="14.25" customHeight="1" x14ac:dyDescent="0.25">
      <c r="A72" s="53"/>
      <c r="B72" s="106" t="s">
        <v>590</v>
      </c>
      <c r="C72" s="80"/>
      <c r="D72" s="80"/>
      <c r="E72" s="666">
        <f>'Health Prem &amp; Reserve Risk'!W8*N63</f>
        <v>0</v>
      </c>
      <c r="F72" s="81"/>
      <c r="G72" s="53"/>
      <c r="H72" s="53"/>
      <c r="I72" s="53"/>
      <c r="J72" s="53"/>
      <c r="K72" s="53"/>
      <c r="L72" s="53"/>
      <c r="M72" s="53"/>
      <c r="N72" s="53"/>
      <c r="O72" s="53"/>
      <c r="P72" s="53"/>
      <c r="Q72" s="53"/>
      <c r="R72" s="53"/>
    </row>
    <row r="73" spans="1:18" ht="14.25" customHeight="1" x14ac:dyDescent="0.25">
      <c r="A73" s="53"/>
      <c r="B73" s="106" t="s">
        <v>591</v>
      </c>
      <c r="C73" s="80"/>
      <c r="D73" s="80"/>
      <c r="E73" s="666">
        <f>'Health Prem &amp; Reserve Risk'!W9*N64</f>
        <v>0</v>
      </c>
      <c r="F73" s="81"/>
      <c r="G73" s="53"/>
      <c r="H73" s="158"/>
      <c r="I73" s="53"/>
      <c r="J73" s="53"/>
      <c r="K73" s="53"/>
      <c r="L73" s="53"/>
      <c r="M73" s="53"/>
      <c r="N73" s="53"/>
      <c r="O73" s="53"/>
      <c r="P73" s="53"/>
      <c r="Q73" s="53"/>
      <c r="R73" s="53"/>
    </row>
    <row r="74" spans="1:18" ht="14.25" customHeight="1" x14ac:dyDescent="0.25">
      <c r="A74" s="53"/>
      <c r="B74" s="106" t="s">
        <v>592</v>
      </c>
      <c r="C74" s="80"/>
      <c r="D74" s="80"/>
      <c r="E74" s="666">
        <f>'Health Prem &amp; Reserve Risk'!W10*N65</f>
        <v>0</v>
      </c>
      <c r="F74" s="81"/>
      <c r="G74" s="53"/>
      <c r="H74" s="158"/>
      <c r="I74" s="53"/>
      <c r="J74" s="53"/>
      <c r="K74" s="53"/>
      <c r="L74" s="53"/>
      <c r="M74" s="53"/>
      <c r="N74" s="53"/>
      <c r="O74" s="53"/>
      <c r="P74" s="53"/>
      <c r="Q74" s="53"/>
      <c r="R74" s="53"/>
    </row>
    <row r="75" spans="1:18" ht="14.25" customHeight="1" x14ac:dyDescent="0.25">
      <c r="A75" s="53"/>
      <c r="B75" s="106" t="s">
        <v>515</v>
      </c>
      <c r="C75" s="80"/>
      <c r="D75" s="80"/>
      <c r="E75" s="666">
        <f>'Health Prem &amp; Reserve Risk'!W11*N66</f>
        <v>0</v>
      </c>
      <c r="F75" s="81"/>
      <c r="G75" s="53"/>
      <c r="H75" s="158"/>
      <c r="I75" s="53"/>
      <c r="J75" s="53"/>
      <c r="K75" s="53"/>
      <c r="L75" s="53"/>
      <c r="M75" s="53"/>
      <c r="N75" s="53"/>
      <c r="O75" s="53"/>
      <c r="P75" s="53"/>
      <c r="Q75" s="53"/>
      <c r="R75" s="53"/>
    </row>
    <row r="76" spans="1:18" ht="14.25" customHeight="1" x14ac:dyDescent="0.25">
      <c r="A76" s="53"/>
      <c r="B76" s="106"/>
      <c r="C76" s="80"/>
      <c r="D76" s="80"/>
      <c r="E76" s="80"/>
      <c r="F76" s="81"/>
      <c r="G76" s="53"/>
      <c r="H76" s="158"/>
      <c r="I76" s="53"/>
      <c r="J76" s="53"/>
      <c r="K76" s="53"/>
      <c r="L76" s="53"/>
      <c r="M76" s="53"/>
      <c r="N76" s="53"/>
      <c r="O76" s="53"/>
      <c r="P76" s="53"/>
      <c r="Q76" s="53"/>
      <c r="R76" s="53"/>
    </row>
    <row r="77" spans="1:18" ht="14.25" customHeight="1" x14ac:dyDescent="0.25">
      <c r="A77" s="53"/>
      <c r="B77" s="603" t="s">
        <v>574</v>
      </c>
      <c r="C77" s="672"/>
      <c r="D77" s="672"/>
      <c r="E77" s="672"/>
      <c r="F77" s="673"/>
      <c r="G77" s="53"/>
      <c r="H77" s="158"/>
      <c r="I77" s="53"/>
      <c r="J77" s="53"/>
      <c r="K77" s="53"/>
      <c r="L77" s="53"/>
      <c r="M77" s="53"/>
      <c r="N77" s="53"/>
      <c r="O77" s="53"/>
      <c r="P77" s="53"/>
      <c r="Q77" s="53"/>
      <c r="R77" s="53"/>
    </row>
    <row r="78" spans="1:18" ht="14.25" customHeight="1" x14ac:dyDescent="0.25">
      <c r="A78" s="53"/>
      <c r="B78" s="106"/>
      <c r="C78" s="80"/>
      <c r="D78" s="80"/>
      <c r="E78" s="80"/>
      <c r="F78" s="81"/>
      <c r="G78" s="53"/>
      <c r="H78" s="158"/>
      <c r="I78" s="53"/>
      <c r="J78" s="53"/>
      <c r="K78" s="53"/>
      <c r="L78" s="53"/>
      <c r="M78" s="53"/>
      <c r="N78" s="53"/>
      <c r="O78" s="53"/>
      <c r="P78" s="53"/>
      <c r="Q78" s="53"/>
      <c r="R78" s="53"/>
    </row>
    <row r="79" spans="1:18" ht="14.25" customHeight="1" x14ac:dyDescent="0.25">
      <c r="A79" s="53"/>
      <c r="B79" s="303" t="s">
        <v>575</v>
      </c>
      <c r="C79" s="80"/>
      <c r="D79" s="80"/>
      <c r="E79" s="669">
        <f>SUM('Health Prem &amp; Reserve Risk'!$W$8:$W$11)</f>
        <v>0</v>
      </c>
      <c r="F79" s="81"/>
      <c r="G79" s="53"/>
      <c r="H79" s="158"/>
      <c r="I79" s="53"/>
      <c r="J79" s="53"/>
      <c r="K79" s="53"/>
      <c r="L79" s="53"/>
      <c r="M79" s="53"/>
      <c r="N79" s="53"/>
      <c r="O79" s="53"/>
      <c r="P79" s="53"/>
      <c r="Q79" s="53"/>
      <c r="R79" s="53"/>
    </row>
    <row r="80" spans="1:18" ht="14.25" customHeight="1" x14ac:dyDescent="0.25">
      <c r="A80" s="53"/>
      <c r="B80" s="303" t="s">
        <v>576</v>
      </c>
      <c r="C80" s="80"/>
      <c r="D80" s="80"/>
      <c r="E80" s="659">
        <f t="array" ref="E80">IF($E$79=0,0,SQRT(MMULT(MMULT(TRANSPOSE($E$72:$E$75),CorrPR_Health_10),$E$72:$E$75))/$E$79)</f>
        <v>0</v>
      </c>
      <c r="F80" s="81"/>
      <c r="G80" s="53"/>
      <c r="H80" s="158"/>
      <c r="I80" s="53"/>
      <c r="J80" s="53"/>
      <c r="K80" s="53"/>
      <c r="L80" s="53"/>
      <c r="M80" s="53"/>
      <c r="N80" s="53"/>
      <c r="O80" s="53"/>
      <c r="P80" s="53"/>
      <c r="Q80" s="53"/>
      <c r="R80" s="53"/>
    </row>
    <row r="81" spans="1:18" ht="14.25" customHeight="1" thickBot="1" x14ac:dyDescent="0.3">
      <c r="A81" s="53"/>
      <c r="B81" s="110"/>
      <c r="C81" s="93"/>
      <c r="D81" s="93"/>
      <c r="E81" s="93"/>
      <c r="F81" s="94"/>
      <c r="G81" s="53"/>
      <c r="H81" s="158"/>
      <c r="I81" s="53"/>
      <c r="J81" s="53"/>
      <c r="K81" s="53"/>
      <c r="L81" s="53"/>
      <c r="M81" s="53"/>
      <c r="N81" s="53"/>
      <c r="O81" s="53"/>
      <c r="P81" s="53"/>
      <c r="Q81" s="53"/>
      <c r="R81" s="53"/>
    </row>
    <row r="82" spans="1:18" ht="14.25" customHeight="1" x14ac:dyDescent="0.25">
      <c r="A82" s="53"/>
      <c r="B82" s="53"/>
      <c r="C82" s="53"/>
      <c r="D82" s="53"/>
      <c r="E82" s="53"/>
      <c r="F82" s="53"/>
      <c r="G82" s="53"/>
      <c r="H82" s="158"/>
      <c r="I82" s="53"/>
      <c r="J82" s="53"/>
      <c r="K82" s="53"/>
      <c r="L82" s="53"/>
      <c r="M82" s="53"/>
      <c r="N82" s="53"/>
      <c r="O82" s="53"/>
      <c r="P82" s="53"/>
      <c r="Q82" s="53"/>
      <c r="R82" s="53"/>
    </row>
  </sheetData>
  <sheetProtection algorithmName="SHA-512" hashValue="qOPVtuVGTkDOruNYnyJu0jRAJ0Pmnzl3QvL5c1ycfZ0U6oeB3D5Y+rRKuMvL5cvqjZ2TZyT/kE9lH2PLCHvf6w==" saltValue="OECdSVElyR4XRpdKapdSJw==" spinCount="100000" sheet="1" objects="1" scenarios="1"/>
  <mergeCells count="1">
    <mergeCell ref="C70:E70"/>
  </mergeCells>
  <conditionalFormatting sqref="H1 H3 Q7:Q15 H45:H51 H73:H82">
    <cfRule type="cellIs" dxfId="486" priority="13" operator="equal">
      <formula>"ZERO"</formula>
    </cfRule>
    <cfRule type="cellIs" dxfId="485" priority="22" operator="equal">
      <formula>"OK"</formula>
    </cfRule>
    <cfRule type="cellIs" dxfId="484" priority="23" operator="equal">
      <formula>"ERROR"</formula>
    </cfRule>
  </conditionalFormatting>
  <conditionalFormatting sqref="H4">
    <cfRule type="cellIs" dxfId="483" priority="3" operator="equal">
      <formula>"Complete"</formula>
    </cfRule>
    <cfRule type="cellIs" dxfId="482" priority="4" operator="equal">
      <formula>"Incomplete"</formula>
    </cfRule>
  </conditionalFormatting>
  <conditionalFormatting sqref="H5:H6">
    <cfRule type="cellIs" dxfId="481" priority="5" operator="equal">
      <formula>"ZERO"</formula>
    </cfRule>
    <cfRule type="cellIs" dxfId="480" priority="6" operator="equal">
      <formula>"OK"</formula>
    </cfRule>
    <cfRule type="cellIs" dxfId="479" priority="7" operator="equal">
      <formula>"ERROR"</formula>
    </cfRule>
  </conditionalFormatting>
  <conditionalFormatting sqref="H17">
    <cfRule type="cellIs" dxfId="478" priority="1" operator="equal">
      <formula>"Complete"</formula>
    </cfRule>
    <cfRule type="cellIs" dxfId="477" priority="2" operator="equal">
      <formula>"Incomplete"</formula>
    </cfRule>
  </conditionalFormatting>
  <conditionalFormatting sqref="P26:P29">
    <cfRule type="cellIs" dxfId="476" priority="14" operator="equal">
      <formula>"OK"</formula>
    </cfRule>
    <cfRule type="cellIs" dxfId="475" priority="15" operator="equal">
      <formula>"ERROR"</formula>
    </cfRule>
  </conditionalFormatting>
  <conditionalFormatting sqref="Q2">
    <cfRule type="cellIs" dxfId="474" priority="11" operator="equal">
      <formula>"OK"</formula>
    </cfRule>
    <cfRule type="cellIs" dxfId="473" priority="12" operator="equal">
      <formula>"ERROR"</formula>
    </cfRule>
  </conditionalFormatting>
  <conditionalFormatting sqref="Q19:Q44">
    <cfRule type="cellIs" dxfId="472" priority="8" operator="equal">
      <formula>"ZERO"</formula>
    </cfRule>
    <cfRule type="cellIs" dxfId="471" priority="9" operator="equal">
      <formula>"OK"</formula>
    </cfRule>
    <cfRule type="cellIs" dxfId="470" priority="10" operator="equal">
      <formula>"ERROR"</formula>
    </cfRule>
  </conditionalFormatting>
  <conditionalFormatting sqref="Q52:Q58">
    <cfRule type="cellIs" dxfId="469" priority="20" operator="equal">
      <formula>"OK"</formula>
    </cfRule>
    <cfRule type="cellIs" dxfId="468" priority="21" operator="equal">
      <formula>"ERROR"</formula>
    </cfRule>
  </conditionalFormatting>
  <dataValidations count="6">
    <dataValidation allowBlank="1" showErrorMessage="1" promptTitle="σ(s)" prompt="See TS(200) 2.7.4.15. - overall standard deviation for premium and reserve risk for each segment, s." sqref="N61" xr:uid="{00000000-0002-0000-1900-000000000000}"/>
    <dataValidation allowBlank="1" showErrorMessage="1" sqref="L61 J61" xr:uid="{00000000-0002-0000-1900-000001000000}"/>
    <dataValidation allowBlank="1" showErrorMessage="1" promptTitle="Segmentation by Line of Business" prompt="See TS(200) 2.7.4.4. for the proposed segmentation by LoB, this differs slightly to that used for the Technical Provisions since proportional reinsurance is included within each of the first 9 segments, s." sqref="B61" xr:uid="{00000000-0002-0000-1900-000002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 E23 E33 E40" xr:uid="{00000000-0002-0000-1900-000003000000}"/>
    <dataValidation allowBlank="1" showInputMessage="1" showErrorMessage="1" promptTitle="SCR Non-Life" prompt="See TS 2.9.3 for the calculation of the diversified capital requirement for non-life underwriting risk." sqref="C19 C17" xr:uid="{00000000-0002-0000-1900-000004000000}"/>
    <dataValidation allowBlank="1" showErrorMessage="1" prompt="The insurers retention under its stop loss agreement less incurred claims." sqref="B17" xr:uid="{00000000-0002-0000-1900-000005000000}"/>
  </dataValidations>
  <hyperlinks>
    <hyperlink ref="B42" location="'Health_Catastrophe Risk'!Health_Massaccident" display="Healthmassaccident" xr:uid="{00000000-0004-0000-1900-000000000000}"/>
    <hyperlink ref="B43" location="'Health_Catastrophe Risk'!Health_Concentration" display="Healthconcentration" xr:uid="{00000000-0004-0000-1900-000001000000}"/>
    <hyperlink ref="B44" location="'Health_Catastrophe Risk'!Health_Pandemic" display="Healthpandemic" xr:uid="{00000000-0004-0000-1900-000002000000}"/>
    <hyperlink ref="B7" location="'Non-SLT Health Risk'!Health_Premium" display="Healthpr" xr:uid="{00000000-0004-0000-1900-000003000000}"/>
    <hyperlink ref="B8" location="'Non-SLT Health Risk'!Health_Lapse" display="Healthlapse" xr:uid="{00000000-0004-0000-1900-000004000000}"/>
    <hyperlink ref="B29" location="'Health_Prem &amp; Reserve Risk'!A1" display="Healthpr" xr:uid="{00000000-0004-0000-1900-000005000000}"/>
  </hyperlinks>
  <pageMargins left="0.70866141732283472" right="0.70866141732283472" top="0.74803149606299213" bottom="0.74803149606299213" header="0.31496062992125984" footer="0.31496062992125984"/>
  <pageSetup paperSize="9" scale="1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FFFF00"/>
    <pageSetUpPr fitToPage="1"/>
  </sheetPr>
  <dimension ref="A1:H54"/>
  <sheetViews>
    <sheetView workbookViewId="0"/>
  </sheetViews>
  <sheetFormatPr defaultColWidth="0" defaultRowHeight="14.25" zeroHeight="1" x14ac:dyDescent="0.2"/>
  <cols>
    <col min="1" max="1" width="1.875" customWidth="1"/>
    <col min="2" max="2" width="50.25" customWidth="1"/>
    <col min="3" max="3" width="3.125" customWidth="1"/>
    <col min="4" max="4" width="18.375" customWidth="1"/>
    <col min="5" max="6" width="1.875" customWidth="1"/>
    <col min="7" max="7" width="10.375" customWidth="1"/>
    <col min="8" max="8" width="1.875" customWidth="1"/>
  </cols>
  <sheetData>
    <row r="1" spans="1:8" ht="15.75" x14ac:dyDescent="0.25">
      <c r="A1" s="59">
        <v>1</v>
      </c>
      <c r="B1" s="59"/>
      <c r="C1" s="60"/>
      <c r="D1" s="60"/>
      <c r="E1" s="60"/>
      <c r="F1" s="59"/>
      <c r="G1" s="60"/>
      <c r="H1" s="59"/>
    </row>
    <row r="2" spans="1:8" ht="42" customHeight="1" x14ac:dyDescent="0.25">
      <c r="A2" s="60"/>
      <c r="B2" s="60"/>
      <c r="C2" s="60"/>
      <c r="D2" s="52" t="s">
        <v>70</v>
      </c>
      <c r="E2" s="60"/>
      <c r="F2" s="60"/>
      <c r="G2" s="334" t="str">
        <f>IF(COUNTIF(G22,"Incomplete")&gt;0,"Incomplete","Complete")</f>
        <v>Complete</v>
      </c>
      <c r="H2" s="60"/>
    </row>
    <row r="3" spans="1:8" ht="16.5" thickBot="1" x14ac:dyDescent="0.3">
      <c r="A3" s="53"/>
      <c r="B3" s="53"/>
      <c r="C3" s="53"/>
      <c r="D3" s="53"/>
      <c r="E3" s="53"/>
      <c r="F3" s="53"/>
      <c r="G3" s="53"/>
      <c r="H3" s="53"/>
    </row>
    <row r="4" spans="1:8" ht="16.5" thickBot="1" x14ac:dyDescent="0.3">
      <c r="A4" s="53"/>
      <c r="B4" s="314" t="s">
        <v>594</v>
      </c>
      <c r="C4" s="315"/>
      <c r="D4" s="444" t="s">
        <v>595</v>
      </c>
      <c r="E4" s="53"/>
      <c r="F4" s="53"/>
      <c r="G4" s="53"/>
      <c r="H4" s="53"/>
    </row>
    <row r="5" spans="1:8" ht="15.75" x14ac:dyDescent="0.25">
      <c r="A5" s="53"/>
      <c r="B5" s="53"/>
      <c r="C5" s="53"/>
      <c r="D5" s="53"/>
      <c r="E5" s="53"/>
      <c r="F5" s="53"/>
      <c r="G5" s="53"/>
      <c r="H5" s="53"/>
    </row>
    <row r="6" spans="1:8" ht="16.5" thickBot="1" x14ac:dyDescent="0.3">
      <c r="A6" s="53"/>
      <c r="B6" s="53"/>
      <c r="C6" s="53"/>
      <c r="D6" s="53"/>
      <c r="E6" s="53"/>
      <c r="F6" s="53"/>
      <c r="G6" s="53"/>
      <c r="H6" s="53"/>
    </row>
    <row r="7" spans="1:8" ht="16.5" thickBot="1" x14ac:dyDescent="0.3">
      <c r="A7" s="53"/>
      <c r="B7" s="316" t="s">
        <v>365</v>
      </c>
      <c r="C7" s="317"/>
      <c r="D7" s="318" t="s">
        <v>164</v>
      </c>
      <c r="E7" s="319"/>
      <c r="F7" s="53"/>
      <c r="G7" s="53"/>
      <c r="H7" s="53"/>
    </row>
    <row r="8" spans="1:8" ht="15.75" x14ac:dyDescent="0.25">
      <c r="A8" s="53"/>
      <c r="B8" s="106"/>
      <c r="C8" s="80"/>
      <c r="D8" s="80"/>
      <c r="E8" s="81"/>
      <c r="F8" s="53"/>
      <c r="G8" s="53"/>
      <c r="H8" s="53"/>
    </row>
    <row r="9" spans="1:8" ht="15.75" x14ac:dyDescent="0.25">
      <c r="A9" s="53"/>
      <c r="B9" s="172" t="s">
        <v>381</v>
      </c>
      <c r="C9" s="80"/>
      <c r="D9" s="626">
        <f>IF('Ring-Fenced Fund Adjustment'!D4="yes",'Ring-Fenced Fund Adjustment'!AF11,SCR_Market_10)</f>
        <v>0</v>
      </c>
      <c r="E9" s="81"/>
      <c r="F9" s="53"/>
      <c r="G9" s="66"/>
      <c r="H9" s="53"/>
    </row>
    <row r="10" spans="1:8" ht="15.75" x14ac:dyDescent="0.25">
      <c r="A10" s="53"/>
      <c r="B10" s="172" t="s">
        <v>382</v>
      </c>
      <c r="C10" s="80"/>
      <c r="D10" s="626">
        <f>IF('Ring-Fenced Fund Adjustment'!D4="yes",'Ring-Fenced Fund Adjustment'!AF12,SCR_Default_10)</f>
        <v>0</v>
      </c>
      <c r="E10" s="81"/>
      <c r="F10" s="53"/>
      <c r="G10" s="66"/>
      <c r="H10" s="53"/>
    </row>
    <row r="11" spans="1:8" ht="15.75" x14ac:dyDescent="0.25">
      <c r="A11" s="53"/>
      <c r="B11" s="172" t="s">
        <v>383</v>
      </c>
      <c r="C11" s="80"/>
      <c r="D11" s="626">
        <f>IF('Ring-Fenced Fund Adjustment'!D4="yes",'Ring-Fenced Fund Adjustment'!AF13,'NSLT Health Risk'!SCR_Health_10_capped)</f>
        <v>0</v>
      </c>
      <c r="E11" s="81"/>
      <c r="F11" s="53"/>
      <c r="G11" s="66"/>
      <c r="H11" s="53"/>
    </row>
    <row r="12" spans="1:8" ht="15.75" x14ac:dyDescent="0.25">
      <c r="A12" s="53"/>
      <c r="B12" s="172" t="s">
        <v>384</v>
      </c>
      <c r="C12" s="80"/>
      <c r="D12" s="626">
        <f>IF('Ring-Fenced Fund Adjustment'!D4="yes",'Ring-Fenced Fund Adjustment'!AF14,SCR_Non_Life_10_capped)</f>
        <v>0</v>
      </c>
      <c r="E12" s="81"/>
      <c r="F12" s="53"/>
      <c r="G12" s="66"/>
      <c r="H12" s="53"/>
    </row>
    <row r="13" spans="1:8" ht="15.75" x14ac:dyDescent="0.25">
      <c r="A13" s="53"/>
      <c r="B13" s="172" t="s">
        <v>596</v>
      </c>
      <c r="C13" s="153"/>
      <c r="D13" s="626">
        <f>IF('Ring-Fenced Fund Adjustment'!D4="yes",'Ring-Fenced Fund Adjustment'!AF15,0.4*'RBS - Assets'!$F$11)</f>
        <v>0</v>
      </c>
      <c r="E13" s="81"/>
      <c r="F13" s="53"/>
      <c r="G13" s="66"/>
      <c r="H13" s="53"/>
    </row>
    <row r="14" spans="1:8" ht="15.75" x14ac:dyDescent="0.25">
      <c r="A14" s="53"/>
      <c r="B14" s="172"/>
      <c r="C14" s="80"/>
      <c r="D14" s="201"/>
      <c r="E14" s="81"/>
      <c r="F14" s="53"/>
      <c r="G14" s="53"/>
      <c r="H14" s="53"/>
    </row>
    <row r="15" spans="1:8" ht="15.75" x14ac:dyDescent="0.25">
      <c r="A15" s="53"/>
      <c r="B15" s="106" t="s">
        <v>386</v>
      </c>
      <c r="C15" s="80"/>
      <c r="D15" s="626">
        <f>SUM(D9:D13)</f>
        <v>0</v>
      </c>
      <c r="E15" s="81"/>
      <c r="F15" s="53"/>
      <c r="G15" s="66"/>
      <c r="H15" s="53"/>
    </row>
    <row r="16" spans="1:8" ht="15.75" x14ac:dyDescent="0.25">
      <c r="A16" s="53"/>
      <c r="B16" s="106"/>
      <c r="C16" s="80"/>
      <c r="D16" s="201"/>
      <c r="E16" s="81"/>
      <c r="F16" s="53"/>
      <c r="G16" s="53"/>
      <c r="H16" s="53"/>
    </row>
    <row r="17" spans="1:8" ht="15.75" x14ac:dyDescent="0.25">
      <c r="A17" s="53"/>
      <c r="B17" s="172" t="s">
        <v>387</v>
      </c>
      <c r="C17" s="153"/>
      <c r="D17" s="626">
        <f t="array" ref="D17">IF('Ring-Fenced Fund Adjustment'!D4="Yes",'Ring-Fenced Fund Adjustment'!AF19,SQRT(MMULT(MMULT(TRANSPOSE(D9:D12),Corr_10),D9:D12))-SUM(D9:D12))</f>
        <v>0</v>
      </c>
      <c r="E17" s="81"/>
      <c r="F17" s="53"/>
      <c r="G17" s="66"/>
      <c r="H17" s="53"/>
    </row>
    <row r="18" spans="1:8" ht="15.75" x14ac:dyDescent="0.25">
      <c r="A18" s="53"/>
      <c r="B18" s="106"/>
      <c r="C18" s="80"/>
      <c r="D18" s="201"/>
      <c r="E18" s="81"/>
      <c r="F18" s="53"/>
      <c r="G18" s="53"/>
      <c r="H18" s="53"/>
    </row>
    <row r="19" spans="1:8" ht="15.75" x14ac:dyDescent="0.25">
      <c r="A19" s="53"/>
      <c r="B19" s="202" t="s">
        <v>388</v>
      </c>
      <c r="C19" s="80"/>
      <c r="D19" s="626">
        <f>SUM(D15,D17)</f>
        <v>0</v>
      </c>
      <c r="E19" s="81"/>
      <c r="F19" s="53"/>
      <c r="G19" s="53"/>
      <c r="H19" s="53"/>
    </row>
    <row r="20" spans="1:8" ht="15.75" x14ac:dyDescent="0.25">
      <c r="A20" s="53"/>
      <c r="B20" s="106"/>
      <c r="C20" s="80"/>
      <c r="D20" s="201"/>
      <c r="E20" s="81"/>
      <c r="F20" s="53"/>
      <c r="G20" s="53"/>
      <c r="H20" s="53"/>
    </row>
    <row r="21" spans="1:8" ht="18.75" x14ac:dyDescent="0.35">
      <c r="A21" s="53"/>
      <c r="B21" s="190" t="s">
        <v>597</v>
      </c>
      <c r="C21" s="80"/>
      <c r="D21" s="625">
        <v>0</v>
      </c>
      <c r="E21" s="81"/>
      <c r="F21" s="53"/>
      <c r="G21" s="66"/>
      <c r="H21" s="53"/>
    </row>
    <row r="22" spans="1:8" ht="15.75" x14ac:dyDescent="0.25">
      <c r="A22" s="53"/>
      <c r="B22" s="789" t="s">
        <v>1102</v>
      </c>
      <c r="C22" s="155"/>
      <c r="D22" s="790">
        <v>0</v>
      </c>
      <c r="E22" s="764"/>
      <c r="F22" s="111"/>
      <c r="G22" s="765" t="str">
        <f>IF(OR(D22=""),"Incomplete","Complete")</f>
        <v>Complete</v>
      </c>
      <c r="H22" s="53"/>
    </row>
    <row r="23" spans="1:8" ht="15.75" x14ac:dyDescent="0.25">
      <c r="A23" s="53"/>
      <c r="B23" s="172" t="s">
        <v>390</v>
      </c>
      <c r="C23" s="80"/>
      <c r="D23" s="625">
        <v>0</v>
      </c>
      <c r="E23" s="81"/>
      <c r="F23" s="53"/>
      <c r="G23" s="66"/>
      <c r="H23" s="53"/>
    </row>
    <row r="24" spans="1:8" ht="16.5" thickBot="1" x14ac:dyDescent="0.3">
      <c r="A24" s="53"/>
      <c r="B24" s="106"/>
      <c r="C24" s="80"/>
      <c r="D24" s="201"/>
      <c r="E24" s="81"/>
      <c r="F24" s="53"/>
      <c r="G24" s="53"/>
      <c r="H24" s="53"/>
    </row>
    <row r="25" spans="1:8" ht="16.5" thickBot="1" x14ac:dyDescent="0.3">
      <c r="A25" s="53"/>
      <c r="B25" s="203" t="s">
        <v>391</v>
      </c>
      <c r="C25" s="153"/>
      <c r="D25" s="320">
        <f>SUM(BSCR_10,SCR_Op_10,Adj_Reg_10,D22)</f>
        <v>0</v>
      </c>
      <c r="E25" s="81"/>
      <c r="F25" s="53"/>
      <c r="G25" s="66"/>
      <c r="H25" s="53"/>
    </row>
    <row r="26" spans="1:8" ht="16.5" thickBot="1" x14ac:dyDescent="0.3">
      <c r="A26" s="53"/>
      <c r="B26" s="110"/>
      <c r="C26" s="93"/>
      <c r="D26" s="134"/>
      <c r="E26" s="94"/>
      <c r="F26" s="53"/>
      <c r="G26" s="53"/>
      <c r="H26" s="53"/>
    </row>
    <row r="27" spans="1:8" ht="15.75" x14ac:dyDescent="0.25">
      <c r="A27" s="53"/>
      <c r="B27" s="53"/>
      <c r="C27" s="53"/>
      <c r="D27" s="109"/>
      <c r="E27" s="53"/>
      <c r="F27" s="53"/>
      <c r="G27" s="53"/>
      <c r="H27" s="53"/>
    </row>
    <row r="28" spans="1:8" ht="16.5" thickBot="1" x14ac:dyDescent="0.3">
      <c r="A28" s="53"/>
      <c r="B28" s="53"/>
      <c r="C28" s="53"/>
      <c r="D28" s="109"/>
      <c r="E28" s="53"/>
      <c r="F28" s="53"/>
      <c r="G28" s="53"/>
      <c r="H28" s="53"/>
    </row>
    <row r="29" spans="1:8" ht="16.5" thickBot="1" x14ac:dyDescent="0.3">
      <c r="A29" s="53"/>
      <c r="B29" s="163" t="s">
        <v>42</v>
      </c>
      <c r="C29" s="164"/>
      <c r="D29" s="239" t="s">
        <v>164</v>
      </c>
      <c r="E29" s="166"/>
      <c r="F29" s="53"/>
      <c r="G29" s="53"/>
      <c r="H29" s="53"/>
    </row>
    <row r="30" spans="1:8" ht="15.75" x14ac:dyDescent="0.25">
      <c r="A30" s="53"/>
      <c r="B30" s="106"/>
      <c r="C30" s="80"/>
      <c r="D30" s="85"/>
      <c r="E30" s="81"/>
      <c r="F30" s="53"/>
      <c r="G30" s="53"/>
      <c r="H30" s="53"/>
    </row>
    <row r="31" spans="1:8" ht="15.75" x14ac:dyDescent="0.25">
      <c r="A31" s="53"/>
      <c r="B31" s="172" t="s">
        <v>335</v>
      </c>
      <c r="C31" s="80"/>
      <c r="D31" s="626">
        <f>'Own Funds'!D121</f>
        <v>0</v>
      </c>
      <c r="E31" s="81"/>
      <c r="F31" s="53"/>
      <c r="G31" s="66"/>
      <c r="H31" s="53"/>
    </row>
    <row r="32" spans="1:8" ht="15.75" x14ac:dyDescent="0.25">
      <c r="A32" s="53"/>
      <c r="B32" s="172" t="s">
        <v>394</v>
      </c>
      <c r="C32" s="80"/>
      <c r="D32" s="626">
        <f>'Own Funds'!F121</f>
        <v>0</v>
      </c>
      <c r="E32" s="81"/>
      <c r="F32" s="53"/>
      <c r="G32" s="66"/>
      <c r="H32" s="53"/>
    </row>
    <row r="33" spans="1:8" ht="15.75" x14ac:dyDescent="0.25">
      <c r="A33" s="53"/>
      <c r="B33" s="172" t="s">
        <v>395</v>
      </c>
      <c r="C33" s="80"/>
      <c r="D33" s="626">
        <f>'Own Funds'!H121</f>
        <v>0</v>
      </c>
      <c r="E33" s="81"/>
      <c r="F33" s="53"/>
      <c r="G33" s="207"/>
      <c r="H33" s="53"/>
    </row>
    <row r="34" spans="1:8" ht="15.75" x14ac:dyDescent="0.25">
      <c r="A34" s="53"/>
      <c r="B34" s="172"/>
      <c r="C34" s="80"/>
      <c r="D34" s="201"/>
      <c r="E34" s="81"/>
      <c r="F34" s="53"/>
      <c r="G34" s="53"/>
      <c r="H34" s="53"/>
    </row>
    <row r="35" spans="1:8" ht="15.75" x14ac:dyDescent="0.25">
      <c r="A35" s="53"/>
      <c r="B35" s="172" t="s">
        <v>598</v>
      </c>
      <c r="C35" s="80"/>
      <c r="D35" s="625">
        <v>0</v>
      </c>
      <c r="E35" s="81"/>
      <c r="F35" s="53"/>
      <c r="G35" s="66"/>
      <c r="H35" s="53"/>
    </row>
    <row r="36" spans="1:8" ht="15.75" x14ac:dyDescent="0.25">
      <c r="A36" s="53"/>
      <c r="B36" s="172" t="s">
        <v>599</v>
      </c>
      <c r="C36" s="80"/>
      <c r="D36" s="625">
        <v>0</v>
      </c>
      <c r="E36" s="81"/>
      <c r="F36" s="53"/>
      <c r="G36" s="66"/>
      <c r="H36" s="53"/>
    </row>
    <row r="37" spans="1:8" ht="15.75" x14ac:dyDescent="0.25">
      <c r="A37" s="53"/>
      <c r="B37" s="172" t="s">
        <v>600</v>
      </c>
      <c r="C37" s="80"/>
      <c r="D37" s="625">
        <v>0</v>
      </c>
      <c r="E37" s="81"/>
      <c r="F37" s="53"/>
      <c r="G37" s="66"/>
      <c r="H37" s="53"/>
    </row>
    <row r="38" spans="1:8" ht="16.5" thickBot="1" x14ac:dyDescent="0.3">
      <c r="A38" s="53"/>
      <c r="B38" s="106"/>
      <c r="C38" s="80"/>
      <c r="D38" s="201"/>
      <c r="E38" s="81"/>
      <c r="F38" s="53"/>
      <c r="G38" s="53"/>
      <c r="H38" s="53"/>
    </row>
    <row r="39" spans="1:8" ht="16.5" thickBot="1" x14ac:dyDescent="0.3">
      <c r="A39" s="53"/>
      <c r="B39" s="203" t="s">
        <v>392</v>
      </c>
      <c r="C39" s="80"/>
      <c r="D39" s="320">
        <f>SUM(D31:D33,D35:D37)</f>
        <v>0</v>
      </c>
      <c r="E39" s="81"/>
      <c r="F39" s="53"/>
      <c r="G39" s="66"/>
      <c r="H39" s="53"/>
    </row>
    <row r="40" spans="1:8" ht="16.5" thickBot="1" x14ac:dyDescent="0.3">
      <c r="A40" s="53"/>
      <c r="B40" s="106"/>
      <c r="C40" s="80"/>
      <c r="D40" s="287"/>
      <c r="E40" s="81"/>
      <c r="F40" s="53"/>
      <c r="G40" s="53"/>
      <c r="H40" s="53"/>
    </row>
    <row r="41" spans="1:8" ht="16.5" thickBot="1" x14ac:dyDescent="0.3">
      <c r="A41" s="53"/>
      <c r="B41" s="203" t="s">
        <v>601</v>
      </c>
      <c r="C41" s="80"/>
      <c r="D41" s="344" t="str">
        <f>IF(ISERROR(Cap_Res_10/SCR_10),"N/A",Cap_Res_10/SCR_10)</f>
        <v>N/A</v>
      </c>
      <c r="E41" s="81"/>
      <c r="F41" s="53"/>
      <c r="G41" s="66"/>
      <c r="H41" s="53"/>
    </row>
    <row r="42" spans="1:8" ht="15.75" x14ac:dyDescent="0.25">
      <c r="A42" s="53"/>
      <c r="B42" s="106"/>
      <c r="C42" s="80"/>
      <c r="D42" s="287"/>
      <c r="E42" s="81"/>
      <c r="F42" s="53"/>
      <c r="G42" s="53"/>
      <c r="H42" s="53"/>
    </row>
    <row r="43" spans="1:8" ht="16.5" thickBot="1" x14ac:dyDescent="0.3">
      <c r="A43" s="53"/>
      <c r="B43" s="110"/>
      <c r="C43" s="93"/>
      <c r="D43" s="93"/>
      <c r="E43" s="94"/>
      <c r="F43" s="53"/>
      <c r="G43" s="53"/>
      <c r="H43" s="53"/>
    </row>
    <row r="44" spans="1:8" ht="15.75" x14ac:dyDescent="0.25">
      <c r="A44" s="53"/>
      <c r="B44" s="53"/>
      <c r="C44" s="53"/>
      <c r="D44" s="53"/>
      <c r="E44" s="53"/>
      <c r="F44" s="53"/>
      <c r="G44" s="53"/>
      <c r="H44" s="53"/>
    </row>
    <row r="45" spans="1:8" ht="15.75" x14ac:dyDescent="0.25">
      <c r="A45" s="53"/>
      <c r="B45" s="53"/>
      <c r="C45" s="53"/>
      <c r="D45" s="53"/>
      <c r="E45" s="53"/>
      <c r="F45" s="53"/>
      <c r="G45" s="53"/>
      <c r="H45" s="53"/>
    </row>
    <row r="46" spans="1:8" ht="15.75" x14ac:dyDescent="0.25">
      <c r="A46" s="53"/>
      <c r="B46" s="53"/>
      <c r="C46" s="53"/>
      <c r="D46" s="53"/>
      <c r="E46" s="53"/>
      <c r="F46" s="53"/>
      <c r="G46" s="53"/>
      <c r="H46" s="53"/>
    </row>
    <row r="47" spans="1:8" ht="15.75" x14ac:dyDescent="0.25">
      <c r="A47" s="53"/>
      <c r="B47" s="53"/>
      <c r="C47" s="53"/>
      <c r="D47" s="53"/>
      <c r="E47" s="53"/>
      <c r="F47" s="53"/>
      <c r="G47" s="53"/>
      <c r="H47" s="53"/>
    </row>
    <row r="48" spans="1:8" ht="15.75" x14ac:dyDescent="0.25">
      <c r="A48" s="53"/>
      <c r="B48" s="53"/>
      <c r="C48" s="53"/>
      <c r="D48" s="53"/>
      <c r="E48" s="53"/>
      <c r="F48" s="53"/>
      <c r="G48" s="53"/>
      <c r="H48" s="53"/>
    </row>
    <row r="49" spans="1:8" ht="15.75" x14ac:dyDescent="0.25">
      <c r="A49" s="53"/>
      <c r="B49" s="53"/>
      <c r="C49" s="53"/>
      <c r="D49" s="53"/>
      <c r="E49" s="53"/>
      <c r="F49" s="53"/>
      <c r="G49" s="53"/>
      <c r="H49" s="53"/>
    </row>
    <row r="50" spans="1:8" ht="15.75" x14ac:dyDescent="0.25">
      <c r="A50" s="53"/>
      <c r="B50" s="53"/>
      <c r="C50" s="53"/>
      <c r="D50" s="53"/>
      <c r="E50" s="53"/>
      <c r="F50" s="53"/>
      <c r="G50" s="53"/>
      <c r="H50" s="53"/>
    </row>
    <row r="51" spans="1:8" ht="15.75" x14ac:dyDescent="0.25">
      <c r="A51" s="53"/>
      <c r="B51" s="53"/>
      <c r="C51" s="53"/>
      <c r="D51" s="53"/>
      <c r="E51" s="53"/>
      <c r="F51" s="53"/>
      <c r="G51" s="53"/>
      <c r="H51" s="53"/>
    </row>
    <row r="52" spans="1:8" ht="15.75" x14ac:dyDescent="0.25">
      <c r="A52" s="53"/>
      <c r="B52" s="53"/>
      <c r="C52" s="53"/>
      <c r="D52" s="53"/>
      <c r="E52" s="53"/>
      <c r="F52" s="53"/>
      <c r="G52" s="53"/>
      <c r="H52" s="53"/>
    </row>
    <row r="53" spans="1:8" ht="15.75" x14ac:dyDescent="0.25">
      <c r="A53" s="53"/>
      <c r="B53" s="53"/>
      <c r="C53" s="53"/>
      <c r="D53" s="53"/>
      <c r="E53" s="53"/>
      <c r="F53" s="53"/>
      <c r="G53" s="53"/>
      <c r="H53" s="53"/>
    </row>
    <row r="54" spans="1:8" ht="15.75" x14ac:dyDescent="0.25">
      <c r="A54" s="53"/>
      <c r="B54" s="53"/>
      <c r="C54" s="53"/>
      <c r="D54" s="53"/>
      <c r="E54" s="53"/>
      <c r="F54" s="53"/>
      <c r="G54" s="53"/>
      <c r="H54" s="53"/>
    </row>
  </sheetData>
  <sheetProtection algorithmName="SHA-512" hashValue="6SwpfYZDKfMb/IKF0WdUSHzOmCzFFWene3HJJBlUSyg+xZaSzmrWSskXO5EBl8T1amIYB7ButVWKSQz3sdFcbg==" saltValue="nrW89XgaqDdGO2zkTrOMGw==" spinCount="100000" sheet="1" objects="1" scenarios="1"/>
  <conditionalFormatting sqref="G1 G3:G21 G23:G54">
    <cfRule type="cellIs" dxfId="467" priority="5" operator="equal">
      <formula>"ZERO"</formula>
    </cfRule>
  </conditionalFormatting>
  <conditionalFormatting sqref="G1 G23:G54">
    <cfRule type="cellIs" dxfId="466" priority="8" operator="equal">
      <formula>"OK"</formula>
    </cfRule>
    <cfRule type="cellIs" dxfId="465" priority="9" operator="equal">
      <formula>"ERROR"</formula>
    </cfRule>
  </conditionalFormatting>
  <conditionalFormatting sqref="G2">
    <cfRule type="cellIs" dxfId="464" priority="1" operator="equal">
      <formula>"Complete"</formula>
    </cfRule>
    <cfRule type="cellIs" dxfId="463" priority="2" operator="equal">
      <formula>"Incomplete"</formula>
    </cfRule>
  </conditionalFormatting>
  <conditionalFormatting sqref="G3:G21">
    <cfRule type="cellIs" dxfId="462" priority="6" operator="equal">
      <formula>"OK"</formula>
    </cfRule>
    <cfRule type="cellIs" dxfId="461" priority="7" operator="equal">
      <formula>"ERROR"</formula>
    </cfRule>
  </conditionalFormatting>
  <conditionalFormatting sqref="G22">
    <cfRule type="cellIs" dxfId="460" priority="3" operator="equal">
      <formula>"Complete"</formula>
    </cfRule>
    <cfRule type="cellIs" dxfId="459" priority="4" operator="equal">
      <formula>"Incomplete"</formula>
    </cfRule>
  </conditionalFormatting>
  <dataValidations count="4">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D29" xr:uid="{00000000-0002-0000-1A00-000000000000}"/>
    <dataValidation allowBlank="1" showErrorMessage="1" promptTitle="SCR Intangibles" prompt="See TS(10) 2.3.2.1. for the calculation of the capital requirement for intangible asset risk." sqref="C13" xr:uid="{00000000-0002-0000-1A00-000001000000}"/>
    <dataValidation allowBlank="1" showErrorMessage="1" promptTitle="Diversification" prompt="See TS(10) 2.2.2.2. for the correlation matrix used to calculated the diversified SCR, hence the diversification benefit." sqref="C17" xr:uid="{00000000-0002-0000-1A00-000002000000}"/>
    <dataValidation allowBlank="1" showErrorMessage="1" promptTitle="SCR" prompt="See TS(10) 2.2.1.1. for the calculation of the SCR." sqref="C25" xr:uid="{00000000-0002-0000-1A00-000003000000}"/>
  </dataValidations>
  <pageMargins left="0.70866141732283472" right="0.70866141732283472" top="0.74803149606299213" bottom="0.74803149606299213" header="0.31496062992125984" footer="0.31496062992125984"/>
  <pageSetup paperSize="9" orientation="portrait" r:id="rId1"/>
  <headerFooter>
    <oddFooter>&amp;CDRAFT - FOR DISCUSSION PURPOSES ONLY</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FFFF00"/>
    <pageSetUpPr fitToPage="1"/>
  </sheetPr>
  <dimension ref="A1:T41"/>
  <sheetViews>
    <sheetView workbookViewId="0"/>
  </sheetViews>
  <sheetFormatPr defaultColWidth="0" defaultRowHeight="14.25" zeroHeight="1" x14ac:dyDescent="0.2"/>
  <cols>
    <col min="1" max="1" width="1.875" customWidth="1"/>
    <col min="2" max="2" width="25.125" customWidth="1"/>
    <col min="3" max="3" width="1.875" customWidth="1"/>
    <col min="4" max="4" width="9" customWidth="1"/>
    <col min="5" max="5" width="6.125" customWidth="1"/>
    <col min="6" max="6" width="18.625" customWidth="1"/>
    <col min="7" max="8" width="1.875" customWidth="1"/>
    <col min="9" max="9" width="9" bestFit="1" customWidth="1"/>
    <col min="10" max="10" width="1.875" customWidth="1"/>
    <col min="11" max="20" width="9" hidden="1"/>
  </cols>
  <sheetData>
    <row r="1" spans="1:10" ht="17.25" customHeight="1" x14ac:dyDescent="0.25">
      <c r="A1" s="59">
        <v>1</v>
      </c>
      <c r="B1" s="59"/>
      <c r="C1" s="60"/>
      <c r="D1" s="60"/>
      <c r="E1" s="60"/>
      <c r="F1" s="60"/>
      <c r="G1" s="60"/>
      <c r="H1" s="59"/>
      <c r="I1" s="60"/>
      <c r="J1" s="59"/>
    </row>
    <row r="2" spans="1:10" ht="36.75" customHeight="1" x14ac:dyDescent="0.25">
      <c r="A2" s="60"/>
      <c r="B2" s="60"/>
      <c r="C2" s="60"/>
      <c r="D2" s="60"/>
      <c r="E2" s="60"/>
      <c r="F2" s="52" t="s">
        <v>72</v>
      </c>
      <c r="G2" s="60"/>
      <c r="H2" s="60"/>
      <c r="I2" s="61"/>
      <c r="J2" s="60"/>
    </row>
    <row r="3" spans="1:10" ht="17.25" customHeight="1" thickBot="1" x14ac:dyDescent="0.3">
      <c r="A3" s="53"/>
      <c r="B3" s="53"/>
      <c r="C3" s="53"/>
      <c r="D3" s="53"/>
      <c r="E3" s="53"/>
      <c r="F3" s="53"/>
      <c r="G3" s="53"/>
      <c r="H3" s="53"/>
      <c r="I3" s="334" t="str">
        <f>IF(COUNTIF(I6:I10,"Incomplete")&gt;0,"Incomplete","Complete")</f>
        <v>Complete</v>
      </c>
      <c r="J3" s="53"/>
    </row>
    <row r="4" spans="1:10" ht="17.25" customHeight="1" thickBot="1" x14ac:dyDescent="0.3">
      <c r="A4" s="53"/>
      <c r="B4" s="163" t="s">
        <v>602</v>
      </c>
      <c r="C4" s="194"/>
      <c r="D4" s="194"/>
      <c r="E4" s="164"/>
      <c r="F4" s="239" t="s">
        <v>164</v>
      </c>
      <c r="G4" s="166"/>
      <c r="H4" s="53"/>
      <c r="I4" s="60">
        <f>IF('Participant Information'!E11="GBP",1,0)</f>
        <v>1</v>
      </c>
      <c r="J4" s="53"/>
    </row>
    <row r="5" spans="1:10" ht="17.25" customHeight="1" x14ac:dyDescent="0.25">
      <c r="A5" s="53"/>
      <c r="B5" s="106"/>
      <c r="C5" s="80"/>
      <c r="D5" s="80"/>
      <c r="E5" s="80"/>
      <c r="F5" s="80"/>
      <c r="G5" s="81"/>
      <c r="H5" s="53"/>
      <c r="I5" s="334"/>
      <c r="J5" s="53"/>
    </row>
    <row r="6" spans="1:10" ht="17.25" customHeight="1" x14ac:dyDescent="0.25">
      <c r="A6" s="53"/>
      <c r="B6" s="106" t="s">
        <v>603</v>
      </c>
      <c r="C6" s="80"/>
      <c r="D6" s="80"/>
      <c r="E6" s="80"/>
      <c r="F6" s="674">
        <v>1</v>
      </c>
      <c r="G6" s="81" t="s">
        <v>604</v>
      </c>
      <c r="H6" s="53"/>
      <c r="I6" s="334" t="str">
        <f>IF(AND($F$6&lt;1.0000000001,$I$4=0),"Incomplete",IF(OR(F6="",F6=0),"Incomplete","Complete"))</f>
        <v>Complete</v>
      </c>
      <c r="J6" s="53"/>
    </row>
    <row r="7" spans="1:10" ht="17.25" customHeight="1" x14ac:dyDescent="0.25">
      <c r="A7" s="53"/>
      <c r="B7" s="106"/>
      <c r="C7" s="80"/>
      <c r="D7" s="80"/>
      <c r="E7" s="80"/>
      <c r="F7" s="80"/>
      <c r="G7" s="81"/>
      <c r="H7" s="53"/>
      <c r="I7" s="334"/>
      <c r="J7" s="53"/>
    </row>
    <row r="8" spans="1:10" ht="17.25" customHeight="1" x14ac:dyDescent="0.25">
      <c r="A8" s="53"/>
      <c r="B8" s="106" t="s">
        <v>605</v>
      </c>
      <c r="C8" s="80"/>
      <c r="D8" s="80"/>
      <c r="E8" s="80"/>
      <c r="F8" s="675" t="s">
        <v>91</v>
      </c>
      <c r="G8" s="81" t="s">
        <v>604</v>
      </c>
      <c r="H8" s="53"/>
      <c r="I8" s="334" t="str">
        <f>IF(OR(F8=""),"Incomplete","Complete")</f>
        <v>Complete</v>
      </c>
      <c r="J8" s="53"/>
    </row>
    <row r="9" spans="1:10" ht="17.25" customHeight="1" x14ac:dyDescent="0.25">
      <c r="A9" s="53"/>
      <c r="B9" s="106"/>
      <c r="C9" s="80"/>
      <c r="D9" s="80"/>
      <c r="E9" s="80"/>
      <c r="F9" s="80"/>
      <c r="G9" s="81"/>
      <c r="H9" s="53"/>
      <c r="I9" s="53"/>
      <c r="J9" s="53"/>
    </row>
    <row r="10" spans="1:10" ht="17.25" customHeight="1" x14ac:dyDescent="0.25">
      <c r="A10" s="53"/>
      <c r="B10" s="106" t="s">
        <v>606</v>
      </c>
      <c r="C10" s="80"/>
      <c r="D10" s="80"/>
      <c r="E10" s="80"/>
      <c r="F10" s="676" t="s">
        <v>607</v>
      </c>
      <c r="G10" s="81"/>
      <c r="H10" s="53"/>
      <c r="I10" s="334" t="str">
        <f>IF(OR(F10=""),"Incomplete","Complete")</f>
        <v>Complete</v>
      </c>
      <c r="J10" s="53"/>
    </row>
    <row r="11" spans="1:10" ht="17.25" customHeight="1" x14ac:dyDescent="0.25">
      <c r="A11" s="53"/>
      <c r="B11" s="106"/>
      <c r="C11" s="80"/>
      <c r="D11" s="80"/>
      <c r="E11" s="80"/>
      <c r="F11" s="80"/>
      <c r="G11" s="81"/>
      <c r="H11" s="53"/>
      <c r="I11" s="53"/>
      <c r="J11" s="53"/>
    </row>
    <row r="12" spans="1:10" ht="17.25" customHeight="1" x14ac:dyDescent="0.25">
      <c r="A12" s="53"/>
      <c r="B12" s="321" t="s">
        <v>391</v>
      </c>
      <c r="C12" s="80"/>
      <c r="D12" s="80"/>
      <c r="E12" s="153"/>
      <c r="F12" s="626">
        <f>'SCR Summary'!SCR_10</f>
        <v>0</v>
      </c>
      <c r="G12" s="81"/>
      <c r="H12" s="53"/>
      <c r="I12" s="66"/>
      <c r="J12" s="53"/>
    </row>
    <row r="13" spans="1:10" ht="15.75" x14ac:dyDescent="0.25">
      <c r="A13" s="53"/>
      <c r="B13" s="106"/>
      <c r="C13" s="80"/>
      <c r="D13" s="80"/>
      <c r="E13" s="80"/>
      <c r="F13" s="201"/>
      <c r="G13" s="81"/>
      <c r="H13" s="53"/>
      <c r="I13" s="53"/>
      <c r="J13" s="53"/>
    </row>
    <row r="14" spans="1:10" ht="17.25" customHeight="1" x14ac:dyDescent="0.25">
      <c r="A14" s="53"/>
      <c r="B14" s="322" t="s">
        <v>608</v>
      </c>
      <c r="C14" s="80"/>
      <c r="D14" s="80"/>
      <c r="E14" s="80"/>
      <c r="F14" s="626">
        <f>0.75*F12</f>
        <v>0</v>
      </c>
      <c r="G14" s="81"/>
      <c r="H14" s="53"/>
      <c r="I14" s="66"/>
      <c r="J14" s="53"/>
    </row>
    <row r="15" spans="1:10" ht="17.25" customHeight="1" x14ac:dyDescent="0.25">
      <c r="A15" s="53"/>
      <c r="B15" s="322" t="s">
        <v>609</v>
      </c>
      <c r="C15" s="80"/>
      <c r="D15" s="80"/>
      <c r="E15" s="80"/>
      <c r="F15" s="626">
        <f>IF('MCR Summary'!F10="cell",0,IF('MCR Summary'!F8="N/A",100,'MCR Summary'!F8))*'MCR Summary'!F6</f>
        <v>100</v>
      </c>
      <c r="G15" s="81"/>
      <c r="H15" s="53"/>
      <c r="I15" s="66"/>
      <c r="J15" s="53"/>
    </row>
    <row r="16" spans="1:10" ht="12" customHeight="1" x14ac:dyDescent="0.25">
      <c r="A16" s="53"/>
      <c r="B16" s="172"/>
      <c r="C16" s="80"/>
      <c r="D16" s="80"/>
      <c r="E16" s="80"/>
      <c r="F16" s="201"/>
      <c r="G16" s="81"/>
      <c r="H16" s="53"/>
      <c r="I16" s="53"/>
      <c r="J16" s="53"/>
    </row>
    <row r="17" spans="1:10" ht="17.25" customHeight="1" x14ac:dyDescent="0.25">
      <c r="A17" s="53"/>
      <c r="B17" s="322" t="s">
        <v>610</v>
      </c>
      <c r="C17" s="80"/>
      <c r="D17" s="80"/>
      <c r="E17" s="80"/>
      <c r="F17" s="626">
        <f>MAX(F14,F15)</f>
        <v>100</v>
      </c>
      <c r="G17" s="81"/>
      <c r="H17" s="53"/>
      <c r="I17" s="66"/>
      <c r="J17" s="53"/>
    </row>
    <row r="18" spans="1:10" ht="15.75" x14ac:dyDescent="0.25">
      <c r="A18" s="53"/>
      <c r="B18" s="106"/>
      <c r="C18" s="80"/>
      <c r="D18" s="80"/>
      <c r="E18" s="80"/>
      <c r="F18" s="201"/>
      <c r="G18" s="81"/>
      <c r="H18" s="53"/>
      <c r="I18" s="53"/>
      <c r="J18" s="53"/>
    </row>
    <row r="19" spans="1:10" ht="17.25" customHeight="1" x14ac:dyDescent="0.25">
      <c r="A19" s="53"/>
      <c r="B19" s="172" t="s">
        <v>390</v>
      </c>
      <c r="C19" s="80"/>
      <c r="D19" s="80"/>
      <c r="E19" s="80"/>
      <c r="F19" s="625">
        <v>0</v>
      </c>
      <c r="G19" s="81"/>
      <c r="H19" s="53"/>
      <c r="I19" s="66"/>
      <c r="J19" s="53"/>
    </row>
    <row r="20" spans="1:10" ht="16.5" thickBot="1" x14ac:dyDescent="0.3">
      <c r="A20" s="53"/>
      <c r="B20" s="106"/>
      <c r="C20" s="80"/>
      <c r="D20" s="80"/>
      <c r="E20" s="80"/>
      <c r="F20" s="201"/>
      <c r="G20" s="81"/>
      <c r="H20" s="53"/>
      <c r="I20" s="53"/>
      <c r="J20" s="53"/>
    </row>
    <row r="21" spans="1:10" ht="17.25" customHeight="1" thickBot="1" x14ac:dyDescent="0.3">
      <c r="A21" s="53"/>
      <c r="B21" s="203" t="s">
        <v>611</v>
      </c>
      <c r="C21" s="80"/>
      <c r="D21" s="80"/>
      <c r="E21" s="153"/>
      <c r="F21" s="320">
        <f>F17+F19</f>
        <v>100</v>
      </c>
      <c r="G21" s="81"/>
      <c r="H21" s="53"/>
      <c r="I21" s="66"/>
      <c r="J21" s="53"/>
    </row>
    <row r="22" spans="1:10" ht="16.5" thickBot="1" x14ac:dyDescent="0.3">
      <c r="A22" s="53"/>
      <c r="B22" s="110"/>
      <c r="C22" s="93"/>
      <c r="D22" s="93"/>
      <c r="E22" s="93"/>
      <c r="F22" s="134"/>
      <c r="G22" s="94"/>
      <c r="H22" s="53"/>
      <c r="I22" s="53"/>
      <c r="J22" s="53"/>
    </row>
    <row r="23" spans="1:10" ht="17.25" customHeight="1" thickBot="1" x14ac:dyDescent="0.3">
      <c r="A23" s="53"/>
      <c r="B23" s="53"/>
      <c r="C23" s="53"/>
      <c r="D23" s="53"/>
      <c r="E23" s="53"/>
      <c r="F23" s="109"/>
      <c r="G23" s="53"/>
      <c r="H23" s="53"/>
      <c r="I23" s="53"/>
      <c r="J23" s="53"/>
    </row>
    <row r="24" spans="1:10" ht="17.25" customHeight="1" thickBot="1" x14ac:dyDescent="0.3">
      <c r="A24" s="53"/>
      <c r="B24" s="163" t="s">
        <v>349</v>
      </c>
      <c r="C24" s="194"/>
      <c r="D24" s="194"/>
      <c r="E24" s="164"/>
      <c r="F24" s="239" t="s">
        <v>164</v>
      </c>
      <c r="G24" s="166"/>
      <c r="H24" s="53"/>
      <c r="I24" s="53"/>
      <c r="J24" s="53"/>
    </row>
    <row r="25" spans="1:10" ht="17.25" customHeight="1" x14ac:dyDescent="0.25">
      <c r="A25" s="53"/>
      <c r="B25" s="106"/>
      <c r="C25" s="80"/>
      <c r="D25" s="80"/>
      <c r="E25" s="80"/>
      <c r="F25" s="85"/>
      <c r="G25" s="81"/>
      <c r="H25" s="53"/>
      <c r="I25" s="53"/>
      <c r="J25" s="53"/>
    </row>
    <row r="26" spans="1:10" ht="17.25" customHeight="1" x14ac:dyDescent="0.25">
      <c r="A26" s="53"/>
      <c r="B26" s="172" t="s">
        <v>612</v>
      </c>
      <c r="C26" s="80"/>
      <c r="D26" s="80"/>
      <c r="E26" s="80"/>
      <c r="F26" s="626">
        <f>'Own Funds'!D126</f>
        <v>0</v>
      </c>
      <c r="G26" s="81"/>
      <c r="H26" s="53"/>
      <c r="I26" s="66"/>
      <c r="J26" s="53"/>
    </row>
    <row r="27" spans="1:10" ht="17.25" customHeight="1" x14ac:dyDescent="0.25">
      <c r="A27" s="53"/>
      <c r="B27" s="172" t="s">
        <v>613</v>
      </c>
      <c r="C27" s="80"/>
      <c r="D27" s="80"/>
      <c r="E27" s="80"/>
      <c r="F27" s="626">
        <f>'Own Funds'!F126</f>
        <v>0</v>
      </c>
      <c r="G27" s="81"/>
      <c r="H27" s="53"/>
      <c r="I27" s="66"/>
      <c r="J27" s="53"/>
    </row>
    <row r="28" spans="1:10" ht="17.25" customHeight="1" x14ac:dyDescent="0.25">
      <c r="A28" s="53"/>
      <c r="B28" s="172" t="s">
        <v>614</v>
      </c>
      <c r="C28" s="80"/>
      <c r="D28" s="80"/>
      <c r="E28" s="80"/>
      <c r="F28" s="626">
        <f>'Own Funds'!H126</f>
        <v>0</v>
      </c>
      <c r="G28" s="81"/>
      <c r="H28" s="53"/>
      <c r="I28" s="207"/>
      <c r="J28" s="53"/>
    </row>
    <row r="29" spans="1:10" ht="17.25" customHeight="1" x14ac:dyDescent="0.25">
      <c r="A29" s="53"/>
      <c r="B29" s="172"/>
      <c r="C29" s="80"/>
      <c r="D29" s="80"/>
      <c r="E29" s="80"/>
      <c r="F29" s="201"/>
      <c r="G29" s="81"/>
      <c r="H29" s="53"/>
      <c r="I29" s="53"/>
      <c r="J29" s="53"/>
    </row>
    <row r="30" spans="1:10" ht="17.25" customHeight="1" x14ac:dyDescent="0.25">
      <c r="A30" s="53"/>
      <c r="B30" s="172" t="s">
        <v>598</v>
      </c>
      <c r="C30" s="80"/>
      <c r="D30" s="80"/>
      <c r="E30" s="80"/>
      <c r="F30" s="626">
        <f>'SCR Summary'!Tier_1_Adj_10</f>
        <v>0</v>
      </c>
      <c r="G30" s="81"/>
      <c r="H30" s="53"/>
      <c r="I30" s="66"/>
      <c r="J30" s="53"/>
    </row>
    <row r="31" spans="1:10" ht="17.25" customHeight="1" x14ac:dyDescent="0.25">
      <c r="A31" s="53"/>
      <c r="B31" s="172" t="s">
        <v>599</v>
      </c>
      <c r="C31" s="80"/>
      <c r="D31" s="80"/>
      <c r="E31" s="80"/>
      <c r="F31" s="626">
        <f>'SCR Summary'!Tier_2_Adj_10</f>
        <v>0</v>
      </c>
      <c r="G31" s="81"/>
      <c r="H31" s="53"/>
      <c r="I31" s="66"/>
      <c r="J31" s="53"/>
    </row>
    <row r="32" spans="1:10" ht="17.25" customHeight="1" x14ac:dyDescent="0.25">
      <c r="A32" s="53"/>
      <c r="B32" s="172" t="s">
        <v>600</v>
      </c>
      <c r="C32" s="80"/>
      <c r="D32" s="80"/>
      <c r="E32" s="80"/>
      <c r="F32" s="626">
        <f>'SCR Summary'!Tier_3_Adj_10</f>
        <v>0</v>
      </c>
      <c r="G32" s="81"/>
      <c r="H32" s="53"/>
      <c r="I32" s="66"/>
      <c r="J32" s="53"/>
    </row>
    <row r="33" spans="1:10" ht="17.25" customHeight="1" thickBot="1" x14ac:dyDescent="0.3">
      <c r="A33" s="53"/>
      <c r="B33" s="106"/>
      <c r="C33" s="80"/>
      <c r="D33" s="80"/>
      <c r="E33" s="80"/>
      <c r="F33" s="201"/>
      <c r="G33" s="81"/>
      <c r="H33" s="53"/>
      <c r="I33" s="53"/>
      <c r="J33" s="53"/>
    </row>
    <row r="34" spans="1:10" ht="17.25" customHeight="1" thickBot="1" x14ac:dyDescent="0.3">
      <c r="A34" s="53"/>
      <c r="B34" s="203" t="s">
        <v>615</v>
      </c>
      <c r="C34" s="80"/>
      <c r="D34" s="80"/>
      <c r="E34" s="80"/>
      <c r="F34" s="320">
        <f>SUM(F26:F28,F30:F32)</f>
        <v>0</v>
      </c>
      <c r="G34" s="81"/>
      <c r="H34" s="53"/>
      <c r="I34" s="66"/>
      <c r="J34" s="53"/>
    </row>
    <row r="35" spans="1:10" ht="17.25" customHeight="1" thickBot="1" x14ac:dyDescent="0.3">
      <c r="A35" s="53"/>
      <c r="B35" s="106"/>
      <c r="C35" s="80"/>
      <c r="D35" s="80"/>
      <c r="E35" s="80"/>
      <c r="F35" s="287"/>
      <c r="G35" s="81"/>
      <c r="H35" s="53"/>
      <c r="I35" s="53"/>
      <c r="J35" s="53"/>
    </row>
    <row r="36" spans="1:10" ht="17.25" customHeight="1" thickBot="1" x14ac:dyDescent="0.3">
      <c r="A36" s="53"/>
      <c r="B36" s="203" t="s">
        <v>616</v>
      </c>
      <c r="C36" s="80"/>
      <c r="D36" s="80"/>
      <c r="E36" s="80"/>
      <c r="F36" s="323">
        <f>IF(ISERROR(F34/MCR),"N/A",F34/MCR)</f>
        <v>0</v>
      </c>
      <c r="G36" s="81"/>
      <c r="H36" s="53"/>
      <c r="I36" s="324"/>
      <c r="J36" s="53"/>
    </row>
    <row r="37" spans="1:10" ht="17.25" customHeight="1" thickBot="1" x14ac:dyDescent="0.3">
      <c r="A37" s="53"/>
      <c r="B37" s="110"/>
      <c r="C37" s="93"/>
      <c r="D37" s="93"/>
      <c r="E37" s="93"/>
      <c r="F37" s="325"/>
      <c r="G37" s="94"/>
      <c r="H37" s="53"/>
      <c r="I37" s="53"/>
      <c r="J37" s="53"/>
    </row>
    <row r="38" spans="1:10" ht="17.25" customHeight="1" x14ac:dyDescent="0.25">
      <c r="A38" s="53"/>
      <c r="B38" s="53"/>
      <c r="C38" s="53"/>
      <c r="D38" s="53"/>
      <c r="E38" s="53"/>
      <c r="F38" s="53"/>
      <c r="G38" s="53"/>
      <c r="H38" s="53"/>
      <c r="I38" s="53"/>
      <c r="J38" s="53"/>
    </row>
    <row r="39" spans="1:10" ht="17.25" customHeight="1" x14ac:dyDescent="0.25">
      <c r="A39" s="53"/>
      <c r="B39" s="53"/>
      <c r="C39" s="53"/>
      <c r="D39" s="53"/>
      <c r="E39" s="53"/>
      <c r="F39" s="53"/>
      <c r="G39" s="53"/>
      <c r="H39" s="53"/>
      <c r="I39" s="53"/>
      <c r="J39" s="53"/>
    </row>
    <row r="40" spans="1:10" ht="17.25" customHeight="1" x14ac:dyDescent="0.25">
      <c r="A40" s="53"/>
      <c r="B40" s="53"/>
      <c r="C40" s="53"/>
      <c r="D40" s="53"/>
      <c r="E40" s="53"/>
      <c r="F40" s="53"/>
      <c r="G40" s="53"/>
      <c r="H40" s="53"/>
      <c r="I40" s="53"/>
      <c r="J40" s="53"/>
    </row>
    <row r="41" spans="1:10" ht="17.25" customHeight="1" x14ac:dyDescent="0.25">
      <c r="A41" s="53"/>
      <c r="B41" s="53"/>
      <c r="C41" s="53"/>
      <c r="D41" s="53"/>
      <c r="E41" s="53"/>
      <c r="F41" s="53"/>
      <c r="G41" s="53"/>
      <c r="H41" s="53"/>
      <c r="I41" s="53"/>
      <c r="J41" s="53"/>
    </row>
  </sheetData>
  <sheetProtection algorithmName="SHA-512" hashValue="qtA0aRtrpICOCo1aXtbT9vVXC470F7sHePpSQZQv+YOeEuQDCSTs4HjtYD1WvoRB/NnyZ7Rzgk9QWGwMw41HAg==" saltValue="FtpC8X2Lz5DW7WchlEQ5GA==" spinCount="100000" sheet="1" objects="1" scenarios="1"/>
  <conditionalFormatting sqref="I1">
    <cfRule type="cellIs" dxfId="458" priority="51" operator="equal">
      <formula>"ZERO"</formula>
    </cfRule>
  </conditionalFormatting>
  <conditionalFormatting sqref="I1:I2">
    <cfRule type="cellIs" dxfId="457" priority="28" operator="equal">
      <formula>"OK"</formula>
    </cfRule>
    <cfRule type="cellIs" dxfId="456" priority="29" operator="equal">
      <formula>"ERROR"</formula>
    </cfRule>
  </conditionalFormatting>
  <conditionalFormatting sqref="I2">
    <cfRule type="cellIs" dxfId="455" priority="27" operator="equal">
      <formula>"ZERO"</formula>
    </cfRule>
  </conditionalFormatting>
  <conditionalFormatting sqref="I3">
    <cfRule type="cellIs" dxfId="454" priority="19" operator="equal">
      <formula>"Complete"</formula>
    </cfRule>
    <cfRule type="cellIs" dxfId="453" priority="20" operator="equal">
      <formula>"Incomplete"</formula>
    </cfRule>
  </conditionalFormatting>
  <conditionalFormatting sqref="I4">
    <cfRule type="cellIs" dxfId="452" priority="10" operator="equal">
      <formula>"ZERO"</formula>
    </cfRule>
    <cfRule type="cellIs" dxfId="451" priority="11" operator="equal">
      <formula>"OK"</formula>
    </cfRule>
    <cfRule type="cellIs" dxfId="450" priority="12" operator="equal">
      <formula>"ERROR"</formula>
    </cfRule>
  </conditionalFormatting>
  <conditionalFormatting sqref="I5:I8">
    <cfRule type="cellIs" dxfId="449" priority="1" operator="equal">
      <formula>"Complete"</formula>
    </cfRule>
    <cfRule type="cellIs" dxfId="448" priority="2" operator="equal">
      <formula>"Incomplete"</formula>
    </cfRule>
  </conditionalFormatting>
  <conditionalFormatting sqref="I9">
    <cfRule type="cellIs" dxfId="447" priority="48" operator="equal">
      <formula>"ZERO"</formula>
    </cfRule>
    <cfRule type="cellIs" dxfId="446" priority="49" operator="equal">
      <formula>"OK"</formula>
    </cfRule>
    <cfRule type="cellIs" dxfId="445" priority="50" operator="equal">
      <formula>"ERROR"</formula>
    </cfRule>
  </conditionalFormatting>
  <conditionalFormatting sqref="I10">
    <cfRule type="cellIs" dxfId="444" priority="13" operator="equal">
      <formula>"Complete"</formula>
    </cfRule>
    <cfRule type="cellIs" dxfId="443" priority="14" operator="equal">
      <formula>"Incomplete"</formula>
    </cfRule>
  </conditionalFormatting>
  <conditionalFormatting sqref="I11:I41">
    <cfRule type="cellIs" dxfId="442" priority="36" operator="equal">
      <formula>"ZERO"</formula>
    </cfRule>
    <cfRule type="cellIs" dxfId="441" priority="37" operator="equal">
      <formula>"OK"</formula>
    </cfRule>
    <cfRule type="cellIs" dxfId="440" priority="38" operator="equal">
      <formula>"ERROR"</formula>
    </cfRule>
  </conditionalFormatting>
  <dataValidations count="8">
    <dataValidation allowBlank="1" showErrorMessage="1" promptTitle="TP(life,1)" prompt="See TS 3.2.1.6. - TPs for guaranteed benefits for life insurance obligations with profit participation, net of amounts recoverable from reinsurance &amp; SPVs." sqref="E12" xr:uid="{00000000-0002-0000-1B00-000000000000}"/>
    <dataValidation allowBlank="1" showErrorMessage="1" promptTitle="MCR" prompt="See Regulation 126 for the method of calculation of the MCR" sqref="E21" xr:uid="{00000000-0002-0000-1B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F24 F4:F5 F7" xr:uid="{00000000-0002-0000-1B00-000002000000}"/>
    <dataValidation allowBlank="1" showInputMessage="1" showErrorMessage="1" prompt="If currency not GBP make sure you have entered the correct exchange rate above so this is equiv to £100,000 if not a cell." sqref="B15" xr:uid="{00000000-0002-0000-1B00-000003000000}"/>
    <dataValidation type="decimal" allowBlank="1" showInputMessage="1" showErrorMessage="1" errorTitle="Exchange rate error!" error="The exchange rate should be entered as a valid number." promptTitle="Exchange rate" prompt="Enter the exchange rate from GBP to the reporting currency on the valuation date. e.g if 1GBP = 1.25 USD enter 1.25" sqref="F6" xr:uid="{00000000-0002-0000-1B00-000004000000}">
      <formula1>0</formula1>
      <formula2>1000000</formula2>
    </dataValidation>
    <dataValidation allowBlank="1" showErrorMessage="1" sqref="B8" xr:uid="{00000000-0002-0000-1B00-000005000000}"/>
    <dataValidation allowBlank="1" showInputMessage="1" showErrorMessage="1" prompt="If not, leave as &quot;NA&quot;; if yes, enter the amount of reduced MCR agreed with the Authority" sqref="F8" xr:uid="{00000000-0002-0000-1B00-000006000000}"/>
    <dataValidation type="list" allowBlank="1" showInputMessage="1" showErrorMessage="1" sqref="F10" xr:uid="{00000000-0002-0000-1B00-000007000000}">
      <formula1>"Cell,Core, not PCC"</formula1>
    </dataValidation>
  </dataValidations>
  <pageMargins left="0.7" right="0.7" top="0.75" bottom="0.75" header="0.3" footer="0.3"/>
  <pageSetup paperSize="9"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tabColor rgb="FF00B050"/>
  </sheetPr>
  <dimension ref="A1:P73"/>
  <sheetViews>
    <sheetView workbookViewId="0"/>
  </sheetViews>
  <sheetFormatPr defaultColWidth="0" defaultRowHeight="14.25" zeroHeight="1" x14ac:dyDescent="0.2"/>
  <cols>
    <col min="1" max="2" width="2.375" customWidth="1"/>
    <col min="3" max="3" width="46.125" bestFit="1" customWidth="1"/>
    <col min="4" max="4" width="2.375" customWidth="1"/>
    <col min="5" max="5" width="29.125" bestFit="1" customWidth="1"/>
    <col min="6" max="6" width="2.375" customWidth="1"/>
    <col min="7" max="7" width="26.125" customWidth="1"/>
    <col min="8" max="8" width="2.375" customWidth="1"/>
    <col min="9" max="9" width="10.875" bestFit="1" customWidth="1"/>
    <col min="10" max="10" width="2.375" customWidth="1"/>
    <col min="11" max="11" width="62.375" customWidth="1"/>
    <col min="12" max="12" width="2.375" customWidth="1"/>
    <col min="13" max="16" width="8.625" customWidth="1"/>
  </cols>
  <sheetData>
    <row r="1" spans="1:16" ht="15.75" x14ac:dyDescent="0.25">
      <c r="A1" s="59">
        <v>1</v>
      </c>
      <c r="B1" s="59"/>
      <c r="C1" s="63"/>
      <c r="D1" s="63"/>
      <c r="E1" s="64"/>
      <c r="F1" s="64"/>
      <c r="G1" s="64"/>
      <c r="H1" s="64"/>
      <c r="I1" s="64"/>
      <c r="J1" s="64"/>
      <c r="K1" s="64"/>
      <c r="L1" s="64"/>
      <c r="M1" s="64"/>
      <c r="N1" s="64"/>
      <c r="O1" s="64"/>
      <c r="P1" s="64"/>
    </row>
    <row r="2" spans="1:16" ht="41.25" customHeight="1" x14ac:dyDescent="0.25">
      <c r="A2" s="64"/>
      <c r="B2" s="64"/>
      <c r="C2" s="64"/>
      <c r="D2" s="64"/>
      <c r="E2" s="52" t="s">
        <v>74</v>
      </c>
      <c r="F2" s="64"/>
      <c r="G2" s="64"/>
      <c r="H2" s="64"/>
      <c r="I2" s="64"/>
      <c r="J2" s="64"/>
      <c r="K2" s="64"/>
      <c r="L2" s="64"/>
      <c r="M2" s="64"/>
      <c r="N2" s="373"/>
      <c r="O2" s="64"/>
      <c r="P2" s="64"/>
    </row>
    <row r="3" spans="1:16" ht="16.5" thickBot="1" x14ac:dyDescent="0.3">
      <c r="A3" s="374"/>
      <c r="B3" s="374"/>
      <c r="C3" s="374"/>
      <c r="D3" s="374"/>
      <c r="E3" s="374"/>
      <c r="F3" s="374"/>
      <c r="G3" s="374"/>
      <c r="H3" s="374"/>
      <c r="I3" s="374"/>
      <c r="J3" s="374"/>
      <c r="K3" s="374"/>
      <c r="L3" s="374"/>
      <c r="M3" s="374"/>
      <c r="N3" s="334" t="str">
        <f>IF(COUNTIF(N7:N66,"Incomplete")&gt;0,"Incomplete","Complete")</f>
        <v>Complete</v>
      </c>
      <c r="O3" s="374"/>
      <c r="P3" s="374"/>
    </row>
    <row r="4" spans="1:16" ht="15.75" x14ac:dyDescent="0.25">
      <c r="A4" s="374"/>
      <c r="B4" s="375"/>
      <c r="C4" s="250" t="s">
        <v>617</v>
      </c>
      <c r="D4" s="250"/>
      <c r="E4" s="69" t="s">
        <v>618</v>
      </c>
      <c r="F4" s="69"/>
      <c r="G4" s="69" t="s">
        <v>619</v>
      </c>
      <c r="H4" s="70"/>
      <c r="I4" s="69" t="s">
        <v>620</v>
      </c>
      <c r="J4" s="70"/>
      <c r="K4" s="69" t="s">
        <v>621</v>
      </c>
      <c r="L4" s="376"/>
      <c r="M4" s="374"/>
      <c r="N4" s="374"/>
      <c r="O4" s="374"/>
      <c r="P4" s="374"/>
    </row>
    <row r="5" spans="1:16" ht="16.5" thickBot="1" x14ac:dyDescent="0.3">
      <c r="A5" s="374"/>
      <c r="B5" s="377"/>
      <c r="C5" s="378"/>
      <c r="D5" s="378"/>
      <c r="E5" s="75" t="str">
        <f>"'000"</f>
        <v>'000</v>
      </c>
      <c r="F5" s="148"/>
      <c r="G5" s="75" t="str">
        <f>"'000"</f>
        <v>'000</v>
      </c>
      <c r="H5" s="76"/>
      <c r="I5" s="75" t="s">
        <v>508</v>
      </c>
      <c r="J5" s="76"/>
      <c r="K5" s="75"/>
      <c r="L5" s="379"/>
      <c r="M5" s="374"/>
      <c r="N5" s="374"/>
      <c r="O5" s="374"/>
      <c r="P5" s="374"/>
    </row>
    <row r="6" spans="1:16" ht="15.75" x14ac:dyDescent="0.25">
      <c r="A6" s="374"/>
      <c r="B6" s="380"/>
      <c r="C6" s="381" t="s">
        <v>399</v>
      </c>
      <c r="D6" s="382"/>
      <c r="E6" s="382"/>
      <c r="F6" s="382"/>
      <c r="G6" s="382"/>
      <c r="H6" s="382"/>
      <c r="I6" s="382"/>
      <c r="J6" s="382"/>
      <c r="K6" s="382"/>
      <c r="L6" s="383"/>
      <c r="M6" s="374"/>
      <c r="N6" s="374"/>
      <c r="O6" s="374"/>
      <c r="P6" s="374"/>
    </row>
    <row r="7" spans="1:16" ht="15.75" x14ac:dyDescent="0.25">
      <c r="A7" s="374"/>
      <c r="B7" s="384"/>
      <c r="C7" s="385" t="s">
        <v>622</v>
      </c>
      <c r="D7" s="386"/>
      <c r="E7" s="677">
        <f>'RBS - Assets'!F14</f>
        <v>0</v>
      </c>
      <c r="F7" s="371"/>
      <c r="G7" s="678">
        <v>0</v>
      </c>
      <c r="H7" s="386"/>
      <c r="I7" s="679" t="str">
        <f t="shared" ref="I7:I12" si="0">IF(E7="","",IF(ISERROR(E7/G7),"",E7/G7-1))</f>
        <v/>
      </c>
      <c r="J7" s="386"/>
      <c r="K7" s="680"/>
      <c r="L7" s="387"/>
      <c r="M7" s="374"/>
      <c r="N7" s="334" t="str">
        <f>IF(OR(G7=""),"Incomplete","Complete")</f>
        <v>Complete</v>
      </c>
      <c r="O7" s="374"/>
      <c r="P7" s="374"/>
    </row>
    <row r="8" spans="1:16" ht="15.75" x14ac:dyDescent="0.25">
      <c r="A8" s="374"/>
      <c r="B8" s="384"/>
      <c r="C8" s="385" t="s">
        <v>170</v>
      </c>
      <c r="D8" s="386"/>
      <c r="E8" s="677">
        <f>'RBS - Assets'!F36</f>
        <v>0</v>
      </c>
      <c r="F8" s="371"/>
      <c r="G8" s="678">
        <v>0</v>
      </c>
      <c r="H8" s="386"/>
      <c r="I8" s="679" t="str">
        <f t="shared" si="0"/>
        <v/>
      </c>
      <c r="J8" s="386"/>
      <c r="K8" s="680"/>
      <c r="L8" s="387"/>
      <c r="M8" s="374"/>
      <c r="N8" s="334" t="str">
        <f t="shared" ref="N8:N11" si="1">IF(OR(G8=""),"Incomplete","Complete")</f>
        <v>Complete</v>
      </c>
      <c r="O8" s="374"/>
      <c r="P8" s="374"/>
    </row>
    <row r="9" spans="1:16" ht="15.75" x14ac:dyDescent="0.25">
      <c r="A9" s="374"/>
      <c r="B9" s="384"/>
      <c r="C9" s="385" t="s">
        <v>188</v>
      </c>
      <c r="D9" s="386"/>
      <c r="E9" s="677">
        <f>'RBS - Assets'!F45</f>
        <v>0</v>
      </c>
      <c r="F9" s="371"/>
      <c r="G9" s="678">
        <v>0</v>
      </c>
      <c r="H9" s="386"/>
      <c r="I9" s="679" t="str">
        <f t="shared" si="0"/>
        <v/>
      </c>
      <c r="J9" s="386"/>
      <c r="K9" s="680"/>
      <c r="L9" s="387"/>
      <c r="M9" s="374"/>
      <c r="N9" s="334" t="str">
        <f t="shared" si="1"/>
        <v>Complete</v>
      </c>
      <c r="O9" s="374"/>
      <c r="P9" s="374"/>
    </row>
    <row r="10" spans="1:16" ht="15.75" x14ac:dyDescent="0.25">
      <c r="A10" s="374"/>
      <c r="B10" s="384"/>
      <c r="C10" s="385" t="s">
        <v>623</v>
      </c>
      <c r="D10" s="386"/>
      <c r="E10" s="677">
        <f>'RBS - Assets'!F53</f>
        <v>0</v>
      </c>
      <c r="F10" s="371"/>
      <c r="G10" s="678">
        <v>0</v>
      </c>
      <c r="H10" s="386"/>
      <c r="I10" s="679" t="str">
        <f t="shared" si="0"/>
        <v/>
      </c>
      <c r="J10" s="386"/>
      <c r="K10" s="680"/>
      <c r="L10" s="387"/>
      <c r="M10" s="374"/>
      <c r="N10" s="334" t="str">
        <f t="shared" si="1"/>
        <v>Complete</v>
      </c>
      <c r="O10" s="374"/>
      <c r="P10" s="374"/>
    </row>
    <row r="11" spans="1:16" ht="15.75" x14ac:dyDescent="0.25">
      <c r="A11" s="374"/>
      <c r="B11" s="384"/>
      <c r="C11" s="385" t="s">
        <v>624</v>
      </c>
      <c r="D11" s="386"/>
      <c r="E11" s="677">
        <f>'RBS - Assets'!F69</f>
        <v>0</v>
      </c>
      <c r="F11" s="371"/>
      <c r="G11" s="678">
        <v>0</v>
      </c>
      <c r="H11" s="386"/>
      <c r="I11" s="679" t="str">
        <f t="shared" si="0"/>
        <v/>
      </c>
      <c r="J11" s="386"/>
      <c r="K11" s="680"/>
      <c r="L11" s="387"/>
      <c r="M11" s="374"/>
      <c r="N11" s="334" t="str">
        <f t="shared" si="1"/>
        <v>Complete</v>
      </c>
      <c r="O11" s="374"/>
      <c r="P11" s="374"/>
    </row>
    <row r="12" spans="1:16" ht="15.75" x14ac:dyDescent="0.25">
      <c r="A12" s="388"/>
      <c r="B12" s="90"/>
      <c r="C12" s="389" t="s">
        <v>625</v>
      </c>
      <c r="D12" s="390"/>
      <c r="E12" s="681">
        <f>SUM(E7:E11)</f>
        <v>0</v>
      </c>
      <c r="F12" s="372"/>
      <c r="G12" s="681">
        <f>SUM(G7:G11)</f>
        <v>0</v>
      </c>
      <c r="H12" s="390"/>
      <c r="I12" s="679" t="str">
        <f t="shared" si="0"/>
        <v/>
      </c>
      <c r="J12" s="390"/>
      <c r="K12" s="682"/>
      <c r="L12" s="391"/>
      <c r="M12" s="388"/>
      <c r="N12" s="334"/>
      <c r="O12" s="388"/>
      <c r="P12" s="388"/>
    </row>
    <row r="13" spans="1:16" ht="15.75" x14ac:dyDescent="0.25">
      <c r="A13" s="374"/>
      <c r="B13" s="79"/>
      <c r="C13" s="392"/>
      <c r="D13" s="386"/>
      <c r="E13" s="371"/>
      <c r="F13" s="371"/>
      <c r="G13" s="371"/>
      <c r="H13" s="386"/>
      <c r="I13" s="393"/>
      <c r="J13" s="386"/>
      <c r="K13" s="394"/>
      <c r="L13" s="387"/>
      <c r="M13" s="374"/>
      <c r="N13" s="374"/>
      <c r="O13" s="374"/>
      <c r="P13" s="374"/>
    </row>
    <row r="14" spans="1:16" ht="15.75" x14ac:dyDescent="0.25">
      <c r="A14" s="374"/>
      <c r="B14" s="79"/>
      <c r="C14" s="392" t="s">
        <v>400</v>
      </c>
      <c r="D14" s="386"/>
      <c r="E14" s="371"/>
      <c r="F14" s="371"/>
      <c r="G14" s="371"/>
      <c r="H14" s="386"/>
      <c r="I14" s="393"/>
      <c r="J14" s="386"/>
      <c r="K14" s="394"/>
      <c r="L14" s="387"/>
      <c r="M14" s="374"/>
      <c r="N14" s="374"/>
      <c r="O14" s="374"/>
      <c r="P14" s="374"/>
    </row>
    <row r="15" spans="1:16" ht="15.75" x14ac:dyDescent="0.25">
      <c r="A15" s="374"/>
      <c r="B15" s="384"/>
      <c r="C15" s="385" t="s">
        <v>626</v>
      </c>
      <c r="D15" s="386"/>
      <c r="E15" s="677">
        <f>SUM('RBS - Direct TPs'!F13,'RBS - Direct TPs'!F22,'RBS - Direct TPs'!F31,'RBS - Direct TPs'!F40,'RBS - Direct TPs'!F49,'RBS - Direct TPs'!F58,'RBS - Direct TPs'!F67,'RBS - Direct TPs'!F76,'RBS - Direct TPs'!F85,'RBS - Direct TPs'!F94,'RBS - Direct TPs'!F103,'RBS - Direct TPs'!F112,'RBS - Reins TPs'!F13,'RBS - Reins TPs'!F22,'RBS - Reins TPs'!F31,'RBS - Reins TPs'!F40,'RBS - Reins TPs'!F49,'RBS - Reins TPs'!F67,'RBS - Reins TPs'!F76,'RBS - Reins TPs'!F85,'RBS - Reins TPs'!F94,'RBS - Reins TPs'!F103,'RBS - Reins TPs'!F112,'RBS - Reins TPs'!F121,'RBS - Reins TPs'!F130,'RBS - Reins TPs'!F139,'RBS - Reins TPs'!F148,)</f>
        <v>0</v>
      </c>
      <c r="F15" s="372"/>
      <c r="G15" s="678">
        <v>0</v>
      </c>
      <c r="H15" s="386"/>
      <c r="I15" s="679" t="str">
        <f>IF(E15="","",IF(ISERROR(E15/G15),"",E15/G15-1))</f>
        <v/>
      </c>
      <c r="J15" s="386"/>
      <c r="K15" s="680"/>
      <c r="L15" s="387"/>
      <c r="M15" s="374"/>
      <c r="N15" s="334" t="str">
        <f t="shared" ref="N15:N17" si="2">IF(OR(G15=""),"Incomplete","Complete")</f>
        <v>Complete</v>
      </c>
      <c r="O15" s="374"/>
      <c r="P15" s="374"/>
    </row>
    <row r="16" spans="1:16" ht="15.75" x14ac:dyDescent="0.25">
      <c r="A16" s="374"/>
      <c r="B16" s="384"/>
      <c r="C16" s="385" t="s">
        <v>627</v>
      </c>
      <c r="D16" s="386"/>
      <c r="E16" s="677">
        <f>SUM('RBS - Direct TPs'!F14,'RBS - Direct TPs'!F23,'RBS - Direct TPs'!F32,'RBS - Direct TPs'!F41,'RBS - Direct TPs'!F50,'RBS - Direct TPs'!F59,'RBS - Direct TPs'!F68,'RBS - Direct TPs'!F77,'RBS - Direct TPs'!F86,'RBS - Direct TPs'!F95,'RBS - Direct TPs'!F104,'RBS - Direct TPs'!F113,'RBS - Reins TPs'!F14,'RBS - Reins TPs'!F23,'RBS - Reins TPs'!F32,'RBS - Reins TPs'!F41,'RBS - Reins TPs'!F50,'RBS - Reins TPs'!F59,'RBS - Reins TPs'!F68,'RBS - Reins TPs'!F77,'RBS - Reins TPs'!F86,'RBS - Reins TPs'!F95,'RBS - Reins TPs'!F104,'RBS - Reins TPs'!F113,'RBS - Reins TPs'!F122,'RBS - Reins TPs'!F131,'RBS - Reins TPs'!F140,'RBS - Reins TPs'!F149,)</f>
        <v>0</v>
      </c>
      <c r="F16" s="371"/>
      <c r="G16" s="678">
        <v>0</v>
      </c>
      <c r="H16" s="386"/>
      <c r="I16" s="679" t="str">
        <f>IF(E16="","",IF(ISERROR(E16/G16),"",E16/G16-1))</f>
        <v/>
      </c>
      <c r="J16" s="386"/>
      <c r="K16" s="680"/>
      <c r="L16" s="387"/>
      <c r="M16" s="374"/>
      <c r="N16" s="334" t="str">
        <f t="shared" si="2"/>
        <v>Complete</v>
      </c>
      <c r="O16" s="374"/>
      <c r="P16" s="374"/>
    </row>
    <row r="17" spans="1:16" ht="15.75" x14ac:dyDescent="0.25">
      <c r="A17" s="374"/>
      <c r="B17" s="384"/>
      <c r="C17" s="385" t="s">
        <v>628</v>
      </c>
      <c r="D17" s="386"/>
      <c r="E17" s="677">
        <f>'RBS - Other Liab'!Reg_Other_Liabs_10</f>
        <v>0</v>
      </c>
      <c r="F17" s="371"/>
      <c r="G17" s="678">
        <v>0</v>
      </c>
      <c r="H17" s="386"/>
      <c r="I17" s="679" t="str">
        <f t="shared" ref="I17:I18" si="3">IF(E17="","",IF(ISERROR(E17/G17),"",E17/G17-1))</f>
        <v/>
      </c>
      <c r="J17" s="386"/>
      <c r="K17" s="680"/>
      <c r="L17" s="387"/>
      <c r="M17" s="374"/>
      <c r="N17" s="334" t="str">
        <f t="shared" si="2"/>
        <v>Complete</v>
      </c>
      <c r="O17" s="374"/>
      <c r="P17" s="374"/>
    </row>
    <row r="18" spans="1:16" ht="15.75" x14ac:dyDescent="0.25">
      <c r="A18" s="388"/>
      <c r="B18" s="90"/>
      <c r="C18" s="389" t="s">
        <v>629</v>
      </c>
      <c r="D18" s="390"/>
      <c r="E18" s="681">
        <f>SUM(E15:E17)</f>
        <v>0</v>
      </c>
      <c r="F18" s="372"/>
      <c r="G18" s="683">
        <f>SUM(G15:G17)</f>
        <v>0</v>
      </c>
      <c r="H18" s="390"/>
      <c r="I18" s="679" t="str">
        <f t="shared" si="3"/>
        <v/>
      </c>
      <c r="J18" s="390"/>
      <c r="K18" s="682"/>
      <c r="L18" s="391"/>
      <c r="M18" s="388"/>
      <c r="N18" s="334"/>
      <c r="O18" s="388"/>
      <c r="P18" s="388"/>
    </row>
    <row r="19" spans="1:16" ht="15.75" x14ac:dyDescent="0.25">
      <c r="A19" s="374"/>
      <c r="B19" s="79"/>
      <c r="C19" s="392"/>
      <c r="D19" s="386"/>
      <c r="E19" s="371"/>
      <c r="F19" s="371"/>
      <c r="G19" s="371"/>
      <c r="H19" s="386"/>
      <c r="I19" s="393"/>
      <c r="J19" s="386"/>
      <c r="K19" s="394"/>
      <c r="L19" s="387"/>
      <c r="M19" s="374"/>
      <c r="N19" s="374"/>
      <c r="O19" s="374"/>
      <c r="P19" s="374"/>
    </row>
    <row r="20" spans="1:16" ht="15.75" x14ac:dyDescent="0.25">
      <c r="A20" s="374"/>
      <c r="B20" s="384"/>
      <c r="C20" s="395" t="s">
        <v>272</v>
      </c>
      <c r="D20" s="386"/>
      <c r="E20" s="684">
        <f>E12-E18</f>
        <v>0</v>
      </c>
      <c r="F20" s="371"/>
      <c r="G20" s="684">
        <f>G12-G18</f>
        <v>0</v>
      </c>
      <c r="H20" s="386"/>
      <c r="I20" s="679" t="str">
        <f>IF(E20="","",IF(ISERROR(E20/G20),"",E20/G20-1))</f>
        <v/>
      </c>
      <c r="J20" s="386"/>
      <c r="K20" s="680"/>
      <c r="L20" s="387"/>
      <c r="M20" s="374"/>
      <c r="N20" s="374"/>
      <c r="O20" s="374"/>
      <c r="P20" s="374"/>
    </row>
    <row r="21" spans="1:16" ht="15.75" x14ac:dyDescent="0.25">
      <c r="A21" s="374"/>
      <c r="B21" s="79"/>
      <c r="C21" s="392"/>
      <c r="D21" s="386"/>
      <c r="E21" s="371"/>
      <c r="F21" s="371"/>
      <c r="G21" s="371"/>
      <c r="H21" s="386"/>
      <c r="I21" s="393" t="str">
        <f t="shared" ref="I21" si="4">IF(E21="","",E21/G21-1)</f>
        <v/>
      </c>
      <c r="J21" s="386"/>
      <c r="K21" s="394"/>
      <c r="L21" s="387"/>
      <c r="M21" s="374"/>
      <c r="N21" s="374"/>
      <c r="O21" s="374"/>
      <c r="P21" s="374"/>
    </row>
    <row r="22" spans="1:16" ht="16.5" thickBot="1" x14ac:dyDescent="0.3">
      <c r="A22" s="374"/>
      <c r="B22" s="92"/>
      <c r="C22" s="396"/>
      <c r="D22" s="396"/>
      <c r="E22" s="396"/>
      <c r="F22" s="396"/>
      <c r="G22" s="396"/>
      <c r="H22" s="396"/>
      <c r="I22" s="396"/>
      <c r="J22" s="396"/>
      <c r="K22" s="396"/>
      <c r="L22" s="397"/>
      <c r="M22" s="374"/>
      <c r="N22" s="374"/>
      <c r="O22" s="374"/>
      <c r="P22" s="374"/>
    </row>
    <row r="23" spans="1:16" ht="16.5" thickBot="1" x14ac:dyDescent="0.3">
      <c r="A23" s="374"/>
      <c r="B23" s="398"/>
      <c r="C23" s="398"/>
      <c r="D23" s="398"/>
      <c r="E23" s="374"/>
      <c r="F23" s="374"/>
      <c r="G23" s="374"/>
      <c r="H23" s="374"/>
      <c r="I23" s="374"/>
      <c r="J23" s="374"/>
      <c r="K23" s="374"/>
      <c r="L23" s="374"/>
      <c r="M23" s="374"/>
      <c r="N23" s="374"/>
      <c r="O23" s="374"/>
      <c r="P23" s="374"/>
    </row>
    <row r="24" spans="1:16" ht="15.75" x14ac:dyDescent="0.25">
      <c r="A24" s="374"/>
      <c r="B24" s="375"/>
      <c r="C24" s="250" t="s">
        <v>630</v>
      </c>
      <c r="D24" s="250"/>
      <c r="E24" s="69" t="s">
        <v>618</v>
      </c>
      <c r="F24" s="69"/>
      <c r="G24" s="69" t="s">
        <v>619</v>
      </c>
      <c r="H24" s="70"/>
      <c r="I24" s="69" t="s">
        <v>620</v>
      </c>
      <c r="J24" s="70"/>
      <c r="K24" s="69" t="s">
        <v>621</v>
      </c>
      <c r="L24" s="376"/>
      <c r="M24" s="374"/>
      <c r="N24" s="374"/>
      <c r="O24" s="374"/>
      <c r="P24" s="374"/>
    </row>
    <row r="25" spans="1:16" ht="16.5" thickBot="1" x14ac:dyDescent="0.3">
      <c r="A25" s="374"/>
      <c r="B25" s="377"/>
      <c r="C25" s="378"/>
      <c r="D25" s="378"/>
      <c r="E25" s="75" t="str">
        <f>"'000"</f>
        <v>'000</v>
      </c>
      <c r="F25" s="148"/>
      <c r="G25" s="75" t="str">
        <f>"'000"</f>
        <v>'000</v>
      </c>
      <c r="H25" s="76"/>
      <c r="I25" s="75" t="s">
        <v>508</v>
      </c>
      <c r="J25" s="76"/>
      <c r="K25" s="75"/>
      <c r="L25" s="379"/>
      <c r="M25" s="374"/>
      <c r="N25" s="374"/>
      <c r="O25" s="374"/>
      <c r="P25" s="374"/>
    </row>
    <row r="26" spans="1:16" ht="15.75" x14ac:dyDescent="0.25">
      <c r="A26" s="374"/>
      <c r="B26" s="380"/>
      <c r="C26" s="382"/>
      <c r="D26" s="382"/>
      <c r="E26" s="382"/>
      <c r="F26" s="382"/>
      <c r="G26" s="382"/>
      <c r="H26" s="382"/>
      <c r="I26" s="382"/>
      <c r="J26" s="382"/>
      <c r="K26" s="382"/>
      <c r="L26" s="383"/>
      <c r="M26" s="374"/>
      <c r="N26" s="374"/>
      <c r="O26" s="374"/>
      <c r="P26" s="374"/>
    </row>
    <row r="27" spans="1:16" ht="15.75" x14ac:dyDescent="0.25">
      <c r="A27" s="374"/>
      <c r="B27" s="384"/>
      <c r="C27" s="385" t="s">
        <v>289</v>
      </c>
      <c r="D27" s="386"/>
      <c r="E27" s="677">
        <f>'RBS - Capital'!F11</f>
        <v>0</v>
      </c>
      <c r="F27" s="371"/>
      <c r="G27" s="678">
        <v>0</v>
      </c>
      <c r="H27" s="386"/>
      <c r="I27" s="679" t="str">
        <f t="shared" ref="I27:I36" si="5">IF(E27="","",IF(ISERROR(E27/G27),"",E27/G27-1))</f>
        <v/>
      </c>
      <c r="J27" s="386"/>
      <c r="K27" s="680"/>
      <c r="L27" s="387"/>
      <c r="M27" s="374"/>
      <c r="N27" s="334" t="str">
        <f t="shared" ref="N27:N37" si="6">IF(OR(G27=""),"Incomplete","Complete")</f>
        <v>Complete</v>
      </c>
      <c r="O27" s="374"/>
      <c r="P27" s="374"/>
    </row>
    <row r="28" spans="1:16" ht="15.75" x14ac:dyDescent="0.25">
      <c r="A28" s="374"/>
      <c r="B28" s="384"/>
      <c r="C28" s="385" t="s">
        <v>290</v>
      </c>
      <c r="D28" s="386"/>
      <c r="E28" s="677">
        <f>'RBS - Capital'!F12</f>
        <v>0</v>
      </c>
      <c r="F28" s="371"/>
      <c r="G28" s="678">
        <v>0</v>
      </c>
      <c r="H28" s="386"/>
      <c r="I28" s="679" t="str">
        <f t="shared" si="5"/>
        <v/>
      </c>
      <c r="J28" s="386"/>
      <c r="K28" s="680"/>
      <c r="L28" s="387"/>
      <c r="M28" s="374"/>
      <c r="N28" s="334" t="str">
        <f t="shared" si="6"/>
        <v>Complete</v>
      </c>
      <c r="O28" s="374"/>
      <c r="P28" s="374"/>
    </row>
    <row r="29" spans="1:16" ht="15.75" x14ac:dyDescent="0.25">
      <c r="A29" s="374"/>
      <c r="B29" s="384"/>
      <c r="C29" s="385" t="s">
        <v>291</v>
      </c>
      <c r="D29" s="386"/>
      <c r="E29" s="677">
        <f>'RBS - Capital'!F13</f>
        <v>0</v>
      </c>
      <c r="F29" s="371"/>
      <c r="G29" s="678">
        <v>0</v>
      </c>
      <c r="H29" s="386"/>
      <c r="I29" s="679" t="str">
        <f t="shared" si="5"/>
        <v/>
      </c>
      <c r="J29" s="386"/>
      <c r="K29" s="680"/>
      <c r="L29" s="387"/>
      <c r="M29" s="374"/>
      <c r="N29" s="334" t="str">
        <f t="shared" si="6"/>
        <v>Complete</v>
      </c>
      <c r="O29" s="374"/>
      <c r="P29" s="374"/>
    </row>
    <row r="30" spans="1:16" ht="15.75" x14ac:dyDescent="0.25">
      <c r="A30" s="374"/>
      <c r="B30" s="384"/>
      <c r="C30" s="385" t="s">
        <v>292</v>
      </c>
      <c r="D30" s="386"/>
      <c r="E30" s="677">
        <f>'RBS - Capital'!F14</f>
        <v>0</v>
      </c>
      <c r="F30" s="371"/>
      <c r="G30" s="678">
        <v>0</v>
      </c>
      <c r="H30" s="386"/>
      <c r="I30" s="679" t="str">
        <f t="shared" si="5"/>
        <v/>
      </c>
      <c r="J30" s="386"/>
      <c r="K30" s="680"/>
      <c r="L30" s="387"/>
      <c r="M30" s="374"/>
      <c r="N30" s="334" t="str">
        <f t="shared" si="6"/>
        <v>Complete</v>
      </c>
      <c r="O30" s="374"/>
      <c r="P30" s="374"/>
    </row>
    <row r="31" spans="1:16" ht="15.75" x14ac:dyDescent="0.25">
      <c r="A31" s="374"/>
      <c r="B31" s="384"/>
      <c r="C31" s="385" t="s">
        <v>293</v>
      </c>
      <c r="D31" s="386"/>
      <c r="E31" s="677">
        <f>'RBS - Capital'!F15</f>
        <v>0</v>
      </c>
      <c r="F31" s="371"/>
      <c r="G31" s="678">
        <v>0</v>
      </c>
      <c r="H31" s="386"/>
      <c r="I31" s="679" t="str">
        <f t="shared" si="5"/>
        <v/>
      </c>
      <c r="J31" s="386"/>
      <c r="K31" s="680"/>
      <c r="L31" s="387"/>
      <c r="M31" s="374"/>
      <c r="N31" s="334" t="str">
        <f t="shared" si="6"/>
        <v>Complete</v>
      </c>
      <c r="O31" s="374"/>
      <c r="P31" s="374"/>
    </row>
    <row r="32" spans="1:16" ht="15.75" x14ac:dyDescent="0.25">
      <c r="A32" s="374"/>
      <c r="B32" s="384"/>
      <c r="C32" s="385" t="s">
        <v>294</v>
      </c>
      <c r="D32" s="386"/>
      <c r="E32" s="677">
        <f>'RBS - Capital'!F16</f>
        <v>0</v>
      </c>
      <c r="F32" s="371"/>
      <c r="G32" s="678">
        <v>0</v>
      </c>
      <c r="H32" s="386"/>
      <c r="I32" s="679" t="str">
        <f t="shared" si="5"/>
        <v/>
      </c>
      <c r="J32" s="386"/>
      <c r="K32" s="680"/>
      <c r="L32" s="387"/>
      <c r="M32" s="374"/>
      <c r="N32" s="334" t="str">
        <f t="shared" si="6"/>
        <v>Complete</v>
      </c>
      <c r="O32" s="374"/>
      <c r="P32" s="374"/>
    </row>
    <row r="33" spans="1:16" ht="15.75" x14ac:dyDescent="0.25">
      <c r="A33" s="374"/>
      <c r="B33" s="384"/>
      <c r="C33" s="385" t="s">
        <v>631</v>
      </c>
      <c r="D33" s="386"/>
      <c r="E33" s="677">
        <f>'RBS - Capital'!F17</f>
        <v>0</v>
      </c>
      <c r="F33" s="371"/>
      <c r="G33" s="678">
        <v>0</v>
      </c>
      <c r="H33" s="386"/>
      <c r="I33" s="679" t="str">
        <f t="shared" si="5"/>
        <v/>
      </c>
      <c r="J33" s="386"/>
      <c r="K33" s="680"/>
      <c r="L33" s="387"/>
      <c r="M33" s="374"/>
      <c r="N33" s="334" t="str">
        <f t="shared" si="6"/>
        <v>Complete</v>
      </c>
      <c r="O33" s="374"/>
      <c r="P33" s="374"/>
    </row>
    <row r="34" spans="1:16" ht="15.75" x14ac:dyDescent="0.25">
      <c r="A34" s="374"/>
      <c r="B34" s="384"/>
      <c r="C34" s="385" t="s">
        <v>296</v>
      </c>
      <c r="D34" s="386"/>
      <c r="E34" s="677">
        <f>'RBS - Capital'!F18</f>
        <v>0</v>
      </c>
      <c r="F34" s="371"/>
      <c r="G34" s="678">
        <v>0</v>
      </c>
      <c r="H34" s="386"/>
      <c r="I34" s="679" t="str">
        <f t="shared" si="5"/>
        <v/>
      </c>
      <c r="J34" s="386"/>
      <c r="K34" s="680"/>
      <c r="L34" s="387"/>
      <c r="M34" s="374"/>
      <c r="N34" s="334" t="str">
        <f t="shared" si="6"/>
        <v>Complete</v>
      </c>
      <c r="O34" s="374"/>
      <c r="P34" s="374"/>
    </row>
    <row r="35" spans="1:16" ht="15.75" x14ac:dyDescent="0.25">
      <c r="A35" s="374"/>
      <c r="B35" s="384"/>
      <c r="C35" s="385" t="s">
        <v>329</v>
      </c>
      <c r="D35" s="386"/>
      <c r="E35" s="677">
        <f>'RBS - Capital'!F19</f>
        <v>0</v>
      </c>
      <c r="F35" s="371"/>
      <c r="G35" s="678">
        <v>0</v>
      </c>
      <c r="H35" s="386"/>
      <c r="I35" s="679" t="str">
        <f t="shared" si="5"/>
        <v/>
      </c>
      <c r="J35" s="386"/>
      <c r="K35" s="680"/>
      <c r="L35" s="387"/>
      <c r="M35" s="374"/>
      <c r="N35" s="334" t="str">
        <f t="shared" si="6"/>
        <v>Complete</v>
      </c>
      <c r="O35" s="374"/>
      <c r="P35" s="374"/>
    </row>
    <row r="36" spans="1:16" ht="15.75" x14ac:dyDescent="0.25">
      <c r="A36" s="374"/>
      <c r="B36" s="384"/>
      <c r="C36" s="385" t="s">
        <v>299</v>
      </c>
      <c r="D36" s="386"/>
      <c r="E36" s="677">
        <f>'RBS - Capital'!F32</f>
        <v>0</v>
      </c>
      <c r="F36" s="371"/>
      <c r="G36" s="678">
        <v>0</v>
      </c>
      <c r="H36" s="386"/>
      <c r="I36" s="679" t="str">
        <f t="shared" si="5"/>
        <v/>
      </c>
      <c r="J36" s="386"/>
      <c r="K36" s="680"/>
      <c r="L36" s="387"/>
      <c r="M36" s="374"/>
      <c r="N36" s="334" t="str">
        <f t="shared" si="6"/>
        <v>Complete</v>
      </c>
      <c r="O36" s="374"/>
      <c r="P36" s="374"/>
    </row>
    <row r="37" spans="1:16" ht="31.5" x14ac:dyDescent="0.25">
      <c r="A37" s="374"/>
      <c r="B37" s="384"/>
      <c r="C37" s="385" t="s">
        <v>1101</v>
      </c>
      <c r="D37" s="386"/>
      <c r="E37" s="677">
        <f>'RBS - Capital'!F20+('Own Funds'!J121-'RBS - Capital'!Reg_Capital_10)</f>
        <v>0</v>
      </c>
      <c r="F37" s="371"/>
      <c r="G37" s="678">
        <v>0</v>
      </c>
      <c r="H37" s="386"/>
      <c r="I37" s="679" t="str">
        <f>IF(E37="","",IF(ISERROR(E37/G37),"",E37/G37-1))</f>
        <v/>
      </c>
      <c r="J37" s="386"/>
      <c r="K37" s="680"/>
      <c r="L37" s="387"/>
      <c r="M37" s="374"/>
      <c r="N37" s="334" t="str">
        <f t="shared" si="6"/>
        <v>Complete</v>
      </c>
      <c r="O37" s="374"/>
      <c r="P37" s="374"/>
    </row>
    <row r="38" spans="1:16" ht="15.75" x14ac:dyDescent="0.25">
      <c r="A38" s="374"/>
      <c r="B38" s="79"/>
      <c r="C38" s="392"/>
      <c r="D38" s="386"/>
      <c r="E38" s="371"/>
      <c r="F38" s="371"/>
      <c r="G38" s="371"/>
      <c r="H38" s="386"/>
      <c r="I38" s="393"/>
      <c r="J38" s="386"/>
      <c r="K38" s="394"/>
      <c r="L38" s="387"/>
      <c r="M38" s="374"/>
      <c r="N38" s="374"/>
      <c r="O38" s="374"/>
      <c r="P38" s="374"/>
    </row>
    <row r="39" spans="1:16" ht="15.75" x14ac:dyDescent="0.25">
      <c r="A39" s="374"/>
      <c r="B39" s="384"/>
      <c r="C39" s="395" t="s">
        <v>169</v>
      </c>
      <c r="D39" s="386"/>
      <c r="E39" s="685">
        <f>SUM(E27:E37)</f>
        <v>0</v>
      </c>
      <c r="F39" s="371"/>
      <c r="G39" s="685">
        <f>SUM(G27:G37)</f>
        <v>0</v>
      </c>
      <c r="H39" s="386"/>
      <c r="I39" s="679" t="str">
        <f>IF(E39="","",IF(ISERROR(E39/G39),"",E39/G39-1))</f>
        <v/>
      </c>
      <c r="J39" s="386"/>
      <c r="K39" s="680"/>
      <c r="L39" s="387"/>
      <c r="M39" s="374"/>
      <c r="N39" s="374"/>
      <c r="O39" s="374"/>
      <c r="P39" s="374"/>
    </row>
    <row r="40" spans="1:16" ht="16.5" thickBot="1" x14ac:dyDescent="0.3">
      <c r="A40" s="374"/>
      <c r="B40" s="92"/>
      <c r="C40" s="396"/>
      <c r="D40" s="396"/>
      <c r="E40" s="396"/>
      <c r="F40" s="396"/>
      <c r="G40" s="396"/>
      <c r="H40" s="396"/>
      <c r="I40" s="396"/>
      <c r="J40" s="396"/>
      <c r="K40" s="396"/>
      <c r="L40" s="397"/>
      <c r="M40" s="374"/>
      <c r="N40" s="374"/>
      <c r="O40" s="374"/>
      <c r="P40" s="374"/>
    </row>
    <row r="41" spans="1:16" ht="16.5" thickBot="1" x14ac:dyDescent="0.3">
      <c r="A41" s="374"/>
      <c r="B41" s="374"/>
      <c r="C41" s="374"/>
      <c r="D41" s="374"/>
      <c r="E41" s="374"/>
      <c r="F41" s="374"/>
      <c r="G41" s="374"/>
      <c r="H41" s="374"/>
      <c r="I41" s="374"/>
      <c r="J41" s="374"/>
      <c r="K41" s="374"/>
      <c r="L41" s="374"/>
      <c r="M41" s="374"/>
      <c r="N41" s="374"/>
      <c r="O41" s="374"/>
      <c r="P41" s="374"/>
    </row>
    <row r="42" spans="1:16" ht="15.75" x14ac:dyDescent="0.25">
      <c r="A42" s="374"/>
      <c r="B42" s="375"/>
      <c r="C42" s="250" t="s">
        <v>632</v>
      </c>
      <c r="D42" s="250"/>
      <c r="E42" s="69" t="s">
        <v>618</v>
      </c>
      <c r="F42" s="69"/>
      <c r="G42" s="69" t="s">
        <v>619</v>
      </c>
      <c r="H42" s="70"/>
      <c r="I42" s="69" t="s">
        <v>620</v>
      </c>
      <c r="J42" s="70"/>
      <c r="K42" s="69" t="s">
        <v>621</v>
      </c>
      <c r="L42" s="376"/>
      <c r="M42" s="374"/>
      <c r="N42" s="374"/>
      <c r="O42" s="374"/>
      <c r="P42" s="374"/>
    </row>
    <row r="43" spans="1:16" ht="16.5" thickBot="1" x14ac:dyDescent="0.3">
      <c r="A43" s="374"/>
      <c r="B43" s="377"/>
      <c r="C43" s="378"/>
      <c r="D43" s="378"/>
      <c r="E43" s="75" t="str">
        <f>"'000"</f>
        <v>'000</v>
      </c>
      <c r="F43" s="148"/>
      <c r="G43" s="75" t="str">
        <f>"'000"</f>
        <v>'000</v>
      </c>
      <c r="H43" s="76"/>
      <c r="I43" s="75" t="s">
        <v>508</v>
      </c>
      <c r="J43" s="76"/>
      <c r="K43" s="75"/>
      <c r="L43" s="379"/>
      <c r="M43" s="374"/>
      <c r="N43" s="374"/>
      <c r="O43" s="374"/>
      <c r="P43" s="374"/>
    </row>
    <row r="44" spans="1:16" ht="15.75" x14ac:dyDescent="0.25">
      <c r="A44" s="374"/>
      <c r="B44" s="79"/>
      <c r="C44" s="386"/>
      <c r="D44" s="386"/>
      <c r="E44" s="386"/>
      <c r="F44" s="386"/>
      <c r="G44" s="386"/>
      <c r="H44" s="386"/>
      <c r="I44" s="386"/>
      <c r="J44" s="386"/>
      <c r="K44" s="386"/>
      <c r="L44" s="387"/>
      <c r="M44" s="374"/>
      <c r="N44" s="374"/>
      <c r="O44" s="374"/>
      <c r="P44" s="374"/>
    </row>
    <row r="45" spans="1:16" ht="15.75" x14ac:dyDescent="0.25">
      <c r="A45" s="374"/>
      <c r="B45" s="79"/>
      <c r="C45" s="326" t="s">
        <v>381</v>
      </c>
      <c r="D45" s="386"/>
      <c r="E45" s="677">
        <f>'SCR Summary'!D9</f>
        <v>0</v>
      </c>
      <c r="F45" s="371"/>
      <c r="G45" s="678">
        <v>0</v>
      </c>
      <c r="H45" s="386"/>
      <c r="I45" s="679" t="str">
        <f t="shared" ref="I45:I51" si="7">IF(E45="","",IF(ISERROR(E45/G45),"",E45/G45-1))</f>
        <v/>
      </c>
      <c r="J45" s="386"/>
      <c r="K45" s="680"/>
      <c r="L45" s="387"/>
      <c r="M45" s="374"/>
      <c r="N45" s="334" t="str">
        <f t="shared" ref="N45:N50" si="8">IF(OR(G45=""),"Incomplete","Complete")</f>
        <v>Complete</v>
      </c>
      <c r="O45" s="374"/>
      <c r="P45" s="374"/>
    </row>
    <row r="46" spans="1:16" ht="15.75" x14ac:dyDescent="0.25">
      <c r="A46" s="374"/>
      <c r="B46" s="79"/>
      <c r="C46" s="326" t="s">
        <v>382</v>
      </c>
      <c r="D46" s="386"/>
      <c r="E46" s="677">
        <f>'SCR Summary'!D10</f>
        <v>0</v>
      </c>
      <c r="F46" s="371"/>
      <c r="G46" s="678">
        <v>0</v>
      </c>
      <c r="H46" s="386"/>
      <c r="I46" s="679" t="str">
        <f t="shared" si="7"/>
        <v/>
      </c>
      <c r="J46" s="386"/>
      <c r="K46" s="680"/>
      <c r="L46" s="387"/>
      <c r="M46" s="374"/>
      <c r="N46" s="334" t="str">
        <f t="shared" si="8"/>
        <v>Complete</v>
      </c>
      <c r="O46" s="374"/>
      <c r="P46" s="374"/>
    </row>
    <row r="47" spans="1:16" ht="15.75" x14ac:dyDescent="0.25">
      <c r="A47" s="374"/>
      <c r="B47" s="79"/>
      <c r="C47" s="326" t="s">
        <v>383</v>
      </c>
      <c r="D47" s="386"/>
      <c r="E47" s="677">
        <f>'SCR Summary'!D11</f>
        <v>0</v>
      </c>
      <c r="F47" s="371"/>
      <c r="G47" s="678">
        <v>0</v>
      </c>
      <c r="H47" s="386"/>
      <c r="I47" s="679" t="str">
        <f t="shared" si="7"/>
        <v/>
      </c>
      <c r="J47" s="386"/>
      <c r="K47" s="680"/>
      <c r="L47" s="387"/>
      <c r="M47" s="374"/>
      <c r="N47" s="334" t="str">
        <f t="shared" si="8"/>
        <v>Complete</v>
      </c>
      <c r="O47" s="374"/>
      <c r="P47" s="374"/>
    </row>
    <row r="48" spans="1:16" ht="15.75" x14ac:dyDescent="0.25">
      <c r="A48" s="374"/>
      <c r="B48" s="79"/>
      <c r="C48" s="326" t="s">
        <v>384</v>
      </c>
      <c r="D48" s="386"/>
      <c r="E48" s="677">
        <f>'SCR Summary'!D12</f>
        <v>0</v>
      </c>
      <c r="F48" s="371"/>
      <c r="G48" s="678">
        <v>0</v>
      </c>
      <c r="H48" s="386"/>
      <c r="I48" s="679" t="str">
        <f t="shared" si="7"/>
        <v/>
      </c>
      <c r="J48" s="386"/>
      <c r="K48" s="680"/>
      <c r="L48" s="387"/>
      <c r="M48" s="374"/>
      <c r="N48" s="334" t="str">
        <f t="shared" si="8"/>
        <v>Complete</v>
      </c>
      <c r="O48" s="374"/>
      <c r="P48" s="374"/>
    </row>
    <row r="49" spans="1:16" ht="15.75" x14ac:dyDescent="0.25">
      <c r="A49" s="374"/>
      <c r="B49" s="79"/>
      <c r="C49" s="326" t="s">
        <v>596</v>
      </c>
      <c r="D49" s="386"/>
      <c r="E49" s="677">
        <f>'SCR Summary'!D13</f>
        <v>0</v>
      </c>
      <c r="F49" s="371"/>
      <c r="G49" s="678">
        <v>0</v>
      </c>
      <c r="H49" s="386"/>
      <c r="I49" s="679" t="str">
        <f t="shared" si="7"/>
        <v/>
      </c>
      <c r="J49" s="386"/>
      <c r="K49" s="680"/>
      <c r="L49" s="387"/>
      <c r="M49" s="374"/>
      <c r="N49" s="334" t="str">
        <f t="shared" si="8"/>
        <v>Complete</v>
      </c>
      <c r="O49" s="374"/>
      <c r="P49" s="374"/>
    </row>
    <row r="50" spans="1:16" ht="15.75" x14ac:dyDescent="0.25">
      <c r="A50" s="374"/>
      <c r="B50" s="79"/>
      <c r="C50" s="385" t="s">
        <v>387</v>
      </c>
      <c r="D50" s="386"/>
      <c r="E50" s="677">
        <f>'SCR Summary'!D17</f>
        <v>0</v>
      </c>
      <c r="F50" s="371"/>
      <c r="G50" s="678">
        <v>0</v>
      </c>
      <c r="H50" s="386"/>
      <c r="I50" s="679" t="str">
        <f t="shared" si="7"/>
        <v/>
      </c>
      <c r="J50" s="386"/>
      <c r="K50" s="680"/>
      <c r="L50" s="387"/>
      <c r="M50" s="374"/>
      <c r="N50" s="334" t="str">
        <f t="shared" si="8"/>
        <v>Complete</v>
      </c>
      <c r="O50" s="374"/>
      <c r="P50" s="374"/>
    </row>
    <row r="51" spans="1:16" ht="15.75" x14ac:dyDescent="0.25">
      <c r="A51" s="388"/>
      <c r="B51" s="399"/>
      <c r="C51" s="390" t="s">
        <v>388</v>
      </c>
      <c r="D51" s="390"/>
      <c r="E51" s="681">
        <f>SUM(E45:E50)</f>
        <v>0</v>
      </c>
      <c r="F51" s="372"/>
      <c r="G51" s="681">
        <f>SUM(G45:G50)</f>
        <v>0</v>
      </c>
      <c r="H51" s="390"/>
      <c r="I51" s="679" t="str">
        <f t="shared" si="7"/>
        <v/>
      </c>
      <c r="J51" s="390"/>
      <c r="K51" s="682"/>
      <c r="L51" s="391"/>
      <c r="M51" s="388"/>
      <c r="N51" s="388"/>
      <c r="O51" s="388"/>
      <c r="P51" s="388"/>
    </row>
    <row r="52" spans="1:16" ht="18.75" x14ac:dyDescent="0.35">
      <c r="A52" s="374"/>
      <c r="B52" s="399"/>
      <c r="C52" s="390" t="s">
        <v>633</v>
      </c>
      <c r="D52" s="386"/>
      <c r="E52" s="686"/>
      <c r="F52" s="371"/>
      <c r="G52" s="686"/>
      <c r="H52" s="386"/>
      <c r="I52" s="686"/>
      <c r="J52" s="386"/>
      <c r="K52" s="686"/>
      <c r="L52" s="387"/>
      <c r="M52" s="374"/>
      <c r="N52" s="374"/>
      <c r="O52" s="374"/>
      <c r="P52" s="374"/>
    </row>
    <row r="53" spans="1:16" ht="15.75" x14ac:dyDescent="0.25">
      <c r="A53" s="374"/>
      <c r="B53" s="79"/>
      <c r="C53" s="386"/>
      <c r="D53" s="386"/>
      <c r="E53" s="371"/>
      <c r="F53" s="371"/>
      <c r="G53" s="371"/>
      <c r="H53" s="386"/>
      <c r="I53" s="393"/>
      <c r="J53" s="386"/>
      <c r="K53" s="394"/>
      <c r="L53" s="387"/>
      <c r="M53" s="374"/>
      <c r="N53" s="374"/>
      <c r="O53" s="374"/>
      <c r="P53" s="374"/>
    </row>
    <row r="54" spans="1:16" ht="15.75" x14ac:dyDescent="0.25">
      <c r="A54" s="374"/>
      <c r="B54" s="399"/>
      <c r="C54" s="400" t="s">
        <v>391</v>
      </c>
      <c r="D54" s="386"/>
      <c r="E54" s="685">
        <f>'SCR Summary'!SCR_10</f>
        <v>0</v>
      </c>
      <c r="F54" s="371"/>
      <c r="G54" s="685">
        <f>G51</f>
        <v>0</v>
      </c>
      <c r="H54" s="386"/>
      <c r="I54" s="679" t="str">
        <f>IF(E54="","",IF(ISERROR(E54/G54),"",E54/G54-1))</f>
        <v/>
      </c>
      <c r="J54" s="386"/>
      <c r="K54" s="680"/>
      <c r="L54" s="387"/>
      <c r="M54" s="374"/>
      <c r="N54" s="374"/>
      <c r="O54" s="374"/>
      <c r="P54" s="374"/>
    </row>
    <row r="55" spans="1:16" ht="15.75" x14ac:dyDescent="0.25">
      <c r="A55" s="374"/>
      <c r="B55" s="79"/>
      <c r="C55" s="386"/>
      <c r="D55" s="386"/>
      <c r="E55" s="371"/>
      <c r="F55" s="371"/>
      <c r="G55" s="371"/>
      <c r="H55" s="386"/>
      <c r="I55" s="393"/>
      <c r="J55" s="386"/>
      <c r="K55" s="394"/>
      <c r="L55" s="387"/>
      <c r="M55" s="374"/>
      <c r="N55" s="374"/>
      <c r="O55" s="374"/>
      <c r="P55" s="374"/>
    </row>
    <row r="56" spans="1:16" ht="15.75" x14ac:dyDescent="0.25">
      <c r="A56" s="374"/>
      <c r="B56" s="399"/>
      <c r="C56" s="400" t="s">
        <v>634</v>
      </c>
      <c r="D56" s="386"/>
      <c r="E56" s="687" t="str">
        <f>IF(OR(E54=0,E54=""),"",E39/E54)</f>
        <v/>
      </c>
      <c r="F56" s="371"/>
      <c r="G56" s="687" t="str">
        <f>IF(OR(G54=0,G54=""),"",G39/G54)</f>
        <v/>
      </c>
      <c r="H56" s="386"/>
      <c r="I56" s="679" t="str">
        <f>IF(E56="","",IF(ISERROR(E56/G56),"",E56/G56-1))</f>
        <v/>
      </c>
      <c r="J56" s="386"/>
      <c r="K56" s="680"/>
      <c r="L56" s="387"/>
      <c r="M56" s="374"/>
      <c r="N56" s="374"/>
      <c r="O56" s="374"/>
      <c r="P56" s="374"/>
    </row>
    <row r="57" spans="1:16" ht="16.5" thickBot="1" x14ac:dyDescent="0.3">
      <c r="A57" s="374"/>
      <c r="B57" s="92"/>
      <c r="C57" s="396"/>
      <c r="D57" s="396"/>
      <c r="E57" s="396"/>
      <c r="F57" s="396"/>
      <c r="G57" s="396"/>
      <c r="H57" s="396"/>
      <c r="I57" s="396"/>
      <c r="J57" s="396"/>
      <c r="K57" s="396"/>
      <c r="L57" s="397"/>
      <c r="M57" s="374"/>
      <c r="N57" s="374"/>
      <c r="O57" s="374"/>
      <c r="P57" s="374"/>
    </row>
    <row r="58" spans="1:16" ht="16.5" thickBot="1" x14ac:dyDescent="0.3">
      <c r="A58" s="374"/>
      <c r="B58" s="374"/>
      <c r="C58" s="374"/>
      <c r="D58" s="374"/>
      <c r="E58" s="374"/>
      <c r="F58" s="374"/>
      <c r="G58" s="374"/>
      <c r="H58" s="374"/>
      <c r="I58" s="374"/>
      <c r="J58" s="374"/>
      <c r="K58" s="374"/>
      <c r="L58" s="374"/>
      <c r="M58" s="374"/>
      <c r="N58" s="374"/>
      <c r="O58" s="374"/>
      <c r="P58" s="374"/>
    </row>
    <row r="59" spans="1:16" ht="15.75" x14ac:dyDescent="0.25">
      <c r="A59" s="374"/>
      <c r="B59" s="375"/>
      <c r="C59" s="250" t="s">
        <v>635</v>
      </c>
      <c r="D59" s="250"/>
      <c r="E59" s="69" t="s">
        <v>618</v>
      </c>
      <c r="F59" s="69"/>
      <c r="G59" s="69" t="s">
        <v>619</v>
      </c>
      <c r="H59" s="70"/>
      <c r="I59" s="69" t="s">
        <v>620</v>
      </c>
      <c r="J59" s="70"/>
      <c r="K59" s="69" t="s">
        <v>621</v>
      </c>
      <c r="L59" s="376"/>
      <c r="M59" s="374"/>
      <c r="N59" s="374"/>
      <c r="O59" s="374"/>
      <c r="P59" s="374"/>
    </row>
    <row r="60" spans="1:16" ht="16.5" thickBot="1" x14ac:dyDescent="0.3">
      <c r="A60" s="374"/>
      <c r="B60" s="377"/>
      <c r="C60" s="378"/>
      <c r="D60" s="378"/>
      <c r="E60" s="75" t="str">
        <f>"'000"</f>
        <v>'000</v>
      </c>
      <c r="F60" s="148"/>
      <c r="G60" s="75" t="str">
        <f>"'000"</f>
        <v>'000</v>
      </c>
      <c r="H60" s="76"/>
      <c r="I60" s="75" t="s">
        <v>508</v>
      </c>
      <c r="J60" s="76"/>
      <c r="K60" s="75"/>
      <c r="L60" s="379"/>
      <c r="M60" s="374"/>
      <c r="N60" s="374"/>
      <c r="O60" s="374"/>
      <c r="P60" s="374"/>
    </row>
    <row r="61" spans="1:16" ht="15.75" x14ac:dyDescent="0.25">
      <c r="A61" s="374"/>
      <c r="B61" s="380"/>
      <c r="C61" s="382"/>
      <c r="D61" s="382"/>
      <c r="E61" s="382"/>
      <c r="F61" s="382"/>
      <c r="G61" s="382"/>
      <c r="H61" s="382"/>
      <c r="I61" s="382"/>
      <c r="J61" s="382"/>
      <c r="K61" s="382"/>
      <c r="L61" s="383"/>
      <c r="M61" s="374"/>
      <c r="N61" s="374"/>
      <c r="O61" s="374"/>
      <c r="P61" s="374"/>
    </row>
    <row r="62" spans="1:16" ht="15.75" x14ac:dyDescent="0.25">
      <c r="A62" s="374"/>
      <c r="B62" s="90"/>
      <c r="C62" s="389" t="s">
        <v>611</v>
      </c>
      <c r="D62" s="386"/>
      <c r="E62" s="677">
        <f>MCR</f>
        <v>100</v>
      </c>
      <c r="F62" s="371"/>
      <c r="G62" s="678">
        <v>0</v>
      </c>
      <c r="H62" s="386"/>
      <c r="I62" s="679" t="str">
        <f t="shared" ref="I62:I63" si="9">IF(E62="","",IF(ISERROR(E62/G62),"",E62/G62-1))</f>
        <v/>
      </c>
      <c r="J62" s="386"/>
      <c r="K62" s="680"/>
      <c r="L62" s="387"/>
      <c r="M62" s="374"/>
      <c r="N62" s="334" t="str">
        <f t="shared" ref="N62:N63" si="10">IF(OR(G62=""),"Incomplete","Complete")</f>
        <v>Complete</v>
      </c>
      <c r="O62" s="374"/>
      <c r="P62" s="374"/>
    </row>
    <row r="63" spans="1:16" ht="15.75" x14ac:dyDescent="0.25">
      <c r="A63" s="374"/>
      <c r="B63" s="90"/>
      <c r="C63" s="389" t="s">
        <v>636</v>
      </c>
      <c r="D63" s="386"/>
      <c r="E63" s="677">
        <f>'MCR Summary'!F34</f>
        <v>0</v>
      </c>
      <c r="F63" s="371"/>
      <c r="G63" s="678">
        <v>0</v>
      </c>
      <c r="H63" s="386"/>
      <c r="I63" s="679" t="str">
        <f t="shared" si="9"/>
        <v/>
      </c>
      <c r="J63" s="386"/>
      <c r="K63" s="680"/>
      <c r="L63" s="387"/>
      <c r="M63" s="374"/>
      <c r="N63" s="334" t="str">
        <f t="shared" si="10"/>
        <v>Complete</v>
      </c>
      <c r="O63" s="374"/>
      <c r="P63" s="374"/>
    </row>
    <row r="64" spans="1:16" ht="15.75" x14ac:dyDescent="0.25">
      <c r="A64" s="374"/>
      <c r="B64" s="79"/>
      <c r="C64" s="386"/>
      <c r="D64" s="386"/>
      <c r="E64" s="371"/>
      <c r="F64" s="371"/>
      <c r="G64" s="371"/>
      <c r="H64" s="386"/>
      <c r="I64" s="393"/>
      <c r="J64" s="386"/>
      <c r="K64" s="394"/>
      <c r="L64" s="387"/>
      <c r="M64" s="374"/>
      <c r="N64" s="374"/>
      <c r="O64" s="374"/>
      <c r="P64" s="374"/>
    </row>
    <row r="65" spans="1:16" ht="15.75" x14ac:dyDescent="0.25">
      <c r="A65" s="374"/>
      <c r="B65" s="399"/>
      <c r="C65" s="400" t="s">
        <v>637</v>
      </c>
      <c r="D65" s="386"/>
      <c r="E65" s="687">
        <f>IF(OR(E62="",E62=0),"",E63/E62)</f>
        <v>0</v>
      </c>
      <c r="F65" s="371"/>
      <c r="G65" s="687" t="str">
        <f>IF(OR(G62="",G62=0),"",G63/G62)</f>
        <v/>
      </c>
      <c r="H65" s="386"/>
      <c r="I65" s="679" t="str">
        <f>IF(E65="","",IF(ISERROR(E65/G65),"",E65/G65-1))</f>
        <v/>
      </c>
      <c r="J65" s="386"/>
      <c r="K65" s="680"/>
      <c r="L65" s="387"/>
      <c r="M65" s="374"/>
      <c r="N65" s="374"/>
      <c r="O65" s="374"/>
      <c r="P65" s="374"/>
    </row>
    <row r="66" spans="1:16" ht="16.5" thickBot="1" x14ac:dyDescent="0.3">
      <c r="A66" s="374"/>
      <c r="B66" s="92"/>
      <c r="C66" s="396"/>
      <c r="D66" s="396"/>
      <c r="E66" s="396"/>
      <c r="F66" s="396"/>
      <c r="G66" s="396"/>
      <c r="H66" s="396"/>
      <c r="I66" s="396"/>
      <c r="J66" s="396"/>
      <c r="K66" s="396"/>
      <c r="L66" s="397"/>
      <c r="M66" s="374"/>
      <c r="N66" s="374"/>
      <c r="O66" s="374"/>
      <c r="P66" s="374"/>
    </row>
    <row r="67" spans="1:16" ht="15.75" x14ac:dyDescent="0.25">
      <c r="A67" s="374"/>
      <c r="B67" s="374"/>
      <c r="C67" s="374"/>
      <c r="D67" s="374"/>
      <c r="E67" s="374"/>
      <c r="F67" s="374"/>
      <c r="G67" s="374"/>
      <c r="H67" s="374"/>
      <c r="I67" s="374"/>
      <c r="J67" s="374"/>
      <c r="K67" s="374"/>
      <c r="L67" s="374"/>
      <c r="M67" s="374"/>
      <c r="N67" s="374"/>
      <c r="O67" s="374"/>
      <c r="P67" s="374"/>
    </row>
    <row r="68" spans="1:16" ht="15.75" x14ac:dyDescent="0.25">
      <c r="A68" s="374"/>
      <c r="B68" s="374"/>
      <c r="C68" s="374"/>
      <c r="D68" s="374"/>
      <c r="E68" s="374"/>
      <c r="F68" s="374"/>
      <c r="G68" s="374"/>
      <c r="H68" s="374"/>
      <c r="I68" s="374"/>
      <c r="J68" s="374"/>
      <c r="K68" s="374"/>
      <c r="L68" s="65"/>
      <c r="M68" s="65"/>
      <c r="N68" s="65"/>
      <c r="O68" s="65"/>
      <c r="P68" s="65"/>
    </row>
    <row r="69" spans="1:16" ht="15.75" x14ac:dyDescent="0.25">
      <c r="A69" s="374"/>
      <c r="B69" s="374"/>
      <c r="C69" s="374"/>
      <c r="D69" s="374"/>
      <c r="E69" s="374"/>
      <c r="F69" s="374"/>
      <c r="G69" s="374"/>
      <c r="H69" s="374"/>
      <c r="I69" s="374"/>
      <c r="J69" s="374"/>
      <c r="K69" s="374"/>
      <c r="L69" s="65"/>
      <c r="M69" s="65"/>
      <c r="N69" s="65"/>
      <c r="O69" s="65"/>
      <c r="P69" s="65"/>
    </row>
    <row r="70" spans="1:16" ht="15.75" x14ac:dyDescent="0.25">
      <c r="A70" s="374"/>
      <c r="B70" s="374"/>
      <c r="C70" s="374"/>
      <c r="D70" s="374"/>
      <c r="E70" s="374"/>
      <c r="F70" s="374"/>
      <c r="G70" s="374"/>
      <c r="H70" s="374"/>
      <c r="I70" s="374"/>
      <c r="J70" s="374"/>
      <c r="K70" s="374"/>
      <c r="L70" s="65"/>
      <c r="M70" s="65"/>
      <c r="N70" s="65"/>
      <c r="O70" s="65"/>
      <c r="P70" s="65"/>
    </row>
    <row r="71" spans="1:16" ht="15.75" x14ac:dyDescent="0.25">
      <c r="A71" s="374"/>
      <c r="B71" s="374"/>
      <c r="C71" s="374"/>
      <c r="D71" s="374"/>
      <c r="E71" s="374"/>
      <c r="F71" s="374"/>
      <c r="G71" s="374"/>
      <c r="H71" s="374"/>
      <c r="I71" s="374"/>
      <c r="J71" s="374"/>
      <c r="K71" s="374"/>
      <c r="L71" s="65"/>
      <c r="M71" s="65"/>
      <c r="N71" s="65"/>
      <c r="O71" s="65"/>
      <c r="P71" s="65"/>
    </row>
    <row r="72" spans="1:16" ht="15.75" x14ac:dyDescent="0.25">
      <c r="A72" s="374"/>
      <c r="B72" s="374"/>
      <c r="C72" s="374"/>
      <c r="D72" s="374"/>
      <c r="E72" s="374"/>
      <c r="F72" s="374"/>
      <c r="G72" s="374"/>
      <c r="H72" s="374"/>
      <c r="I72" s="374"/>
      <c r="J72" s="374"/>
      <c r="K72" s="374"/>
      <c r="L72" s="65"/>
      <c r="M72" s="65"/>
      <c r="N72" s="65"/>
      <c r="O72" s="65"/>
      <c r="P72" s="65"/>
    </row>
    <row r="73" spans="1:16" ht="15.75" x14ac:dyDescent="0.25">
      <c r="A73" s="374"/>
      <c r="B73" s="374"/>
      <c r="C73" s="374"/>
      <c r="D73" s="374"/>
      <c r="E73" s="374"/>
      <c r="F73" s="374"/>
      <c r="G73" s="374"/>
      <c r="H73" s="374"/>
      <c r="I73" s="374"/>
      <c r="J73" s="374"/>
      <c r="K73" s="374"/>
      <c r="L73" s="374"/>
      <c r="M73" s="374"/>
      <c r="N73" s="374"/>
      <c r="O73" s="374"/>
      <c r="P73" s="374"/>
    </row>
  </sheetData>
  <sheetProtection algorithmName="SHA-512" hashValue="vgnMmBIZmbZmfmGhJciLJMAdTOl12Y5VqypXMCL8vbV5t5Wp8h/OFwB0V2Y1zjmKDEmbd3mOEVQcRtJco8VHUw==" saltValue="5/uzQ0NbxLaZFihc9QHEQg==" spinCount="100000" sheet="1" objects="1" scenarios="1"/>
  <protectedRanges>
    <protectedRange sqref="G7:G11 G27:G37 G45:G50 G62:G63 G15:G17" name="Range1_2_5"/>
  </protectedRanges>
  <conditionalFormatting sqref="G7:G11">
    <cfRule type="cellIs" dxfId="439" priority="34" operator="equal">
      <formula>"N/A"</formula>
    </cfRule>
    <cfRule type="cellIs" dxfId="438" priority="33" operator="equal">
      <formula>"May be incomplete"</formula>
    </cfRule>
    <cfRule type="cellIs" dxfId="437" priority="36" operator="equal">
      <formula>"Incomplete"</formula>
    </cfRule>
    <cfRule type="cellIs" dxfId="436" priority="35" operator="equal">
      <formula>"Complete"</formula>
    </cfRule>
  </conditionalFormatting>
  <conditionalFormatting sqref="G15:G18">
    <cfRule type="cellIs" dxfId="435" priority="2" operator="equal">
      <formula>"N/A"</formula>
    </cfRule>
    <cfRule type="cellIs" dxfId="434" priority="3" operator="equal">
      <formula>"Complete"</formula>
    </cfRule>
    <cfRule type="cellIs" dxfId="433" priority="4" operator="equal">
      <formula>"Incomplete"</formula>
    </cfRule>
    <cfRule type="cellIs" dxfId="432" priority="1" operator="equal">
      <formula>"May be incomplete"</formula>
    </cfRule>
  </conditionalFormatting>
  <conditionalFormatting sqref="G27:G37">
    <cfRule type="cellIs" dxfId="431" priority="21" operator="equal">
      <formula>"May be incomplete"</formula>
    </cfRule>
    <cfRule type="cellIs" dxfId="430" priority="22" operator="equal">
      <formula>"N/A"</formula>
    </cfRule>
    <cfRule type="cellIs" dxfId="429" priority="24" operator="equal">
      <formula>"Incomplete"</formula>
    </cfRule>
    <cfRule type="cellIs" dxfId="428" priority="23" operator="equal">
      <formula>"Complete"</formula>
    </cfRule>
  </conditionalFormatting>
  <conditionalFormatting sqref="G45:G50">
    <cfRule type="cellIs" dxfId="427" priority="13" operator="equal">
      <formula>"May be incomplete"</formula>
    </cfRule>
    <cfRule type="cellIs" dxfId="426" priority="14" operator="equal">
      <formula>"N/A"</formula>
    </cfRule>
    <cfRule type="cellIs" dxfId="425" priority="15" operator="equal">
      <formula>"Complete"</formula>
    </cfRule>
    <cfRule type="cellIs" dxfId="424" priority="16" operator="equal">
      <formula>"Incomplete"</formula>
    </cfRule>
  </conditionalFormatting>
  <conditionalFormatting sqref="G62:G63">
    <cfRule type="cellIs" dxfId="423" priority="5" operator="equal">
      <formula>"May be incomplete"</formula>
    </cfRule>
    <cfRule type="cellIs" dxfId="422" priority="6" operator="equal">
      <formula>"N/A"</formula>
    </cfRule>
    <cfRule type="cellIs" dxfId="421" priority="7" operator="equal">
      <formula>"Complete"</formula>
    </cfRule>
    <cfRule type="cellIs" dxfId="420" priority="8" operator="equal">
      <formula>"Incomplete"</formula>
    </cfRule>
  </conditionalFormatting>
  <conditionalFormatting sqref="N1:N2">
    <cfRule type="cellIs" dxfId="419" priority="49" operator="equal">
      <formula>"OK"</formula>
    </cfRule>
    <cfRule type="cellIs" dxfId="418" priority="50" operator="equal">
      <formula>"ERROR"</formula>
    </cfRule>
  </conditionalFormatting>
  <conditionalFormatting sqref="N3">
    <cfRule type="cellIs" dxfId="417" priority="47" operator="equal">
      <formula>"Complete"</formula>
    </cfRule>
    <cfRule type="cellIs" dxfId="416" priority="48" operator="equal">
      <formula>"Incomplete"</formula>
    </cfRule>
  </conditionalFormatting>
  <conditionalFormatting sqref="N7:N12">
    <cfRule type="cellIs" dxfId="415" priority="45" operator="equal">
      <formula>"Complete"</formula>
    </cfRule>
    <cfRule type="cellIs" dxfId="414" priority="46" operator="equal">
      <formula>"Incomplete"</formula>
    </cfRule>
  </conditionalFormatting>
  <conditionalFormatting sqref="N15:N18">
    <cfRule type="cellIs" dxfId="413" priority="43" operator="equal">
      <formula>"Complete"</formula>
    </cfRule>
    <cfRule type="cellIs" dxfId="412" priority="44" operator="equal">
      <formula>"Incomplete"</formula>
    </cfRule>
  </conditionalFormatting>
  <conditionalFormatting sqref="N27:N37">
    <cfRule type="cellIs" dxfId="411" priority="41" operator="equal">
      <formula>"Complete"</formula>
    </cfRule>
    <cfRule type="cellIs" dxfId="410" priority="42" operator="equal">
      <formula>"Incomplete"</formula>
    </cfRule>
  </conditionalFormatting>
  <conditionalFormatting sqref="N45:N50">
    <cfRule type="cellIs" dxfId="409" priority="39" operator="equal">
      <formula>"Complete"</formula>
    </cfRule>
    <cfRule type="cellIs" dxfId="408" priority="40" operator="equal">
      <formula>"Incomplete"</formula>
    </cfRule>
  </conditionalFormatting>
  <conditionalFormatting sqref="N62:N63">
    <cfRule type="cellIs" dxfId="407" priority="37" operator="equal">
      <formula>"Complete"</formula>
    </cfRule>
    <cfRule type="cellIs" dxfId="406" priority="38" operator="equal">
      <formula>"Incomplete"</formula>
    </cfRule>
  </conditionalFormatting>
  <dataValidations count="6">
    <dataValidation allowBlank="1" showInputMessage="1" showErrorMessage="1" prompt="This should show the change in MCR and MCR coverage over the period." sqref="C59" xr:uid="{00000000-0002-0000-1C00-000000000000}"/>
    <dataValidation allowBlank="1" showInputMessage="1" showErrorMessage="1" prompt="This shows the change own-funds from the previous period to the current period." sqref="C24" xr:uid="{00000000-0002-0000-1C00-000001000000}"/>
    <dataValidation allowBlank="1" showInputMessage="1" showErrorMessage="1" prompt="This should show the change in each component of the SCR along with commentary provided." sqref="C42" xr:uid="{00000000-0002-0000-1C00-000002000000}"/>
    <dataValidation allowBlank="1" showInputMessage="1" showErrorMessage="1" prompt="For biannual returns this data should come from the previous biannual return submission. For annual returns this data should come from the previous year's annual submission." sqref="G4 G24 G42 G59" xr:uid="{00000000-0002-0000-1C00-000003000000}"/>
    <dataValidation type="custom" allowBlank="1" showErrorMessage="1" error="Cell must be positive" sqref="G7:G11 G15:G17 G37 G45:G49 G62:G63 G27:G29 G31:G35" xr:uid="{00000000-0002-0000-1C00-000004000000}">
      <formula1>G7&gt;-0.0000000001</formula1>
    </dataValidation>
    <dataValidation allowBlank="1" showErrorMessage="1" error="Cell must be positive" sqref="G30" xr:uid="{00000000-0002-0000-1C00-000005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99FF"/>
    <pageSetUpPr fitToPage="1"/>
  </sheetPr>
  <dimension ref="A1:M122"/>
  <sheetViews>
    <sheetView tabSelected="1" workbookViewId="0"/>
  </sheetViews>
  <sheetFormatPr defaultColWidth="0" defaultRowHeight="14.25" zeroHeight="1" x14ac:dyDescent="0.2"/>
  <cols>
    <col min="1" max="1" width="1.875" customWidth="1"/>
    <col min="2" max="2" width="26.375" bestFit="1" customWidth="1"/>
    <col min="3" max="3" width="9.125" bestFit="1" customWidth="1"/>
    <col min="4" max="4" width="74.375" customWidth="1"/>
    <col min="5" max="5" width="1.875" customWidth="1"/>
    <col min="6" max="6" width="23.125" bestFit="1" customWidth="1"/>
    <col min="7" max="7" width="2" customWidth="1"/>
    <col min="8" max="8" width="30" bestFit="1" customWidth="1"/>
    <col min="9" max="9" width="2.625" customWidth="1"/>
    <col min="10" max="12" width="9" customWidth="1"/>
    <col min="13" max="13" width="16.125" customWidth="1"/>
  </cols>
  <sheetData>
    <row r="1" spans="1:13" ht="15.75" x14ac:dyDescent="0.25">
      <c r="A1" s="59">
        <v>1</v>
      </c>
      <c r="B1" s="406"/>
      <c r="C1" s="407"/>
      <c r="D1" s="52"/>
      <c r="E1" s="406"/>
      <c r="F1" s="407"/>
      <c r="G1" s="406"/>
      <c r="H1" s="407"/>
      <c r="I1" s="407"/>
      <c r="J1" s="53"/>
      <c r="K1" s="53"/>
      <c r="L1" s="53"/>
      <c r="M1" s="53"/>
    </row>
    <row r="2" spans="1:13" ht="56.25" customHeight="1" x14ac:dyDescent="0.25">
      <c r="A2" s="407"/>
      <c r="B2" s="407"/>
      <c r="C2" s="407"/>
      <c r="D2" s="52" t="s">
        <v>0</v>
      </c>
      <c r="E2" s="407"/>
      <c r="F2" s="408"/>
      <c r="G2" s="407"/>
      <c r="H2" s="53"/>
      <c r="I2" s="407"/>
      <c r="J2" s="53"/>
      <c r="K2" s="53"/>
      <c r="L2" s="53"/>
      <c r="M2" s="53"/>
    </row>
    <row r="3" spans="1:13" ht="15.75" x14ac:dyDescent="0.25">
      <c r="A3" s="53"/>
      <c r="B3" s="53"/>
      <c r="C3" s="53"/>
      <c r="D3" s="53"/>
      <c r="E3" s="53"/>
      <c r="F3" s="53"/>
      <c r="G3" s="53"/>
      <c r="H3" s="53"/>
      <c r="I3" s="53"/>
      <c r="J3" s="53"/>
      <c r="K3" s="53"/>
      <c r="L3" s="53"/>
      <c r="M3" s="53"/>
    </row>
    <row r="4" spans="1:13" ht="15.6" customHeight="1" x14ac:dyDescent="0.2">
      <c r="A4" s="55" t="s">
        <v>1</v>
      </c>
      <c r="B4" s="55"/>
      <c r="C4" s="55"/>
      <c r="D4" s="55"/>
      <c r="E4" s="55"/>
      <c r="F4" s="55"/>
      <c r="G4" s="55"/>
      <c r="H4" s="55"/>
      <c r="I4" s="55"/>
      <c r="J4" s="55"/>
      <c r="K4" s="55"/>
      <c r="L4" s="55"/>
      <c r="M4" s="55"/>
    </row>
    <row r="5" spans="1:13" ht="15.75" x14ac:dyDescent="0.2">
      <c r="A5" s="347"/>
      <c r="B5" s="347"/>
      <c r="C5" s="347"/>
      <c r="D5" s="347"/>
      <c r="E5" s="347"/>
      <c r="F5" s="347"/>
      <c r="G5" s="347"/>
      <c r="H5" s="347"/>
      <c r="I5" s="347"/>
      <c r="J5" s="347"/>
      <c r="K5" s="347"/>
      <c r="L5" s="347"/>
      <c r="M5" s="347"/>
    </row>
    <row r="6" spans="1:13" ht="15.6" customHeight="1" x14ac:dyDescent="0.2">
      <c r="A6" s="55" t="s">
        <v>2</v>
      </c>
      <c r="B6" s="55"/>
      <c r="C6" s="55"/>
      <c r="D6" s="55"/>
      <c r="E6" s="55"/>
      <c r="F6" s="55"/>
      <c r="G6" s="55"/>
      <c r="H6" s="55"/>
      <c r="I6" s="55"/>
      <c r="J6" s="55"/>
      <c r="K6" s="55"/>
      <c r="L6" s="55"/>
      <c r="M6" s="55"/>
    </row>
    <row r="7" spans="1:13" ht="15.75" x14ac:dyDescent="0.2">
      <c r="A7" s="347"/>
      <c r="B7" s="347"/>
      <c r="C7" s="347"/>
      <c r="D7" s="347"/>
      <c r="E7" s="347"/>
      <c r="F7" s="347"/>
      <c r="G7" s="347"/>
      <c r="H7" s="347"/>
      <c r="I7" s="347"/>
      <c r="J7" s="347"/>
      <c r="K7" s="347"/>
      <c r="L7" s="347"/>
      <c r="M7" s="347"/>
    </row>
    <row r="8" spans="1:13" ht="15.6" customHeight="1" x14ac:dyDescent="0.2">
      <c r="A8" s="55" t="s">
        <v>3</v>
      </c>
      <c r="B8" s="55"/>
      <c r="C8" s="55"/>
      <c r="D8" s="55"/>
      <c r="E8" s="55"/>
      <c r="F8" s="55"/>
      <c r="G8" s="55"/>
      <c r="H8" s="55"/>
      <c r="I8" s="55"/>
      <c r="J8" s="55"/>
      <c r="K8" s="55"/>
      <c r="L8" s="55"/>
      <c r="M8" s="55"/>
    </row>
    <row r="9" spans="1:13" ht="15.75" x14ac:dyDescent="0.2">
      <c r="A9" s="347"/>
      <c r="B9" s="347"/>
      <c r="C9" s="347"/>
      <c r="D9" s="347"/>
      <c r="E9" s="347"/>
      <c r="F9" s="347"/>
      <c r="G9" s="347"/>
      <c r="H9" s="347"/>
      <c r="I9" s="347"/>
      <c r="J9" s="347"/>
      <c r="K9" s="347"/>
      <c r="L9" s="347"/>
      <c r="M9" s="347"/>
    </row>
    <row r="10" spans="1:13" ht="15.6" customHeight="1" x14ac:dyDescent="0.2">
      <c r="A10" s="55" t="s">
        <v>4</v>
      </c>
      <c r="B10" s="55"/>
      <c r="C10" s="55"/>
      <c r="D10" s="55"/>
      <c r="E10" s="55"/>
      <c r="F10" s="55"/>
      <c r="G10" s="55"/>
      <c r="H10" s="55"/>
      <c r="I10" s="55"/>
      <c r="J10" s="55"/>
      <c r="K10" s="55"/>
      <c r="L10" s="55"/>
      <c r="M10" s="55"/>
    </row>
    <row r="11" spans="1:13" ht="15.75" x14ac:dyDescent="0.2">
      <c r="A11" s="54"/>
      <c r="B11" s="54"/>
      <c r="C11" s="54"/>
      <c r="D11" s="54"/>
      <c r="E11" s="54"/>
      <c r="F11" s="54"/>
      <c r="G11" s="54"/>
      <c r="H11" s="54"/>
      <c r="I11" s="54"/>
      <c r="J11" s="54"/>
      <c r="K11" s="54"/>
      <c r="L11" s="54"/>
      <c r="M11" s="54"/>
    </row>
    <row r="12" spans="1:13" ht="36" customHeight="1" x14ac:dyDescent="0.2">
      <c r="A12" s="803" t="s">
        <v>5</v>
      </c>
      <c r="B12" s="803"/>
      <c r="C12" s="803"/>
      <c r="D12" s="803"/>
      <c r="E12" s="803"/>
      <c r="F12" s="803"/>
      <c r="G12" s="803"/>
      <c r="H12" s="803"/>
      <c r="I12" s="54"/>
      <c r="J12" s="54"/>
      <c r="K12" s="54"/>
      <c r="L12" s="54"/>
      <c r="M12" s="54"/>
    </row>
    <row r="13" spans="1:13" ht="15.75" x14ac:dyDescent="0.2">
      <c r="A13" s="54"/>
      <c r="B13" s="54"/>
      <c r="C13" s="54"/>
      <c r="D13" s="54"/>
      <c r="E13" s="54"/>
      <c r="F13" s="54"/>
      <c r="G13" s="54"/>
      <c r="H13" s="54"/>
      <c r="I13" s="54"/>
      <c r="J13" s="54"/>
      <c r="K13" s="54"/>
      <c r="L13" s="54"/>
      <c r="M13" s="54"/>
    </row>
    <row r="14" spans="1:13" ht="15.6" customHeight="1" x14ac:dyDescent="0.2">
      <c r="A14" s="804" t="s">
        <v>6</v>
      </c>
      <c r="B14" s="804"/>
      <c r="C14" s="804"/>
      <c r="D14" s="804"/>
      <c r="E14" s="804"/>
      <c r="F14" s="804"/>
      <c r="G14" s="804"/>
      <c r="H14" s="804"/>
      <c r="I14" s="54"/>
      <c r="J14" s="54"/>
      <c r="K14" s="54"/>
      <c r="L14" s="54"/>
      <c r="M14" s="54"/>
    </row>
    <row r="15" spans="1:13" ht="15.75" x14ac:dyDescent="0.2">
      <c r="A15" s="347"/>
      <c r="B15" s="347"/>
      <c r="C15" s="347"/>
      <c r="D15" s="347"/>
      <c r="E15" s="347"/>
      <c r="F15" s="347"/>
      <c r="G15" s="347"/>
      <c r="H15" s="347"/>
      <c r="I15" s="347"/>
      <c r="J15" s="347"/>
      <c r="K15" s="347"/>
      <c r="L15" s="347"/>
      <c r="M15" s="347"/>
    </row>
    <row r="16" spans="1:13" ht="15.6" customHeight="1" x14ac:dyDescent="0.2">
      <c r="A16" s="804" t="s">
        <v>7</v>
      </c>
      <c r="B16" s="804"/>
      <c r="C16" s="804"/>
      <c r="D16" s="804"/>
      <c r="E16" s="804"/>
      <c r="F16" s="804"/>
      <c r="G16" s="804"/>
      <c r="H16" s="804"/>
      <c r="I16" s="54"/>
      <c r="J16" s="54"/>
      <c r="K16" s="54"/>
      <c r="L16" s="54"/>
      <c r="M16" s="54"/>
    </row>
    <row r="17" spans="1:13" ht="15.75" x14ac:dyDescent="0.2">
      <c r="A17" s="55"/>
      <c r="B17" s="347"/>
      <c r="C17" s="347"/>
      <c r="D17" s="347"/>
      <c r="E17" s="347"/>
      <c r="F17" s="347"/>
      <c r="G17" s="347"/>
      <c r="H17" s="347"/>
      <c r="I17" s="347"/>
      <c r="J17" s="347"/>
      <c r="K17" s="347"/>
      <c r="L17" s="347"/>
      <c r="M17" s="347"/>
    </row>
    <row r="18" spans="1:13" ht="15.75" x14ac:dyDescent="0.25">
      <c r="A18" s="345" t="s">
        <v>8</v>
      </c>
      <c r="B18" s="55"/>
      <c r="C18" s="55"/>
      <c r="D18" s="55"/>
      <c r="E18" s="55"/>
      <c r="F18" s="55"/>
      <c r="G18" s="55"/>
      <c r="H18" s="55"/>
      <c r="I18" s="55"/>
      <c r="J18" s="55"/>
      <c r="K18" s="55"/>
      <c r="L18" s="55"/>
      <c r="M18" s="55"/>
    </row>
    <row r="19" spans="1:13" ht="15" customHeight="1" x14ac:dyDescent="0.2">
      <c r="A19" s="55" t="s">
        <v>9</v>
      </c>
      <c r="B19" s="55"/>
      <c r="C19" s="55"/>
      <c r="D19" s="55"/>
      <c r="E19" s="55"/>
      <c r="F19" s="55"/>
      <c r="G19" s="55"/>
      <c r="H19" s="55"/>
      <c r="I19" s="55"/>
      <c r="J19" s="55"/>
      <c r="K19" s="55"/>
      <c r="L19" s="55"/>
      <c r="M19" s="55"/>
    </row>
    <row r="20" spans="1:13" ht="15" customHeight="1" x14ac:dyDescent="0.2">
      <c r="A20" s="55" t="s">
        <v>10</v>
      </c>
      <c r="B20" s="55"/>
      <c r="C20" s="55"/>
      <c r="D20" s="55"/>
      <c r="E20" s="55"/>
      <c r="F20" s="55"/>
      <c r="G20" s="55"/>
      <c r="H20" s="55"/>
      <c r="I20" s="55"/>
      <c r="J20" s="55"/>
      <c r="K20" s="55"/>
      <c r="L20" s="55"/>
      <c r="M20" s="55"/>
    </row>
    <row r="21" spans="1:13" ht="15" customHeight="1" x14ac:dyDescent="0.2">
      <c r="A21" s="55" t="s">
        <v>11</v>
      </c>
      <c r="B21" s="55"/>
      <c r="C21" s="55"/>
      <c r="D21" s="55"/>
      <c r="E21" s="55"/>
      <c r="F21" s="55"/>
      <c r="G21" s="55"/>
      <c r="H21" s="55"/>
      <c r="I21" s="55"/>
      <c r="J21" s="55"/>
      <c r="K21" s="55"/>
      <c r="L21" s="55"/>
      <c r="M21" s="55"/>
    </row>
    <row r="22" spans="1:13" ht="15.6" customHeight="1" x14ac:dyDescent="0.2">
      <c r="A22" s="804" t="s">
        <v>12</v>
      </c>
      <c r="B22" s="804"/>
      <c r="C22" s="804"/>
      <c r="D22" s="804"/>
      <c r="E22" s="804"/>
      <c r="F22" s="804"/>
      <c r="G22" s="804"/>
      <c r="H22" s="804"/>
      <c r="I22" s="804"/>
      <c r="J22" s="804"/>
      <c r="K22" s="55"/>
      <c r="L22" s="55"/>
      <c r="M22" s="55"/>
    </row>
    <row r="23" spans="1:13" ht="15" customHeight="1" x14ac:dyDescent="0.2">
      <c r="A23" s="55" t="s">
        <v>13</v>
      </c>
      <c r="B23" s="55"/>
      <c r="C23" s="55"/>
      <c r="D23" s="55"/>
      <c r="E23" s="55"/>
      <c r="F23" s="55"/>
      <c r="G23" s="55"/>
      <c r="H23" s="55"/>
      <c r="I23" s="55"/>
      <c r="J23" s="55"/>
      <c r="K23" s="55"/>
      <c r="L23" s="55"/>
      <c r="M23" s="55"/>
    </row>
    <row r="24" spans="1:13" ht="15.75" x14ac:dyDescent="0.2">
      <c r="A24" s="409" t="s">
        <v>14</v>
      </c>
      <c r="B24" s="347"/>
      <c r="C24" s="347"/>
      <c r="D24" s="347"/>
      <c r="E24" s="347"/>
      <c r="F24" s="347"/>
      <c r="G24" s="347"/>
      <c r="H24" s="347"/>
      <c r="I24" s="347"/>
      <c r="J24" s="347"/>
      <c r="K24" s="347"/>
      <c r="L24" s="347"/>
      <c r="M24" s="347"/>
    </row>
    <row r="25" spans="1:13" ht="15.75" x14ac:dyDescent="0.2">
      <c r="A25" s="409" t="s">
        <v>15</v>
      </c>
      <c r="B25" s="347"/>
      <c r="C25" s="347"/>
      <c r="D25" s="347"/>
      <c r="E25" s="347"/>
      <c r="F25" s="347"/>
      <c r="G25" s="347"/>
      <c r="H25" s="347"/>
      <c r="I25" s="347"/>
      <c r="J25" s="347"/>
      <c r="K25" s="347"/>
      <c r="L25" s="347"/>
      <c r="M25" s="347"/>
    </row>
    <row r="26" spans="1:13" ht="15.75" x14ac:dyDescent="0.2">
      <c r="A26" s="804" t="s">
        <v>1123</v>
      </c>
      <c r="B26" s="804"/>
      <c r="C26" s="804"/>
      <c r="D26" s="804"/>
      <c r="E26" s="804"/>
      <c r="F26" s="804"/>
      <c r="G26" s="804"/>
      <c r="H26" s="804"/>
      <c r="I26" s="804"/>
      <c r="J26" s="804"/>
      <c r="K26" s="804"/>
      <c r="L26" s="804"/>
      <c r="M26" s="347"/>
    </row>
    <row r="27" spans="1:13" ht="15.75" x14ac:dyDescent="0.2">
      <c r="A27" s="55"/>
      <c r="B27" s="347"/>
      <c r="C27" s="347"/>
      <c r="D27" s="347"/>
      <c r="E27" s="347"/>
      <c r="F27" s="347"/>
      <c r="G27" s="347"/>
      <c r="H27" s="347"/>
      <c r="I27" s="347"/>
      <c r="J27" s="347"/>
      <c r="K27" s="347"/>
      <c r="L27" s="347"/>
      <c r="M27" s="347"/>
    </row>
    <row r="28" spans="1:13" ht="15.75" x14ac:dyDescent="0.2">
      <c r="A28" s="55"/>
      <c r="B28" s="347"/>
      <c r="C28" s="347"/>
      <c r="D28" s="347"/>
      <c r="E28" s="347"/>
      <c r="F28" s="347"/>
      <c r="G28" s="347"/>
      <c r="H28" s="347"/>
      <c r="I28" s="347"/>
      <c r="J28" s="347"/>
      <c r="K28" s="347"/>
      <c r="L28" s="347"/>
      <c r="M28" s="347"/>
    </row>
    <row r="29" spans="1:13" ht="16.5" thickBot="1" x14ac:dyDescent="0.25">
      <c r="A29" s="347"/>
      <c r="B29" s="347"/>
      <c r="C29" s="347"/>
      <c r="D29" s="347"/>
      <c r="E29" s="347"/>
      <c r="F29" s="347"/>
      <c r="G29" s="347"/>
      <c r="H29" s="347"/>
      <c r="I29" s="347"/>
      <c r="J29" s="347"/>
      <c r="K29" s="347"/>
      <c r="L29" s="347"/>
      <c r="M29" s="347"/>
    </row>
    <row r="30" spans="1:13" ht="16.5" thickBot="1" x14ac:dyDescent="0.3">
      <c r="A30" s="53"/>
      <c r="B30" s="96"/>
      <c r="C30" s="410"/>
      <c r="D30" s="230"/>
      <c r="E30" s="411"/>
      <c r="F30" s="412" t="s">
        <v>16</v>
      </c>
      <c r="G30" s="413"/>
      <c r="H30" s="53"/>
      <c r="I30" s="53"/>
      <c r="J30" s="53"/>
      <c r="K30" s="53"/>
      <c r="L30" s="53"/>
      <c r="M30" s="53"/>
    </row>
    <row r="31" spans="1:13" ht="15.75" x14ac:dyDescent="0.25">
      <c r="A31" s="53"/>
      <c r="B31" s="347"/>
      <c r="C31" s="414"/>
      <c r="D31" s="53"/>
      <c r="E31" s="231"/>
      <c r="F31" s="131"/>
      <c r="G31" s="133"/>
      <c r="H31" s="53"/>
      <c r="I31" s="53"/>
      <c r="J31" s="53"/>
      <c r="K31" s="53"/>
      <c r="L31" s="53"/>
      <c r="M31" s="53"/>
    </row>
    <row r="32" spans="1:13" ht="15.75" x14ac:dyDescent="0.25">
      <c r="A32" s="53"/>
      <c r="B32" s="53"/>
      <c r="C32" s="53"/>
      <c r="D32" s="53"/>
      <c r="E32" s="106"/>
      <c r="F32" s="604" t="s">
        <v>17</v>
      </c>
      <c r="G32" s="81"/>
      <c r="H32" s="53"/>
      <c r="I32" s="53"/>
      <c r="J32" s="53"/>
      <c r="K32" s="53"/>
      <c r="L32" s="53"/>
      <c r="M32" s="53"/>
    </row>
    <row r="33" spans="1:13" ht="15.75" x14ac:dyDescent="0.25">
      <c r="A33" s="53"/>
      <c r="B33" s="53"/>
      <c r="C33" s="53"/>
      <c r="D33" s="53"/>
      <c r="E33" s="106"/>
      <c r="F33" s="80"/>
      <c r="G33" s="81"/>
      <c r="H33" s="53"/>
      <c r="I33" s="53"/>
      <c r="J33" s="53"/>
      <c r="K33" s="53"/>
      <c r="L33" s="53"/>
      <c r="M33" s="53"/>
    </row>
    <row r="34" spans="1:13" ht="15.75" x14ac:dyDescent="0.25">
      <c r="A34" s="53"/>
      <c r="B34" s="53"/>
      <c r="C34" s="53"/>
      <c r="D34" s="56"/>
      <c r="E34" s="106"/>
      <c r="F34" s="605" t="s">
        <v>18</v>
      </c>
      <c r="G34" s="81"/>
      <c r="H34" s="53"/>
      <c r="I34" s="53"/>
      <c r="J34" s="53"/>
      <c r="K34" s="53"/>
      <c r="L34" s="53"/>
      <c r="M34" s="53"/>
    </row>
    <row r="35" spans="1:13" ht="15.75" x14ac:dyDescent="0.25">
      <c r="A35" s="53"/>
      <c r="B35" s="53"/>
      <c r="C35" s="53"/>
      <c r="D35" s="53"/>
      <c r="E35" s="106"/>
      <c r="F35" s="80"/>
      <c r="G35" s="81"/>
      <c r="H35" s="53"/>
      <c r="I35" s="53"/>
      <c r="J35" s="53"/>
      <c r="K35" s="53"/>
      <c r="L35" s="53"/>
      <c r="M35" s="53"/>
    </row>
    <row r="36" spans="1:13" ht="15.75" x14ac:dyDescent="0.25">
      <c r="A36" s="53"/>
      <c r="B36" s="53"/>
      <c r="C36" s="53"/>
      <c r="D36" s="53"/>
      <c r="E36" s="106"/>
      <c r="F36" s="606" t="s">
        <v>19</v>
      </c>
      <c r="G36" s="81"/>
      <c r="H36" s="53"/>
      <c r="I36" s="53"/>
      <c r="J36" s="53"/>
      <c r="K36" s="53"/>
      <c r="L36" s="53"/>
      <c r="M36" s="53"/>
    </row>
    <row r="37" spans="1:13" ht="15.75" x14ac:dyDescent="0.25">
      <c r="A37" s="53"/>
      <c r="B37" s="53"/>
      <c r="C37" s="53"/>
      <c r="D37" s="53"/>
      <c r="E37" s="106"/>
      <c r="F37" s="80"/>
      <c r="G37" s="81"/>
      <c r="H37" s="53"/>
      <c r="I37" s="53"/>
      <c r="J37" s="53"/>
      <c r="K37" s="53"/>
      <c r="L37" s="53"/>
      <c r="M37" s="53"/>
    </row>
    <row r="38" spans="1:13" ht="15.75" x14ac:dyDescent="0.25">
      <c r="A38" s="53"/>
      <c r="B38" s="53"/>
      <c r="C38" s="53"/>
      <c r="D38" s="53"/>
      <c r="E38" s="106"/>
      <c r="F38" s="607" t="s">
        <v>20</v>
      </c>
      <c r="G38" s="81"/>
      <c r="H38" s="53"/>
      <c r="I38" s="53"/>
      <c r="J38" s="53"/>
      <c r="K38" s="53"/>
      <c r="L38" s="53"/>
      <c r="M38" s="53"/>
    </row>
    <row r="39" spans="1:13" ht="15.75" x14ac:dyDescent="0.25">
      <c r="A39" s="53"/>
      <c r="B39" s="53"/>
      <c r="C39" s="53"/>
      <c r="D39" s="53"/>
      <c r="E39" s="106"/>
      <c r="F39" s="80"/>
      <c r="G39" s="81"/>
      <c r="H39" s="53"/>
      <c r="I39" s="53"/>
      <c r="J39" s="53"/>
      <c r="K39" s="53"/>
      <c r="L39" s="53"/>
      <c r="M39" s="53"/>
    </row>
    <row r="40" spans="1:13" ht="15.75" x14ac:dyDescent="0.25">
      <c r="A40" s="53"/>
      <c r="B40" s="53"/>
      <c r="C40" s="53"/>
      <c r="D40" s="53"/>
      <c r="E40" s="106"/>
      <c r="F40" s="608" t="s">
        <v>20</v>
      </c>
      <c r="G40" s="81"/>
      <c r="H40" s="53"/>
      <c r="I40" s="53"/>
      <c r="J40" s="53"/>
      <c r="K40" s="53"/>
      <c r="L40" s="53"/>
      <c r="M40" s="53"/>
    </row>
    <row r="41" spans="1:13" ht="15.75" x14ac:dyDescent="0.25">
      <c r="A41" s="53"/>
      <c r="B41" s="53"/>
      <c r="C41" s="53"/>
      <c r="D41" s="53"/>
      <c r="E41" s="106"/>
      <c r="F41" s="80"/>
      <c r="G41" s="81"/>
      <c r="H41" s="53"/>
      <c r="I41" s="53"/>
      <c r="J41" s="53"/>
      <c r="K41" s="53"/>
      <c r="L41" s="53"/>
      <c r="M41" s="53"/>
    </row>
    <row r="42" spans="1:13" ht="47.25" x14ac:dyDescent="0.25">
      <c r="A42" s="53"/>
      <c r="B42" s="53"/>
      <c r="C42" s="53"/>
      <c r="D42" s="53"/>
      <c r="E42" s="106"/>
      <c r="F42" s="609" t="s">
        <v>21</v>
      </c>
      <c r="G42" s="81"/>
      <c r="H42" s="53"/>
      <c r="I42" s="53"/>
      <c r="J42" s="53"/>
      <c r="K42" s="53"/>
      <c r="L42" s="53"/>
      <c r="M42" s="53"/>
    </row>
    <row r="43" spans="1:13" ht="16.5" thickBot="1" x14ac:dyDescent="0.3">
      <c r="A43" s="53"/>
      <c r="B43" s="53"/>
      <c r="C43" s="53"/>
      <c r="D43" s="53"/>
      <c r="E43" s="110"/>
      <c r="F43" s="93"/>
      <c r="G43" s="94"/>
      <c r="H43" s="53"/>
      <c r="I43" s="53"/>
      <c r="J43" s="53"/>
      <c r="K43" s="53"/>
      <c r="L43" s="53"/>
      <c r="M43" s="53"/>
    </row>
    <row r="44" spans="1:13" ht="16.5" thickBot="1" x14ac:dyDescent="0.3">
      <c r="A44" s="53"/>
      <c r="B44" s="53"/>
      <c r="C44" s="53"/>
      <c r="D44" s="53"/>
      <c r="E44" s="53"/>
      <c r="F44" s="53"/>
      <c r="G44" s="53"/>
      <c r="H44" s="53"/>
      <c r="I44" s="53"/>
      <c r="J44" s="53"/>
      <c r="K44" s="53"/>
      <c r="L44" s="53"/>
      <c r="M44" s="53"/>
    </row>
    <row r="45" spans="1:13" ht="16.5" thickBot="1" x14ac:dyDescent="0.3">
      <c r="A45" s="53"/>
      <c r="B45" s="265" t="s">
        <v>22</v>
      </c>
      <c r="C45" s="165"/>
      <c r="D45" s="165" t="s">
        <v>23</v>
      </c>
      <c r="E45" s="165"/>
      <c r="F45" s="165" t="s">
        <v>24</v>
      </c>
      <c r="G45" s="302"/>
      <c r="H45" s="53"/>
      <c r="I45" s="53"/>
      <c r="J45" s="53"/>
      <c r="K45" s="53"/>
      <c r="L45" s="53"/>
      <c r="M45" s="53"/>
    </row>
    <row r="46" spans="1:13" ht="15.75" x14ac:dyDescent="0.25">
      <c r="A46" s="53"/>
      <c r="B46" s="415"/>
      <c r="C46" s="66"/>
      <c r="D46" s="53"/>
      <c r="E46" s="53"/>
      <c r="F46" s="53"/>
      <c r="G46" s="416"/>
      <c r="H46" s="53"/>
      <c r="I46" s="53"/>
      <c r="J46" s="53"/>
      <c r="K46" s="53"/>
      <c r="L46" s="53"/>
      <c r="M46" s="53"/>
    </row>
    <row r="47" spans="1:13" ht="15.75" x14ac:dyDescent="0.25">
      <c r="A47" s="53"/>
      <c r="B47" s="417" t="s">
        <v>25</v>
      </c>
      <c r="C47" s="57"/>
      <c r="D47" s="418" t="s">
        <v>26</v>
      </c>
      <c r="E47" s="418"/>
      <c r="F47" s="418" t="s">
        <v>27</v>
      </c>
      <c r="G47" s="419"/>
      <c r="H47" s="53"/>
      <c r="I47" s="53"/>
      <c r="J47" s="53"/>
      <c r="K47" s="53"/>
      <c r="L47" s="53"/>
      <c r="M47" s="53"/>
    </row>
    <row r="48" spans="1:13" ht="15.75" x14ac:dyDescent="0.25">
      <c r="A48" s="53"/>
      <c r="B48" s="415"/>
      <c r="C48" s="66"/>
      <c r="D48" s="53"/>
      <c r="E48" s="53"/>
      <c r="F48" s="53"/>
      <c r="G48" s="416"/>
      <c r="H48" s="53"/>
      <c r="I48" s="53"/>
      <c r="J48" s="53"/>
      <c r="K48" s="53"/>
      <c r="L48" s="53"/>
      <c r="M48" s="53"/>
    </row>
    <row r="49" spans="1:13" ht="15.75" x14ac:dyDescent="0.25">
      <c r="A49" s="53"/>
      <c r="B49" s="420" t="s">
        <v>28</v>
      </c>
      <c r="C49" s="66"/>
      <c r="D49" s="422" t="s">
        <v>29</v>
      </c>
      <c r="E49" s="53"/>
      <c r="F49" s="418" t="s">
        <v>27</v>
      </c>
      <c r="G49" s="416"/>
      <c r="H49" s="53"/>
      <c r="I49" s="53"/>
      <c r="J49" s="53"/>
      <c r="K49" s="53"/>
      <c r="L49" s="53"/>
      <c r="M49" s="53"/>
    </row>
    <row r="50" spans="1:13" ht="15.75" x14ac:dyDescent="0.25">
      <c r="A50" s="53"/>
      <c r="B50" s="415"/>
      <c r="C50" s="66"/>
      <c r="D50" s="53"/>
      <c r="E50" s="53"/>
      <c r="F50" s="53"/>
      <c r="G50" s="416"/>
      <c r="H50" s="53"/>
      <c r="I50" s="53"/>
      <c r="J50" s="53"/>
      <c r="K50" s="53"/>
      <c r="L50" s="53"/>
      <c r="M50" s="53"/>
    </row>
    <row r="51" spans="1:13" ht="37.5" customHeight="1" x14ac:dyDescent="0.25">
      <c r="A51" s="53"/>
      <c r="B51" s="417" t="s">
        <v>30</v>
      </c>
      <c r="C51" s="57"/>
      <c r="D51" s="418" t="s">
        <v>31</v>
      </c>
      <c r="E51" s="418"/>
      <c r="F51" s="418" t="s">
        <v>27</v>
      </c>
      <c r="G51" s="419"/>
      <c r="H51" s="53"/>
      <c r="I51" s="53"/>
      <c r="J51" s="53"/>
      <c r="K51" s="53"/>
      <c r="L51" s="53"/>
      <c r="M51" s="53"/>
    </row>
    <row r="52" spans="1:13" ht="15.75" x14ac:dyDescent="0.25">
      <c r="A52" s="53"/>
      <c r="B52" s="417"/>
      <c r="C52" s="57"/>
      <c r="D52" s="418"/>
      <c r="E52" s="418"/>
      <c r="F52" s="418"/>
      <c r="G52" s="419"/>
      <c r="H52" s="53"/>
      <c r="I52" s="53"/>
      <c r="J52" s="53"/>
      <c r="K52" s="53"/>
      <c r="L52" s="53"/>
      <c r="M52" s="53"/>
    </row>
    <row r="53" spans="1:13" ht="33.6" customHeight="1" x14ac:dyDescent="0.25">
      <c r="A53" s="53"/>
      <c r="B53" s="417" t="s">
        <v>32</v>
      </c>
      <c r="C53" s="57"/>
      <c r="D53" s="418" t="s">
        <v>33</v>
      </c>
      <c r="E53" s="418"/>
      <c r="F53" s="418" t="s">
        <v>27</v>
      </c>
      <c r="G53" s="419"/>
      <c r="H53" s="53"/>
      <c r="I53" s="53"/>
      <c r="J53" s="53"/>
      <c r="K53" s="53"/>
      <c r="L53" s="53"/>
      <c r="M53" s="53"/>
    </row>
    <row r="54" spans="1:13" ht="15.75" x14ac:dyDescent="0.25">
      <c r="A54" s="53"/>
      <c r="B54" s="417"/>
      <c r="C54" s="57"/>
      <c r="D54" s="418"/>
      <c r="E54" s="418"/>
      <c r="F54" s="418"/>
      <c r="G54" s="419"/>
      <c r="H54" s="53"/>
      <c r="I54" s="53"/>
      <c r="J54" s="53"/>
      <c r="K54" s="53"/>
      <c r="L54" s="53"/>
      <c r="M54" s="53"/>
    </row>
    <row r="55" spans="1:13" ht="32.1" customHeight="1" x14ac:dyDescent="0.25">
      <c r="A55" s="53"/>
      <c r="B55" s="417" t="s">
        <v>34</v>
      </c>
      <c r="C55" s="57"/>
      <c r="D55" s="418" t="s">
        <v>35</v>
      </c>
      <c r="E55" s="418"/>
      <c r="F55" s="418" t="s">
        <v>27</v>
      </c>
      <c r="G55" s="419"/>
      <c r="H55" s="53"/>
      <c r="I55" s="53"/>
      <c r="J55" s="53"/>
      <c r="K55" s="53"/>
      <c r="L55" s="53"/>
      <c r="M55" s="53"/>
    </row>
    <row r="56" spans="1:13" ht="15.75" x14ac:dyDescent="0.25">
      <c r="A56" s="53"/>
      <c r="B56" s="417"/>
      <c r="C56" s="57"/>
      <c r="D56" s="418"/>
      <c r="E56" s="418"/>
      <c r="F56" s="418"/>
      <c r="G56" s="419"/>
      <c r="H56" s="53"/>
      <c r="I56" s="53"/>
      <c r="J56" s="53"/>
      <c r="K56" s="53"/>
      <c r="L56" s="53"/>
      <c r="M56" s="53"/>
    </row>
    <row r="57" spans="1:13" ht="35.25" customHeight="1" x14ac:dyDescent="0.25">
      <c r="A57" s="53"/>
      <c r="B57" s="417" t="s">
        <v>36</v>
      </c>
      <c r="C57" s="57"/>
      <c r="D57" s="418" t="s">
        <v>37</v>
      </c>
      <c r="E57" s="418"/>
      <c r="F57" s="418" t="s">
        <v>27</v>
      </c>
      <c r="G57" s="419"/>
      <c r="H57" s="53"/>
      <c r="I57" s="53"/>
      <c r="J57" s="53"/>
      <c r="K57" s="53"/>
      <c r="L57" s="53"/>
      <c r="M57" s="53"/>
    </row>
    <row r="58" spans="1:13" ht="15.75" x14ac:dyDescent="0.25">
      <c r="A58" s="53"/>
      <c r="B58" s="417"/>
      <c r="C58" s="57"/>
      <c r="D58" s="418"/>
      <c r="E58" s="418"/>
      <c r="F58" s="418"/>
      <c r="G58" s="419"/>
      <c r="H58" s="53"/>
      <c r="I58" s="53"/>
      <c r="J58" s="53"/>
      <c r="K58" s="53"/>
      <c r="L58" s="53"/>
      <c r="M58" s="53"/>
    </row>
    <row r="59" spans="1:13" ht="15.75" x14ac:dyDescent="0.25">
      <c r="A59" s="53"/>
      <c r="B59" s="417" t="s">
        <v>38</v>
      </c>
      <c r="C59" s="57"/>
      <c r="D59" s="418" t="s">
        <v>39</v>
      </c>
      <c r="E59" s="418"/>
      <c r="F59" s="418" t="s">
        <v>27</v>
      </c>
      <c r="G59" s="419"/>
      <c r="H59" s="53"/>
      <c r="I59" s="53"/>
      <c r="J59" s="53"/>
      <c r="K59" s="53"/>
      <c r="L59" s="53"/>
      <c r="M59" s="53"/>
    </row>
    <row r="60" spans="1:13" ht="15.75" x14ac:dyDescent="0.25">
      <c r="A60" s="53"/>
      <c r="B60" s="417"/>
      <c r="C60" s="57"/>
      <c r="D60" s="418"/>
      <c r="E60" s="418"/>
      <c r="F60" s="418"/>
      <c r="G60" s="419"/>
      <c r="H60" s="53"/>
      <c r="I60" s="53"/>
      <c r="J60" s="53"/>
      <c r="K60" s="53"/>
      <c r="L60" s="53"/>
      <c r="M60" s="53"/>
    </row>
    <row r="61" spans="1:13" ht="36" customHeight="1" x14ac:dyDescent="0.25">
      <c r="A61" s="53"/>
      <c r="B61" s="417" t="s">
        <v>40</v>
      </c>
      <c r="C61" s="57"/>
      <c r="D61" s="418" t="s">
        <v>41</v>
      </c>
      <c r="E61" s="418"/>
      <c r="F61" s="418" t="s">
        <v>27</v>
      </c>
      <c r="G61" s="419"/>
      <c r="H61" s="53"/>
      <c r="I61" s="53"/>
      <c r="J61" s="53"/>
      <c r="K61" s="53"/>
      <c r="L61" s="53"/>
      <c r="M61" s="53"/>
    </row>
    <row r="62" spans="1:13" ht="15.75" x14ac:dyDescent="0.25">
      <c r="A62" s="53"/>
      <c r="B62" s="415"/>
      <c r="C62" s="66"/>
      <c r="D62" s="418"/>
      <c r="E62" s="418"/>
      <c r="F62" s="418"/>
      <c r="G62" s="419"/>
      <c r="H62" s="53"/>
      <c r="I62" s="53"/>
      <c r="J62" s="53"/>
      <c r="K62" s="53"/>
      <c r="L62" s="53"/>
      <c r="M62" s="53"/>
    </row>
    <row r="63" spans="1:13" ht="15.75" x14ac:dyDescent="0.25">
      <c r="A63" s="53"/>
      <c r="B63" s="417" t="s">
        <v>42</v>
      </c>
      <c r="C63" s="57"/>
      <c r="D63" s="418" t="s">
        <v>43</v>
      </c>
      <c r="E63" s="418"/>
      <c r="F63" s="418" t="s">
        <v>27</v>
      </c>
      <c r="G63" s="419"/>
      <c r="H63" s="53"/>
      <c r="I63" s="53"/>
      <c r="J63" s="53"/>
      <c r="K63" s="53"/>
      <c r="L63" s="53"/>
      <c r="M63" s="53"/>
    </row>
    <row r="64" spans="1:13" ht="15.75" x14ac:dyDescent="0.25">
      <c r="A64" s="53"/>
      <c r="B64" s="417"/>
      <c r="C64" s="57"/>
      <c r="D64" s="418"/>
      <c r="E64" s="418"/>
      <c r="F64" s="418"/>
      <c r="G64" s="419"/>
      <c r="H64" s="53"/>
      <c r="I64" s="53"/>
      <c r="J64" s="53"/>
      <c r="K64" s="53"/>
      <c r="L64" s="53"/>
      <c r="M64" s="53"/>
    </row>
    <row r="65" spans="1:13" ht="31.5" x14ac:dyDescent="0.25">
      <c r="A65" s="53"/>
      <c r="B65" s="420" t="s">
        <v>44</v>
      </c>
      <c r="C65" s="421"/>
      <c r="D65" s="422" t="s">
        <v>45</v>
      </c>
      <c r="E65" s="421"/>
      <c r="F65" s="418" t="s">
        <v>27</v>
      </c>
      <c r="G65" s="419"/>
      <c r="H65" s="53"/>
      <c r="I65" s="53"/>
      <c r="J65" s="53"/>
      <c r="K65" s="53"/>
      <c r="L65" s="53"/>
      <c r="M65" s="53"/>
    </row>
    <row r="66" spans="1:13" ht="15.75" x14ac:dyDescent="0.25">
      <c r="A66" s="53"/>
      <c r="B66" s="415"/>
      <c r="C66" s="66"/>
      <c r="D66" s="418"/>
      <c r="E66" s="418"/>
      <c r="F66" s="418"/>
      <c r="G66" s="419"/>
      <c r="H66" s="53"/>
      <c r="I66" s="53"/>
      <c r="J66" s="53"/>
      <c r="K66" s="53"/>
      <c r="L66" s="53"/>
      <c r="M66" s="53"/>
    </row>
    <row r="67" spans="1:13" ht="15.75" x14ac:dyDescent="0.25">
      <c r="A67" s="53"/>
      <c r="B67" s="417" t="s">
        <v>46</v>
      </c>
      <c r="C67" s="57"/>
      <c r="D67" s="418" t="s">
        <v>47</v>
      </c>
      <c r="E67" s="418"/>
      <c r="F67" s="418" t="s">
        <v>27</v>
      </c>
      <c r="G67" s="419"/>
      <c r="H67" s="53"/>
      <c r="I67" s="53"/>
      <c r="J67" s="53"/>
      <c r="K67" s="53"/>
      <c r="L67" s="53"/>
      <c r="M67" s="53"/>
    </row>
    <row r="68" spans="1:13" ht="15.75" x14ac:dyDescent="0.25">
      <c r="A68" s="53"/>
      <c r="B68" s="415"/>
      <c r="C68" s="66"/>
      <c r="D68" s="418"/>
      <c r="E68" s="418"/>
      <c r="F68" s="418"/>
      <c r="G68" s="419"/>
      <c r="H68" s="53"/>
      <c r="I68" s="53"/>
      <c r="J68" s="53"/>
      <c r="K68" s="53"/>
      <c r="L68" s="53"/>
      <c r="M68" s="53"/>
    </row>
    <row r="69" spans="1:13" ht="15.75" x14ac:dyDescent="0.25">
      <c r="A69" s="53"/>
      <c r="B69" s="417" t="s">
        <v>48</v>
      </c>
      <c r="C69" s="58"/>
      <c r="D69" s="418" t="s">
        <v>49</v>
      </c>
      <c r="E69" s="418"/>
      <c r="F69" s="418" t="s">
        <v>27</v>
      </c>
      <c r="G69" s="419"/>
      <c r="H69" s="53"/>
      <c r="I69" s="53"/>
      <c r="J69" s="53"/>
      <c r="K69" s="53"/>
      <c r="L69" s="53"/>
      <c r="M69" s="53"/>
    </row>
    <row r="70" spans="1:13" ht="15.75" x14ac:dyDescent="0.25">
      <c r="A70" s="53"/>
      <c r="B70" s="415"/>
      <c r="C70" s="66"/>
      <c r="D70" s="418"/>
      <c r="E70" s="418"/>
      <c r="F70" s="418"/>
      <c r="G70" s="419"/>
      <c r="H70" s="53"/>
      <c r="I70" s="53"/>
      <c r="J70" s="53"/>
      <c r="K70" s="53"/>
      <c r="L70" s="53"/>
      <c r="M70" s="53"/>
    </row>
    <row r="71" spans="1:13" ht="15.75" x14ac:dyDescent="0.25">
      <c r="A71" s="53"/>
      <c r="B71" s="417" t="s">
        <v>50</v>
      </c>
      <c r="C71" s="57"/>
      <c r="D71" s="418" t="s">
        <v>51</v>
      </c>
      <c r="E71" s="418"/>
      <c r="F71" s="418" t="s">
        <v>27</v>
      </c>
      <c r="G71" s="419"/>
      <c r="H71" s="53"/>
      <c r="I71" s="53"/>
      <c r="J71" s="53"/>
      <c r="K71" s="53"/>
      <c r="L71" s="53"/>
      <c r="M71" s="53"/>
    </row>
    <row r="72" spans="1:13" ht="15.75" x14ac:dyDescent="0.25">
      <c r="A72" s="53"/>
      <c r="B72" s="415"/>
      <c r="C72" s="66"/>
      <c r="D72" s="418"/>
      <c r="E72" s="418"/>
      <c r="F72" s="418"/>
      <c r="G72" s="419"/>
      <c r="H72" s="53"/>
      <c r="I72" s="53"/>
      <c r="J72" s="53"/>
      <c r="K72" s="53"/>
      <c r="L72" s="53"/>
      <c r="M72" s="53"/>
    </row>
    <row r="73" spans="1:13" ht="15.75" x14ac:dyDescent="0.25">
      <c r="A73" s="53"/>
      <c r="B73" s="417" t="s">
        <v>52</v>
      </c>
      <c r="C73" s="57"/>
      <c r="D73" s="418" t="s">
        <v>53</v>
      </c>
      <c r="E73" s="418"/>
      <c r="F73" s="418" t="s">
        <v>27</v>
      </c>
      <c r="G73" s="419"/>
      <c r="H73" s="53"/>
      <c r="I73" s="53"/>
      <c r="J73" s="53"/>
      <c r="K73" s="53"/>
      <c r="L73" s="53"/>
      <c r="M73" s="53"/>
    </row>
    <row r="74" spans="1:13" ht="15.75" x14ac:dyDescent="0.25">
      <c r="A74" s="53"/>
      <c r="B74" s="417"/>
      <c r="C74" s="57"/>
      <c r="D74" s="418"/>
      <c r="E74" s="418"/>
      <c r="F74" s="418"/>
      <c r="G74" s="419"/>
      <c r="H74" s="53"/>
      <c r="I74" s="53"/>
      <c r="J74" s="53"/>
      <c r="K74" s="53"/>
      <c r="L74" s="53"/>
      <c r="M74" s="53"/>
    </row>
    <row r="75" spans="1:13" ht="15.75" x14ac:dyDescent="0.25">
      <c r="A75" s="53"/>
      <c r="B75" s="417" t="s">
        <v>54</v>
      </c>
      <c r="C75" s="57"/>
      <c r="D75" s="418" t="s">
        <v>55</v>
      </c>
      <c r="E75" s="418"/>
      <c r="F75" s="418" t="s">
        <v>27</v>
      </c>
      <c r="G75" s="419"/>
      <c r="H75" s="53"/>
      <c r="I75" s="53"/>
      <c r="J75" s="53"/>
      <c r="K75" s="53"/>
      <c r="L75" s="53"/>
      <c r="M75" s="53"/>
    </row>
    <row r="76" spans="1:13" ht="15.75" x14ac:dyDescent="0.25">
      <c r="A76" s="53"/>
      <c r="B76" s="417"/>
      <c r="C76" s="57"/>
      <c r="D76" s="418"/>
      <c r="E76" s="418"/>
      <c r="F76" s="418"/>
      <c r="G76" s="419"/>
      <c r="H76" s="53"/>
      <c r="I76" s="53"/>
      <c r="J76" s="53"/>
      <c r="K76" s="53"/>
      <c r="L76" s="53"/>
      <c r="M76" s="53"/>
    </row>
    <row r="77" spans="1:13" ht="15.75" x14ac:dyDescent="0.25">
      <c r="A77" s="53"/>
      <c r="B77" s="417" t="s">
        <v>56</v>
      </c>
      <c r="C77" s="57"/>
      <c r="D77" s="418" t="s">
        <v>57</v>
      </c>
      <c r="E77" s="418"/>
      <c r="F77" s="418" t="s">
        <v>27</v>
      </c>
      <c r="G77" s="419"/>
      <c r="H77" s="53"/>
      <c r="I77" s="53"/>
      <c r="J77" s="53"/>
      <c r="K77" s="53"/>
      <c r="L77" s="53"/>
      <c r="M77" s="53"/>
    </row>
    <row r="78" spans="1:13" ht="15.75" x14ac:dyDescent="0.25">
      <c r="A78" s="53"/>
      <c r="B78" s="415"/>
      <c r="C78" s="66"/>
      <c r="D78" s="418"/>
      <c r="E78" s="418"/>
      <c r="F78" s="418"/>
      <c r="G78" s="419"/>
      <c r="H78" s="53"/>
      <c r="I78" s="53"/>
      <c r="J78" s="53"/>
      <c r="K78" s="53"/>
      <c r="L78" s="53"/>
      <c r="M78" s="53"/>
    </row>
    <row r="79" spans="1:13" ht="15.75" x14ac:dyDescent="0.25">
      <c r="A79" s="53"/>
      <c r="B79" s="417" t="s">
        <v>58</v>
      </c>
      <c r="C79" s="57"/>
      <c r="D79" s="418" t="s">
        <v>59</v>
      </c>
      <c r="E79" s="418"/>
      <c r="F79" s="418" t="s">
        <v>27</v>
      </c>
      <c r="G79" s="419"/>
      <c r="H79" s="53"/>
      <c r="I79" s="53"/>
      <c r="J79" s="53"/>
      <c r="K79" s="53"/>
      <c r="L79" s="53"/>
      <c r="M79" s="53"/>
    </row>
    <row r="80" spans="1:13" ht="15.75" x14ac:dyDescent="0.25">
      <c r="A80" s="53"/>
      <c r="B80" s="415"/>
      <c r="C80" s="66"/>
      <c r="D80" s="418"/>
      <c r="E80" s="418"/>
      <c r="F80" s="418"/>
      <c r="G80" s="419"/>
      <c r="H80" s="53"/>
      <c r="I80" s="53"/>
      <c r="J80" s="53"/>
      <c r="K80" s="53"/>
      <c r="L80" s="53"/>
      <c r="M80" s="53"/>
    </row>
    <row r="81" spans="1:13" ht="15.75" x14ac:dyDescent="0.25">
      <c r="A81" s="53"/>
      <c r="B81" s="417" t="s">
        <v>60</v>
      </c>
      <c r="C81" s="57"/>
      <c r="D81" s="418" t="s">
        <v>61</v>
      </c>
      <c r="E81" s="418"/>
      <c r="F81" s="418" t="s">
        <v>27</v>
      </c>
      <c r="G81" s="419"/>
      <c r="H81" s="53"/>
      <c r="I81" s="53"/>
      <c r="J81" s="53"/>
      <c r="K81" s="53"/>
      <c r="L81" s="53"/>
      <c r="M81" s="53"/>
    </row>
    <row r="82" spans="1:13" ht="15.75" x14ac:dyDescent="0.25">
      <c r="A82" s="53"/>
      <c r="B82" s="415"/>
      <c r="C82" s="66"/>
      <c r="D82" s="418"/>
      <c r="E82" s="418"/>
      <c r="F82" s="418"/>
      <c r="G82" s="419"/>
      <c r="H82" s="53"/>
      <c r="I82" s="53"/>
      <c r="J82" s="53"/>
      <c r="K82" s="53"/>
      <c r="L82" s="53"/>
      <c r="M82" s="53"/>
    </row>
    <row r="83" spans="1:13" ht="15.75" x14ac:dyDescent="0.25">
      <c r="A83" s="53"/>
      <c r="B83" s="417" t="s">
        <v>62</v>
      </c>
      <c r="C83" s="57"/>
      <c r="D83" s="418" t="s">
        <v>63</v>
      </c>
      <c r="E83" s="418"/>
      <c r="F83" s="418" t="s">
        <v>27</v>
      </c>
      <c r="G83" s="419"/>
      <c r="H83" s="53"/>
      <c r="I83" s="53"/>
      <c r="J83" s="53"/>
      <c r="K83" s="53"/>
      <c r="L83" s="53"/>
      <c r="M83" s="53"/>
    </row>
    <row r="84" spans="1:13" ht="15.75" x14ac:dyDescent="0.25">
      <c r="A84" s="53"/>
      <c r="B84" s="417"/>
      <c r="C84" s="57"/>
      <c r="D84" s="418"/>
      <c r="E84" s="418"/>
      <c r="F84" s="418"/>
      <c r="G84" s="419"/>
      <c r="H84" s="53"/>
      <c r="I84" s="53"/>
      <c r="J84" s="53"/>
      <c r="K84" s="53"/>
      <c r="L84" s="53"/>
      <c r="M84" s="53"/>
    </row>
    <row r="85" spans="1:13" ht="15.75" x14ac:dyDescent="0.25">
      <c r="A85" s="53"/>
      <c r="B85" s="417" t="s">
        <v>64</v>
      </c>
      <c r="C85" s="57"/>
      <c r="D85" s="418" t="s">
        <v>65</v>
      </c>
      <c r="E85" s="418"/>
      <c r="F85" s="418" t="s">
        <v>27</v>
      </c>
      <c r="G85" s="419"/>
      <c r="H85" s="53"/>
      <c r="I85" s="53"/>
      <c r="J85" s="53"/>
      <c r="K85" s="53"/>
      <c r="L85" s="53"/>
      <c r="M85" s="53"/>
    </row>
    <row r="86" spans="1:13" ht="15.75" x14ac:dyDescent="0.25">
      <c r="A86" s="53"/>
      <c r="B86" s="417"/>
      <c r="C86" s="57"/>
      <c r="D86" s="418"/>
      <c r="E86" s="418"/>
      <c r="F86" s="418"/>
      <c r="G86" s="419"/>
      <c r="H86" s="53"/>
      <c r="I86" s="53"/>
      <c r="J86" s="53"/>
      <c r="K86" s="53"/>
      <c r="L86" s="53"/>
      <c r="M86" s="53"/>
    </row>
    <row r="87" spans="1:13" ht="15.75" x14ac:dyDescent="0.25">
      <c r="A87" s="53"/>
      <c r="B87" s="417" t="s">
        <v>66</v>
      </c>
      <c r="C87" s="57"/>
      <c r="D87" s="418" t="s">
        <v>67</v>
      </c>
      <c r="E87" s="418"/>
      <c r="F87" s="418" t="s">
        <v>27</v>
      </c>
      <c r="G87" s="419"/>
      <c r="H87" s="53"/>
      <c r="I87" s="53"/>
      <c r="J87" s="53"/>
      <c r="K87" s="53"/>
      <c r="L87" s="53"/>
      <c r="M87" s="53"/>
    </row>
    <row r="88" spans="1:13" ht="15.75" x14ac:dyDescent="0.25">
      <c r="A88" s="53"/>
      <c r="B88" s="415"/>
      <c r="C88" s="66"/>
      <c r="D88" s="418"/>
      <c r="E88" s="418"/>
      <c r="F88" s="418"/>
      <c r="G88" s="419"/>
      <c r="H88" s="53"/>
      <c r="I88" s="53"/>
      <c r="J88" s="53"/>
      <c r="K88" s="53"/>
      <c r="L88" s="53"/>
      <c r="M88" s="53"/>
    </row>
    <row r="89" spans="1:13" ht="15.75" x14ac:dyDescent="0.25">
      <c r="A89" s="53"/>
      <c r="B89" s="417" t="s">
        <v>68</v>
      </c>
      <c r="C89" s="57"/>
      <c r="D89" s="418" t="s">
        <v>69</v>
      </c>
      <c r="E89" s="418"/>
      <c r="F89" s="418" t="s">
        <v>27</v>
      </c>
      <c r="G89" s="419"/>
      <c r="H89" s="53"/>
      <c r="I89" s="53"/>
      <c r="J89" s="53"/>
      <c r="K89" s="53"/>
      <c r="L89" s="53"/>
      <c r="M89" s="53"/>
    </row>
    <row r="90" spans="1:13" ht="15.75" x14ac:dyDescent="0.25">
      <c r="A90" s="53"/>
      <c r="B90" s="417"/>
      <c r="C90" s="57"/>
      <c r="D90" s="418"/>
      <c r="E90" s="418"/>
      <c r="F90" s="418"/>
      <c r="G90" s="419"/>
      <c r="H90" s="53"/>
      <c r="I90" s="53"/>
      <c r="J90" s="53"/>
      <c r="K90" s="53"/>
      <c r="L90" s="53"/>
      <c r="M90" s="53"/>
    </row>
    <row r="91" spans="1:13" ht="37.5" customHeight="1" x14ac:dyDescent="0.25">
      <c r="A91" s="53"/>
      <c r="B91" s="417" t="s">
        <v>70</v>
      </c>
      <c r="C91" s="57"/>
      <c r="D91" s="418" t="s">
        <v>71</v>
      </c>
      <c r="E91" s="418"/>
      <c r="F91" s="418" t="s">
        <v>27</v>
      </c>
      <c r="G91" s="419"/>
      <c r="H91" s="53"/>
      <c r="I91" s="53"/>
      <c r="J91" s="53"/>
      <c r="K91" s="53"/>
      <c r="L91" s="53"/>
      <c r="M91" s="53"/>
    </row>
    <row r="92" spans="1:13" ht="15.75" x14ac:dyDescent="0.25">
      <c r="A92" s="53"/>
      <c r="B92" s="417"/>
      <c r="C92" s="57"/>
      <c r="D92" s="418"/>
      <c r="E92" s="418"/>
      <c r="F92" s="418"/>
      <c r="G92" s="419"/>
      <c r="H92" s="53"/>
      <c r="I92" s="53"/>
      <c r="J92" s="53"/>
      <c r="K92" s="53"/>
      <c r="L92" s="53"/>
      <c r="M92" s="53"/>
    </row>
    <row r="93" spans="1:13" ht="15.75" x14ac:dyDescent="0.25">
      <c r="A93" s="53"/>
      <c r="B93" s="417" t="s">
        <v>72</v>
      </c>
      <c r="C93" s="57"/>
      <c r="D93" s="418" t="s">
        <v>73</v>
      </c>
      <c r="E93" s="418"/>
      <c r="F93" s="418" t="s">
        <v>27</v>
      </c>
      <c r="G93" s="419"/>
      <c r="H93" s="53"/>
      <c r="I93" s="53"/>
      <c r="J93" s="53"/>
      <c r="K93" s="53"/>
      <c r="L93" s="53"/>
      <c r="M93" s="53"/>
    </row>
    <row r="94" spans="1:13" ht="15.75" x14ac:dyDescent="0.25">
      <c r="A94" s="53"/>
      <c r="B94" s="417"/>
      <c r="C94" s="57"/>
      <c r="D94" s="418"/>
      <c r="E94" s="418"/>
      <c r="F94" s="418"/>
      <c r="G94" s="419"/>
      <c r="H94" s="53"/>
      <c r="I94" s="53"/>
      <c r="J94" s="53"/>
      <c r="K94" s="53"/>
      <c r="L94" s="53"/>
      <c r="M94" s="53"/>
    </row>
    <row r="95" spans="1:13" ht="31.5" x14ac:dyDescent="0.25">
      <c r="A95" s="53"/>
      <c r="B95" s="417" t="s">
        <v>74</v>
      </c>
      <c r="C95" s="57"/>
      <c r="D95" s="418" t="s">
        <v>75</v>
      </c>
      <c r="E95" s="418"/>
      <c r="F95" s="418" t="s">
        <v>27</v>
      </c>
      <c r="G95" s="419"/>
      <c r="H95" s="53"/>
      <c r="I95" s="53"/>
      <c r="J95" s="53"/>
      <c r="K95" s="53"/>
      <c r="L95" s="53"/>
      <c r="M95" s="53"/>
    </row>
    <row r="96" spans="1:13" ht="15.75" x14ac:dyDescent="0.25">
      <c r="A96" s="53"/>
      <c r="B96" s="417"/>
      <c r="C96" s="57"/>
      <c r="D96" s="418"/>
      <c r="E96" s="418"/>
      <c r="F96" s="418"/>
      <c r="G96" s="419"/>
      <c r="H96" s="53"/>
      <c r="I96" s="53"/>
      <c r="J96" s="53"/>
      <c r="K96" s="53"/>
      <c r="L96" s="53"/>
      <c r="M96" s="53"/>
    </row>
    <row r="97" spans="1:13" ht="15.75" x14ac:dyDescent="0.25">
      <c r="A97" s="53"/>
      <c r="B97" s="782" t="s">
        <v>1106</v>
      </c>
      <c r="C97" s="783"/>
      <c r="D97" s="784" t="s">
        <v>1098</v>
      </c>
      <c r="E97" s="784"/>
      <c r="F97" s="784" t="s">
        <v>27</v>
      </c>
      <c r="G97" s="419"/>
      <c r="H97" s="53"/>
      <c r="I97" s="53"/>
      <c r="J97" s="53"/>
      <c r="K97" s="53"/>
      <c r="L97" s="53"/>
      <c r="M97" s="53"/>
    </row>
    <row r="98" spans="1:13" ht="15.75" x14ac:dyDescent="0.25">
      <c r="A98" s="53"/>
      <c r="B98" s="415"/>
      <c r="C98" s="66"/>
      <c r="D98" s="418"/>
      <c r="E98" s="418"/>
      <c r="F98" s="418"/>
      <c r="G98" s="419"/>
      <c r="H98" s="53"/>
      <c r="I98" s="53"/>
      <c r="J98" s="53"/>
      <c r="K98" s="53"/>
      <c r="L98" s="53"/>
      <c r="M98" s="53"/>
    </row>
    <row r="99" spans="1:13" ht="125.25" customHeight="1" x14ac:dyDescent="0.25">
      <c r="A99" s="53"/>
      <c r="B99" s="417" t="s">
        <v>77</v>
      </c>
      <c r="C99" s="66"/>
      <c r="D99" s="418" t="s">
        <v>78</v>
      </c>
      <c r="E99" s="418"/>
      <c r="F99" s="418" t="s">
        <v>76</v>
      </c>
      <c r="G99" s="419"/>
      <c r="H99" s="53"/>
      <c r="I99" s="53"/>
      <c r="J99" s="53"/>
      <c r="K99" s="53"/>
      <c r="L99" s="53"/>
      <c r="M99" s="53"/>
    </row>
    <row r="100" spans="1:13" ht="15.75" x14ac:dyDescent="0.25">
      <c r="A100" s="53"/>
      <c r="B100" s="417"/>
      <c r="C100" s="66"/>
      <c r="D100" s="418"/>
      <c r="E100" s="418"/>
      <c r="F100" s="418"/>
      <c r="G100" s="419"/>
      <c r="H100" s="53"/>
      <c r="I100" s="53"/>
      <c r="J100" s="53"/>
      <c r="K100" s="53"/>
      <c r="L100" s="53"/>
      <c r="M100" s="53"/>
    </row>
    <row r="101" spans="1:13" ht="80.25" customHeight="1" x14ac:dyDescent="0.25">
      <c r="A101" s="53"/>
      <c r="B101" s="417" t="s">
        <v>79</v>
      </c>
      <c r="C101" s="66"/>
      <c r="D101" s="418" t="s">
        <v>80</v>
      </c>
      <c r="E101" s="418"/>
      <c r="F101" s="418" t="s">
        <v>76</v>
      </c>
      <c r="G101" s="419"/>
      <c r="H101" s="53"/>
      <c r="I101" s="53"/>
      <c r="J101" s="53"/>
      <c r="K101" s="53"/>
      <c r="L101" s="53"/>
      <c r="M101" s="53"/>
    </row>
    <row r="102" spans="1:13" ht="15.75" x14ac:dyDescent="0.25">
      <c r="A102" s="53"/>
      <c r="B102" s="417"/>
      <c r="C102" s="66"/>
      <c r="D102" s="418"/>
      <c r="E102" s="418"/>
      <c r="F102" s="418"/>
      <c r="G102" s="419"/>
      <c r="H102" s="53"/>
      <c r="I102" s="53"/>
      <c r="J102" s="53"/>
      <c r="K102" s="53"/>
      <c r="L102" s="53"/>
      <c r="M102" s="53"/>
    </row>
    <row r="103" spans="1:13" ht="97.5" customHeight="1" x14ac:dyDescent="0.25">
      <c r="A103" s="53"/>
      <c r="B103" s="417" t="s">
        <v>81</v>
      </c>
      <c r="C103" s="66"/>
      <c r="D103" s="418" t="s">
        <v>82</v>
      </c>
      <c r="E103" s="418"/>
      <c r="F103" s="418" t="s">
        <v>76</v>
      </c>
      <c r="G103" s="419"/>
      <c r="H103" s="53"/>
      <c r="I103" s="53"/>
      <c r="J103" s="53"/>
      <c r="K103" s="53"/>
      <c r="L103" s="53"/>
      <c r="M103" s="53"/>
    </row>
    <row r="104" spans="1:13" ht="15.75" x14ac:dyDescent="0.25">
      <c r="A104" s="53"/>
      <c r="B104" s="417"/>
      <c r="C104" s="66"/>
      <c r="D104" s="418"/>
      <c r="E104" s="418"/>
      <c r="F104" s="418"/>
      <c r="G104" s="419"/>
      <c r="H104" s="53"/>
      <c r="I104" s="53"/>
      <c r="J104" s="53"/>
      <c r="K104" s="53"/>
      <c r="L104" s="53"/>
      <c r="M104" s="53"/>
    </row>
    <row r="105" spans="1:13" ht="47.25" x14ac:dyDescent="0.25">
      <c r="A105" s="53"/>
      <c r="B105" s="417" t="s">
        <v>83</v>
      </c>
      <c r="C105" s="66"/>
      <c r="D105" s="418" t="s">
        <v>84</v>
      </c>
      <c r="E105" s="418"/>
      <c r="F105" s="418" t="s">
        <v>76</v>
      </c>
      <c r="G105" s="419"/>
      <c r="H105" s="53"/>
      <c r="I105" s="53"/>
      <c r="J105" s="53"/>
      <c r="K105" s="53"/>
      <c r="L105" s="53"/>
      <c r="M105" s="53"/>
    </row>
    <row r="106" spans="1:13" ht="15.75" x14ac:dyDescent="0.25">
      <c r="A106" s="53"/>
      <c r="B106" s="417"/>
      <c r="C106" s="66"/>
      <c r="D106" s="418"/>
      <c r="E106" s="418"/>
      <c r="F106" s="418"/>
      <c r="G106" s="419"/>
      <c r="H106" s="53"/>
      <c r="I106" s="53"/>
      <c r="J106" s="53"/>
      <c r="K106" s="53"/>
      <c r="L106" s="53"/>
      <c r="M106" s="53"/>
    </row>
    <row r="107" spans="1:13" ht="31.5" x14ac:dyDescent="0.25">
      <c r="A107" s="53"/>
      <c r="B107" s="417" t="s">
        <v>85</v>
      </c>
      <c r="C107" s="66"/>
      <c r="D107" s="418" t="s">
        <v>86</v>
      </c>
      <c r="E107" s="418"/>
      <c r="F107" s="418" t="s">
        <v>76</v>
      </c>
      <c r="G107" s="419"/>
      <c r="H107" s="53"/>
      <c r="I107" s="53"/>
      <c r="J107" s="53"/>
      <c r="K107" s="53"/>
      <c r="L107" s="53"/>
      <c r="M107" s="53"/>
    </row>
    <row r="108" spans="1:13" ht="15.75" x14ac:dyDescent="0.25">
      <c r="A108" s="53"/>
      <c r="B108" s="417"/>
      <c r="C108" s="66"/>
      <c r="D108" s="418"/>
      <c r="E108" s="418"/>
      <c r="F108" s="418"/>
      <c r="G108" s="419"/>
      <c r="H108" s="53"/>
      <c r="I108" s="53"/>
      <c r="J108" s="53"/>
      <c r="K108" s="53"/>
      <c r="L108" s="53"/>
      <c r="M108" s="53"/>
    </row>
    <row r="109" spans="1:13" ht="15.75" x14ac:dyDescent="0.25">
      <c r="A109" s="53"/>
      <c r="B109" s="417" t="s">
        <v>87</v>
      </c>
      <c r="C109" s="66"/>
      <c r="D109" s="418" t="s">
        <v>88</v>
      </c>
      <c r="E109" s="418"/>
      <c r="F109" s="418" t="s">
        <v>76</v>
      </c>
      <c r="G109" s="419"/>
      <c r="H109" s="53"/>
      <c r="I109" s="53"/>
      <c r="J109" s="53"/>
      <c r="K109" s="53"/>
      <c r="L109" s="53"/>
      <c r="M109" s="53"/>
    </row>
    <row r="110" spans="1:13" ht="15.75" x14ac:dyDescent="0.25">
      <c r="A110" s="53"/>
      <c r="B110" s="417"/>
      <c r="C110" s="66"/>
      <c r="D110" s="418"/>
      <c r="E110" s="418"/>
      <c r="F110" s="418"/>
      <c r="G110" s="419"/>
      <c r="H110" s="53"/>
      <c r="I110" s="53"/>
      <c r="J110" s="53"/>
      <c r="K110" s="53"/>
      <c r="L110" s="53"/>
      <c r="M110" s="53"/>
    </row>
    <row r="111" spans="1:13" ht="15.75" x14ac:dyDescent="0.25">
      <c r="A111" s="53"/>
      <c r="B111" s="417" t="s">
        <v>89</v>
      </c>
      <c r="C111" s="57"/>
      <c r="D111" s="418" t="s">
        <v>90</v>
      </c>
      <c r="E111" s="418"/>
      <c r="F111" s="418" t="s">
        <v>91</v>
      </c>
      <c r="G111" s="416"/>
      <c r="H111" s="53"/>
      <c r="I111" s="53"/>
      <c r="J111" s="53"/>
      <c r="K111" s="53"/>
      <c r="L111" s="53"/>
      <c r="M111" s="53"/>
    </row>
    <row r="112" spans="1:13" ht="16.5" thickBot="1" x14ac:dyDescent="0.3">
      <c r="A112" s="53"/>
      <c r="B112" s="423"/>
      <c r="C112" s="424"/>
      <c r="D112" s="425"/>
      <c r="E112" s="425"/>
      <c r="F112" s="425"/>
      <c r="G112" s="426"/>
      <c r="H112" s="53"/>
      <c r="I112" s="53"/>
      <c r="J112" s="53"/>
      <c r="K112" s="53"/>
      <c r="L112" s="53"/>
      <c r="M112" s="53"/>
    </row>
    <row r="113" spans="1:13" ht="15.75" x14ac:dyDescent="0.25">
      <c r="A113" s="53"/>
      <c r="B113" s="53"/>
      <c r="C113" s="53"/>
      <c r="D113" s="53"/>
      <c r="E113" s="53"/>
      <c r="F113" s="53"/>
      <c r="G113" s="53"/>
      <c r="H113" s="53"/>
      <c r="I113" s="53"/>
      <c r="J113" s="53"/>
      <c r="K113" s="53"/>
      <c r="L113" s="53"/>
      <c r="M113" s="53"/>
    </row>
    <row r="114" spans="1:13" ht="15.75" x14ac:dyDescent="0.25">
      <c r="A114" s="53"/>
      <c r="B114" s="53"/>
      <c r="C114" s="53"/>
      <c r="D114" s="53"/>
      <c r="E114" s="53"/>
      <c r="F114" s="53"/>
      <c r="G114" s="53"/>
      <c r="H114" s="53"/>
      <c r="I114" s="53"/>
      <c r="J114" s="53"/>
      <c r="K114" s="53"/>
      <c r="L114" s="53"/>
      <c r="M114" s="53"/>
    </row>
    <row r="115" spans="1:13" ht="15.75" x14ac:dyDescent="0.25">
      <c r="A115" s="53"/>
      <c r="B115" s="53"/>
      <c r="C115" s="53"/>
      <c r="D115" s="53"/>
      <c r="E115" s="53"/>
      <c r="F115" s="53"/>
      <c r="G115" s="53"/>
      <c r="H115" s="53"/>
      <c r="I115" s="53"/>
      <c r="J115" s="53"/>
      <c r="K115" s="53"/>
      <c r="L115" s="53"/>
      <c r="M115" s="53"/>
    </row>
    <row r="116" spans="1:13" ht="15.75" x14ac:dyDescent="0.25">
      <c r="A116" s="53"/>
      <c r="B116" s="53"/>
      <c r="C116" s="53"/>
      <c r="D116" s="53"/>
      <c r="E116" s="53"/>
      <c r="F116" s="53"/>
      <c r="G116" s="53"/>
      <c r="H116" s="53"/>
      <c r="I116" s="53"/>
      <c r="J116" s="53"/>
      <c r="K116" s="53"/>
      <c r="L116" s="53"/>
      <c r="M116" s="53"/>
    </row>
    <row r="117" spans="1:13" ht="15.75" x14ac:dyDescent="0.25">
      <c r="A117" s="53"/>
      <c r="B117" s="53"/>
      <c r="C117" s="53"/>
      <c r="D117" s="53"/>
      <c r="E117" s="53"/>
      <c r="F117" s="53"/>
      <c r="G117" s="53"/>
      <c r="H117" s="53"/>
      <c r="I117" s="53"/>
      <c r="J117" s="53"/>
      <c r="K117" s="53"/>
      <c r="L117" s="53"/>
      <c r="M117" s="53"/>
    </row>
    <row r="118" spans="1:13" ht="15.75" x14ac:dyDescent="0.25">
      <c r="A118" s="53"/>
      <c r="B118" s="53"/>
      <c r="C118" s="53"/>
      <c r="D118" s="53"/>
      <c r="E118" s="53"/>
      <c r="F118" s="53"/>
      <c r="G118" s="53"/>
      <c r="H118" s="53"/>
      <c r="I118" s="53"/>
      <c r="J118" s="53"/>
      <c r="K118" s="53"/>
      <c r="L118" s="53"/>
      <c r="M118" s="53"/>
    </row>
    <row r="119" spans="1:13" ht="15.75" x14ac:dyDescent="0.25">
      <c r="A119" s="53"/>
      <c r="B119" s="53"/>
      <c r="C119" s="53"/>
      <c r="D119" s="53"/>
      <c r="E119" s="53"/>
      <c r="F119" s="53"/>
      <c r="G119" s="53"/>
      <c r="H119" s="53"/>
      <c r="I119" s="53"/>
      <c r="J119" s="53"/>
      <c r="K119" s="53"/>
      <c r="L119" s="53"/>
      <c r="M119" s="53"/>
    </row>
    <row r="120" spans="1:13" ht="15.75" x14ac:dyDescent="0.25">
      <c r="A120" s="53"/>
      <c r="B120" s="53"/>
      <c r="C120" s="53"/>
      <c r="D120" s="53"/>
      <c r="E120" s="53"/>
      <c r="F120" s="53"/>
      <c r="G120" s="53"/>
      <c r="H120" s="53"/>
      <c r="I120" s="53"/>
      <c r="J120" s="53"/>
      <c r="K120" s="53"/>
      <c r="L120" s="53"/>
      <c r="M120" s="53"/>
    </row>
    <row r="121" spans="1:13" ht="15.75" x14ac:dyDescent="0.25">
      <c r="A121" s="56"/>
      <c r="B121" s="56"/>
      <c r="C121" s="56"/>
      <c r="D121" s="56"/>
      <c r="E121" s="56"/>
      <c r="F121" s="56"/>
      <c r="G121" s="56"/>
      <c r="H121" s="56"/>
      <c r="I121" s="56"/>
      <c r="J121" s="56"/>
      <c r="K121" s="56"/>
      <c r="L121" s="56"/>
      <c r="M121" s="56"/>
    </row>
    <row r="122" spans="1:13" ht="15.75" x14ac:dyDescent="0.25">
      <c r="A122" s="56"/>
      <c r="B122" s="56"/>
      <c r="C122" s="56"/>
      <c r="D122" s="56"/>
      <c r="E122" s="56"/>
      <c r="F122" s="56"/>
      <c r="G122" s="56"/>
      <c r="H122" s="56"/>
      <c r="I122" s="56"/>
      <c r="J122" s="56"/>
      <c r="K122" s="56"/>
      <c r="L122" s="56"/>
      <c r="M122" s="56"/>
    </row>
  </sheetData>
  <customSheetViews>
    <customSheetView guid="{5F9ED89D-ECFA-4459-A055-6360C65F3370}" scale="85" fitToPage="1" hiddenRows="1" hiddenColumns="1">
      <selection activeCell="D11" sqref="D11"/>
      <pageMargins left="0" right="0" top="0" bottom="0" header="0" footer="0"/>
      <pageSetup paperSize="9" scale="61" orientation="portrait" r:id="rId1"/>
      <headerFooter>
        <oddFooter>&amp;CDRAFT - FOR DISCUSSION PURPOSES ONLY</oddFooter>
      </headerFooter>
    </customSheetView>
  </customSheetViews>
  <mergeCells count="5">
    <mergeCell ref="A12:H12"/>
    <mergeCell ref="A14:H14"/>
    <mergeCell ref="A16:H16"/>
    <mergeCell ref="A22:J22"/>
    <mergeCell ref="A26:L26"/>
  </mergeCells>
  <conditionalFormatting sqref="F45">
    <cfRule type="cellIs" dxfId="843" priority="7" operator="equal">
      <formula>"May be incomplete"</formula>
    </cfRule>
    <cfRule type="cellIs" dxfId="842" priority="8" operator="equal">
      <formula>"N/A"</formula>
    </cfRule>
    <cfRule type="cellIs" dxfId="841" priority="9" operator="equal">
      <formula>"Complete"</formula>
    </cfRule>
    <cfRule type="cellIs" dxfId="840" priority="10" operator="equal">
      <formula>"Incomplete"</formula>
    </cfRule>
  </conditionalFormatting>
  <dataValidations disablePrompts="1" count="2">
    <dataValidation allowBlank="1" showInputMessage="1" showErrorMessage="1" prompt="Cells with an asterisk show explanatory text when clicked. Yellow input cells may also show explanatory text when clicked." sqref="F42" xr:uid="{00000000-0002-0000-0200-000000000000}"/>
    <dataValidation allowBlank="1" showInputMessage="1" showErrorMessage="1" prompt="May show explanatory text when clicked" sqref="F32" xr:uid="{00000000-0002-0000-0200-000001000000}"/>
  </dataValidations>
  <pageMargins left="0.70866141732283472" right="0.70866141732283472" top="0.74803149606299213" bottom="0.74803149606299213" header="0.31496062992125984" footer="0.31496062992125984"/>
  <pageSetup paperSize="9" scale="45"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A1:WQG123"/>
  <sheetViews>
    <sheetView topLeftCell="A11" workbookViewId="0">
      <selection activeCell="D28" sqref="D28"/>
    </sheetView>
  </sheetViews>
  <sheetFormatPr defaultColWidth="0" defaultRowHeight="14.25" zeroHeight="1" x14ac:dyDescent="0.2"/>
  <cols>
    <col min="1" max="3" width="2.125" customWidth="1"/>
    <col min="4" max="4" width="46.5" customWidth="1"/>
    <col min="5" max="5" width="2.375" customWidth="1"/>
    <col min="6" max="6" width="23.5" customWidth="1"/>
    <col min="7" max="7" width="2.125" customWidth="1"/>
    <col min="8" max="8" width="23.5" customWidth="1"/>
    <col min="9" max="9" width="2.5" customWidth="1"/>
    <col min="10" max="10" width="22.625" customWidth="1"/>
    <col min="11" max="11" width="2.625" customWidth="1"/>
    <col min="12" max="12" width="70.125" customWidth="1"/>
    <col min="13" max="13" width="1.375" customWidth="1"/>
    <col min="14" max="15" width="8.375" customWidth="1"/>
    <col min="16" max="16" width="10.375" customWidth="1"/>
    <col min="17" max="17" width="8.375" hidden="1"/>
    <col min="18" max="18" width="11.625" hidden="1"/>
    <col min="19" max="105" width="8.125" hidden="1"/>
    <col min="106" max="106" width="2.625" hidden="1"/>
    <col min="107" max="107" width="10.125" hidden="1"/>
    <col min="108" max="108" width="3.125" hidden="1"/>
    <col min="109" max="109" width="12.625" hidden="1"/>
    <col min="110" max="122" width="8.125" hidden="1"/>
    <col min="123" max="123" width="2.625" hidden="1"/>
    <col min="124" max="124" width="12.375" hidden="1"/>
    <col min="125" max="125" width="3.375" hidden="1"/>
    <col min="126" max="361" width="8.125" hidden="1"/>
    <col min="362" max="362" width="2.625" hidden="1"/>
    <col min="363" max="363" width="10.125" hidden="1"/>
    <col min="364" max="364" width="3.125" hidden="1"/>
    <col min="365" max="365" width="12.625" hidden="1"/>
    <col min="366" max="378" width="8.125" hidden="1"/>
    <col min="379" max="379" width="2.625" hidden="1"/>
    <col min="380" max="380" width="12.375" hidden="1"/>
    <col min="381" max="381" width="3.375" hidden="1"/>
    <col min="382" max="617" width="8.125" hidden="1"/>
    <col min="618" max="618" width="2.625" hidden="1"/>
    <col min="619" max="619" width="10.125" hidden="1"/>
    <col min="620" max="620" width="3.125" hidden="1"/>
    <col min="621" max="621" width="12.625" hidden="1"/>
    <col min="622" max="634" width="8.125" hidden="1"/>
    <col min="635" max="635" width="2.625" hidden="1"/>
    <col min="636" max="636" width="12.375" hidden="1"/>
    <col min="637" max="637" width="3.375" hidden="1"/>
    <col min="638" max="873" width="8.125" hidden="1"/>
    <col min="874" max="874" width="2.625" hidden="1"/>
    <col min="875" max="875" width="10.125" hidden="1"/>
    <col min="876" max="876" width="3.125" hidden="1"/>
    <col min="877" max="877" width="12.625" hidden="1"/>
    <col min="878" max="890" width="8.125" hidden="1"/>
    <col min="891" max="891" width="2.625" hidden="1"/>
    <col min="892" max="892" width="12.375" hidden="1"/>
    <col min="893" max="893" width="3.375" hidden="1"/>
    <col min="894" max="1129" width="8.125" hidden="1"/>
    <col min="1130" max="1130" width="2.625" hidden="1"/>
    <col min="1131" max="1131" width="10.125" hidden="1"/>
    <col min="1132" max="1132" width="3.125" hidden="1"/>
    <col min="1133" max="1133" width="12.625" hidden="1"/>
    <col min="1134" max="1146" width="8.125" hidden="1"/>
    <col min="1147" max="1147" width="2.625" hidden="1"/>
    <col min="1148" max="1148" width="12.375" hidden="1"/>
    <col min="1149" max="1149" width="3.375" hidden="1"/>
    <col min="1150" max="1385" width="8.125" hidden="1"/>
    <col min="1386" max="1386" width="2.625" hidden="1"/>
    <col min="1387" max="1387" width="10.125" hidden="1"/>
    <col min="1388" max="1388" width="3.125" hidden="1"/>
    <col min="1389" max="1389" width="12.625" hidden="1"/>
    <col min="1390" max="1402" width="8.125" hidden="1"/>
    <col min="1403" max="1403" width="2.625" hidden="1"/>
    <col min="1404" max="1404" width="12.375" hidden="1"/>
    <col min="1405" max="1405" width="3.375" hidden="1"/>
    <col min="1406" max="1641" width="8.125" hidden="1"/>
    <col min="1642" max="1642" width="2.625" hidden="1"/>
    <col min="1643" max="1643" width="10.125" hidden="1"/>
    <col min="1644" max="1644" width="3.125" hidden="1"/>
    <col min="1645" max="1645" width="12.625" hidden="1"/>
    <col min="1646" max="1658" width="8.125" hidden="1"/>
    <col min="1659" max="1659" width="2.625" hidden="1"/>
    <col min="1660" max="1660" width="12.375" hidden="1"/>
    <col min="1661" max="1661" width="3.375" hidden="1"/>
    <col min="1662" max="1897" width="8.125" hidden="1"/>
    <col min="1898" max="1898" width="2.625" hidden="1"/>
    <col min="1899" max="1899" width="10.125" hidden="1"/>
    <col min="1900" max="1900" width="3.125" hidden="1"/>
    <col min="1901" max="1901" width="12.625" hidden="1"/>
    <col min="1902" max="1914" width="8.125" hidden="1"/>
    <col min="1915" max="1915" width="2.625" hidden="1"/>
    <col min="1916" max="1916" width="12.375" hidden="1"/>
    <col min="1917" max="1917" width="3.375" hidden="1"/>
    <col min="1918" max="2153" width="8.125" hidden="1"/>
    <col min="2154" max="2154" width="2.625" hidden="1"/>
    <col min="2155" max="2155" width="10.125" hidden="1"/>
    <col min="2156" max="2156" width="3.125" hidden="1"/>
    <col min="2157" max="2157" width="12.625" hidden="1"/>
    <col min="2158" max="2170" width="8.125" hidden="1"/>
    <col min="2171" max="2171" width="2.625" hidden="1"/>
    <col min="2172" max="2172" width="12.375" hidden="1"/>
    <col min="2173" max="2173" width="3.375" hidden="1"/>
    <col min="2174" max="2409" width="8.125" hidden="1"/>
    <col min="2410" max="2410" width="2.625" hidden="1"/>
    <col min="2411" max="2411" width="10.125" hidden="1"/>
    <col min="2412" max="2412" width="3.125" hidden="1"/>
    <col min="2413" max="2413" width="12.625" hidden="1"/>
    <col min="2414" max="2426" width="8.125" hidden="1"/>
    <col min="2427" max="2427" width="2.625" hidden="1"/>
    <col min="2428" max="2428" width="12.375" hidden="1"/>
    <col min="2429" max="2429" width="3.375" hidden="1"/>
    <col min="2430" max="2665" width="8.125" hidden="1"/>
    <col min="2666" max="2666" width="2.625" hidden="1"/>
    <col min="2667" max="2667" width="10.125" hidden="1"/>
    <col min="2668" max="2668" width="3.125" hidden="1"/>
    <col min="2669" max="2669" width="12.625" hidden="1"/>
    <col min="2670" max="2682" width="8.125" hidden="1"/>
    <col min="2683" max="2683" width="2.625" hidden="1"/>
    <col min="2684" max="2684" width="12.375" hidden="1"/>
    <col min="2685" max="2685" width="3.375" hidden="1"/>
    <col min="2686" max="2921" width="8.125" hidden="1"/>
    <col min="2922" max="2922" width="2.625" hidden="1"/>
    <col min="2923" max="2923" width="10.125" hidden="1"/>
    <col min="2924" max="2924" width="3.125" hidden="1"/>
    <col min="2925" max="2925" width="12.625" hidden="1"/>
    <col min="2926" max="2938" width="8.125" hidden="1"/>
    <col min="2939" max="2939" width="2.625" hidden="1"/>
    <col min="2940" max="2940" width="12.375" hidden="1"/>
    <col min="2941" max="2941" width="3.375" hidden="1"/>
    <col min="2942" max="3177" width="8.125" hidden="1"/>
    <col min="3178" max="3178" width="2.625" hidden="1"/>
    <col min="3179" max="3179" width="10.125" hidden="1"/>
    <col min="3180" max="3180" width="3.125" hidden="1"/>
    <col min="3181" max="3181" width="12.625" hidden="1"/>
    <col min="3182" max="3194" width="8.125" hidden="1"/>
    <col min="3195" max="3195" width="2.625" hidden="1"/>
    <col min="3196" max="3196" width="12.375" hidden="1"/>
    <col min="3197" max="3197" width="3.375" hidden="1"/>
    <col min="3198" max="3433" width="8.125" hidden="1"/>
    <col min="3434" max="3434" width="2.625" hidden="1"/>
    <col min="3435" max="3435" width="10.125" hidden="1"/>
    <col min="3436" max="3436" width="3.125" hidden="1"/>
    <col min="3437" max="3437" width="12.625" hidden="1"/>
    <col min="3438" max="3450" width="8.125" hidden="1"/>
    <col min="3451" max="3451" width="2.625" hidden="1"/>
    <col min="3452" max="3452" width="12.375" hidden="1"/>
    <col min="3453" max="3453" width="3.375" hidden="1"/>
    <col min="3454" max="3689" width="8.125" hidden="1"/>
    <col min="3690" max="3690" width="2.625" hidden="1"/>
    <col min="3691" max="3691" width="10.125" hidden="1"/>
    <col min="3692" max="3692" width="3.125" hidden="1"/>
    <col min="3693" max="3693" width="12.625" hidden="1"/>
    <col min="3694" max="3706" width="8.125" hidden="1"/>
    <col min="3707" max="3707" width="2.625" hidden="1"/>
    <col min="3708" max="3708" width="12.375" hidden="1"/>
    <col min="3709" max="3709" width="3.375" hidden="1"/>
    <col min="3710" max="3945" width="8.125" hidden="1"/>
    <col min="3946" max="3946" width="2.625" hidden="1"/>
    <col min="3947" max="3947" width="10.125" hidden="1"/>
    <col min="3948" max="3948" width="3.125" hidden="1"/>
    <col min="3949" max="3949" width="12.625" hidden="1"/>
    <col min="3950" max="3962" width="8.125" hidden="1"/>
    <col min="3963" max="3963" width="2.625" hidden="1"/>
    <col min="3964" max="3964" width="12.375" hidden="1"/>
    <col min="3965" max="3965" width="3.375" hidden="1"/>
    <col min="3966" max="4201" width="8.125" hidden="1"/>
    <col min="4202" max="4202" width="2.625" hidden="1"/>
    <col min="4203" max="4203" width="10.125" hidden="1"/>
    <col min="4204" max="4204" width="3.125" hidden="1"/>
    <col min="4205" max="4205" width="12.625" hidden="1"/>
    <col min="4206" max="4218" width="8.125" hidden="1"/>
    <col min="4219" max="4219" width="2.625" hidden="1"/>
    <col min="4220" max="4220" width="12.375" hidden="1"/>
    <col min="4221" max="4221" width="3.375" hidden="1"/>
    <col min="4222" max="4457" width="8.125" hidden="1"/>
    <col min="4458" max="4458" width="2.625" hidden="1"/>
    <col min="4459" max="4459" width="10.125" hidden="1"/>
    <col min="4460" max="4460" width="3.125" hidden="1"/>
    <col min="4461" max="4461" width="12.625" hidden="1"/>
    <col min="4462" max="4474" width="8.125" hidden="1"/>
    <col min="4475" max="4475" width="2.625" hidden="1"/>
    <col min="4476" max="4476" width="12.375" hidden="1"/>
    <col min="4477" max="4477" width="3.375" hidden="1"/>
    <col min="4478" max="4713" width="8.125" hidden="1"/>
    <col min="4714" max="4714" width="2.625" hidden="1"/>
    <col min="4715" max="4715" width="10.125" hidden="1"/>
    <col min="4716" max="4716" width="3.125" hidden="1"/>
    <col min="4717" max="4717" width="12.625" hidden="1"/>
    <col min="4718" max="4730" width="8.125" hidden="1"/>
    <col min="4731" max="4731" width="2.625" hidden="1"/>
    <col min="4732" max="4732" width="12.375" hidden="1"/>
    <col min="4733" max="4733" width="3.375" hidden="1"/>
    <col min="4734" max="4969" width="8.125" hidden="1"/>
    <col min="4970" max="4970" width="2.625" hidden="1"/>
    <col min="4971" max="4971" width="10.125" hidden="1"/>
    <col min="4972" max="4972" width="3.125" hidden="1"/>
    <col min="4973" max="4973" width="12.625" hidden="1"/>
    <col min="4974" max="4986" width="8.125" hidden="1"/>
    <col min="4987" max="4987" width="2.625" hidden="1"/>
    <col min="4988" max="4988" width="12.375" hidden="1"/>
    <col min="4989" max="4989" width="3.375" hidden="1"/>
    <col min="4990" max="5225" width="8.125" hidden="1"/>
    <col min="5226" max="5226" width="2.625" hidden="1"/>
    <col min="5227" max="5227" width="10.125" hidden="1"/>
    <col min="5228" max="5228" width="3.125" hidden="1"/>
    <col min="5229" max="5229" width="12.625" hidden="1"/>
    <col min="5230" max="5242" width="8.125" hidden="1"/>
    <col min="5243" max="5243" width="2.625" hidden="1"/>
    <col min="5244" max="5244" width="12.375" hidden="1"/>
    <col min="5245" max="5245" width="3.375" hidden="1"/>
    <col min="5246" max="5481" width="8.125" hidden="1"/>
    <col min="5482" max="5482" width="2.625" hidden="1"/>
    <col min="5483" max="5483" width="10.125" hidden="1"/>
    <col min="5484" max="5484" width="3.125" hidden="1"/>
    <col min="5485" max="5485" width="12.625" hidden="1"/>
    <col min="5486" max="5498" width="8.125" hidden="1"/>
    <col min="5499" max="5499" width="2.625" hidden="1"/>
    <col min="5500" max="5500" width="12.375" hidden="1"/>
    <col min="5501" max="5501" width="3.375" hidden="1"/>
    <col min="5502" max="5737" width="8.125" hidden="1"/>
    <col min="5738" max="5738" width="2.625" hidden="1"/>
    <col min="5739" max="5739" width="10.125" hidden="1"/>
    <col min="5740" max="5740" width="3.125" hidden="1"/>
    <col min="5741" max="5741" width="12.625" hidden="1"/>
    <col min="5742" max="5754" width="8.125" hidden="1"/>
    <col min="5755" max="5755" width="2.625" hidden="1"/>
    <col min="5756" max="5756" width="12.375" hidden="1"/>
    <col min="5757" max="5757" width="3.375" hidden="1"/>
    <col min="5758" max="5993" width="8.125" hidden="1"/>
    <col min="5994" max="5994" width="2.625" hidden="1"/>
    <col min="5995" max="5995" width="10.125" hidden="1"/>
    <col min="5996" max="5996" width="3.125" hidden="1"/>
    <col min="5997" max="5997" width="12.625" hidden="1"/>
    <col min="5998" max="6010" width="8.125" hidden="1"/>
    <col min="6011" max="6011" width="2.625" hidden="1"/>
    <col min="6012" max="6012" width="12.375" hidden="1"/>
    <col min="6013" max="6013" width="3.375" hidden="1"/>
    <col min="6014" max="6249" width="8.125" hidden="1"/>
    <col min="6250" max="6250" width="2.625" hidden="1"/>
    <col min="6251" max="6251" width="10.125" hidden="1"/>
    <col min="6252" max="6252" width="3.125" hidden="1"/>
    <col min="6253" max="6253" width="12.625" hidden="1"/>
    <col min="6254" max="6266" width="8.125" hidden="1"/>
    <col min="6267" max="6267" width="2.625" hidden="1"/>
    <col min="6268" max="6268" width="12.375" hidden="1"/>
    <col min="6269" max="6269" width="3.375" hidden="1"/>
    <col min="6270" max="6505" width="8.125" hidden="1"/>
    <col min="6506" max="6506" width="2.625" hidden="1"/>
    <col min="6507" max="6507" width="10.125" hidden="1"/>
    <col min="6508" max="6508" width="3.125" hidden="1"/>
    <col min="6509" max="6509" width="12.625" hidden="1"/>
    <col min="6510" max="6522" width="8.125" hidden="1"/>
    <col min="6523" max="6523" width="2.625" hidden="1"/>
    <col min="6524" max="6524" width="12.375" hidden="1"/>
    <col min="6525" max="6525" width="3.375" hidden="1"/>
    <col min="6526" max="6761" width="8.125" hidden="1"/>
    <col min="6762" max="6762" width="2.625" hidden="1"/>
    <col min="6763" max="6763" width="10.125" hidden="1"/>
    <col min="6764" max="6764" width="3.125" hidden="1"/>
    <col min="6765" max="6765" width="12.625" hidden="1"/>
    <col min="6766" max="6778" width="8.125" hidden="1"/>
    <col min="6779" max="6779" width="2.625" hidden="1"/>
    <col min="6780" max="6780" width="12.375" hidden="1"/>
    <col min="6781" max="6781" width="3.375" hidden="1"/>
    <col min="6782" max="7017" width="8.125" hidden="1"/>
    <col min="7018" max="7018" width="2.625" hidden="1"/>
    <col min="7019" max="7019" width="10.125" hidden="1"/>
    <col min="7020" max="7020" width="3.125" hidden="1"/>
    <col min="7021" max="7021" width="12.625" hidden="1"/>
    <col min="7022" max="7034" width="8.125" hidden="1"/>
    <col min="7035" max="7035" width="2.625" hidden="1"/>
    <col min="7036" max="7036" width="12.375" hidden="1"/>
    <col min="7037" max="7037" width="3.375" hidden="1"/>
    <col min="7038" max="7273" width="8.125" hidden="1"/>
    <col min="7274" max="7274" width="2.625" hidden="1"/>
    <col min="7275" max="7275" width="10.125" hidden="1"/>
    <col min="7276" max="7276" width="3.125" hidden="1"/>
    <col min="7277" max="7277" width="12.625" hidden="1"/>
    <col min="7278" max="7290" width="8.125" hidden="1"/>
    <col min="7291" max="7291" width="2.625" hidden="1"/>
    <col min="7292" max="7292" width="12.375" hidden="1"/>
    <col min="7293" max="7293" width="3.375" hidden="1"/>
    <col min="7294" max="7529" width="8.125" hidden="1"/>
    <col min="7530" max="7530" width="2.625" hidden="1"/>
    <col min="7531" max="7531" width="10.125" hidden="1"/>
    <col min="7532" max="7532" width="3.125" hidden="1"/>
    <col min="7533" max="7533" width="12.625" hidden="1"/>
    <col min="7534" max="7546" width="8.125" hidden="1"/>
    <col min="7547" max="7547" width="2.625" hidden="1"/>
    <col min="7548" max="7548" width="12.375" hidden="1"/>
    <col min="7549" max="7549" width="3.375" hidden="1"/>
    <col min="7550" max="7785" width="8.125" hidden="1"/>
    <col min="7786" max="7786" width="2.625" hidden="1"/>
    <col min="7787" max="7787" width="10.125" hidden="1"/>
    <col min="7788" max="7788" width="3.125" hidden="1"/>
    <col min="7789" max="7789" width="12.625" hidden="1"/>
    <col min="7790" max="7802" width="8.125" hidden="1"/>
    <col min="7803" max="7803" width="2.625" hidden="1"/>
    <col min="7804" max="7804" width="12.375" hidden="1"/>
    <col min="7805" max="7805" width="3.375" hidden="1"/>
    <col min="7806" max="8041" width="8.125" hidden="1"/>
    <col min="8042" max="8042" width="2.625" hidden="1"/>
    <col min="8043" max="8043" width="10.125" hidden="1"/>
    <col min="8044" max="8044" width="3.125" hidden="1"/>
    <col min="8045" max="8045" width="12.625" hidden="1"/>
    <col min="8046" max="8058" width="8.125" hidden="1"/>
    <col min="8059" max="8059" width="2.625" hidden="1"/>
    <col min="8060" max="8060" width="12.375" hidden="1"/>
    <col min="8061" max="8061" width="3.375" hidden="1"/>
    <col min="8062" max="8297" width="8.125" hidden="1"/>
    <col min="8298" max="8298" width="2.625" hidden="1"/>
    <col min="8299" max="8299" width="10.125" hidden="1"/>
    <col min="8300" max="8300" width="3.125" hidden="1"/>
    <col min="8301" max="8301" width="12.625" hidden="1"/>
    <col min="8302" max="8314" width="8.125" hidden="1"/>
    <col min="8315" max="8315" width="2.625" hidden="1"/>
    <col min="8316" max="8316" width="12.375" hidden="1"/>
    <col min="8317" max="8317" width="3.375" hidden="1"/>
    <col min="8318" max="8553" width="8.125" hidden="1"/>
    <col min="8554" max="8554" width="2.625" hidden="1"/>
    <col min="8555" max="8555" width="10.125" hidden="1"/>
    <col min="8556" max="8556" width="3.125" hidden="1"/>
    <col min="8557" max="8557" width="12.625" hidden="1"/>
    <col min="8558" max="8570" width="8.125" hidden="1"/>
    <col min="8571" max="8571" width="2.625" hidden="1"/>
    <col min="8572" max="8572" width="12.375" hidden="1"/>
    <col min="8573" max="8573" width="3.375" hidden="1"/>
    <col min="8574" max="8809" width="8.125" hidden="1"/>
    <col min="8810" max="8810" width="2.625" hidden="1"/>
    <col min="8811" max="8811" width="10.125" hidden="1"/>
    <col min="8812" max="8812" width="3.125" hidden="1"/>
    <col min="8813" max="8813" width="12.625" hidden="1"/>
    <col min="8814" max="8826" width="8.125" hidden="1"/>
    <col min="8827" max="8827" width="2.625" hidden="1"/>
    <col min="8828" max="8828" width="12.375" hidden="1"/>
    <col min="8829" max="8829" width="3.375" hidden="1"/>
    <col min="8830" max="9065" width="8.125" hidden="1"/>
    <col min="9066" max="9066" width="2.625" hidden="1"/>
    <col min="9067" max="9067" width="10.125" hidden="1"/>
    <col min="9068" max="9068" width="3.125" hidden="1"/>
    <col min="9069" max="9069" width="12.625" hidden="1"/>
    <col min="9070" max="9082" width="8.125" hidden="1"/>
    <col min="9083" max="9083" width="2.625" hidden="1"/>
    <col min="9084" max="9084" width="12.375" hidden="1"/>
    <col min="9085" max="9085" width="3.375" hidden="1"/>
    <col min="9086" max="9321" width="8.125" hidden="1"/>
    <col min="9322" max="9322" width="2.625" hidden="1"/>
    <col min="9323" max="9323" width="10.125" hidden="1"/>
    <col min="9324" max="9324" width="3.125" hidden="1"/>
    <col min="9325" max="9325" width="12.625" hidden="1"/>
    <col min="9326" max="9338" width="8.125" hidden="1"/>
    <col min="9339" max="9339" width="2.625" hidden="1"/>
    <col min="9340" max="9340" width="12.375" hidden="1"/>
    <col min="9341" max="9341" width="3.375" hidden="1"/>
    <col min="9342" max="9577" width="8.125" hidden="1"/>
    <col min="9578" max="9578" width="2.625" hidden="1"/>
    <col min="9579" max="9579" width="10.125" hidden="1"/>
    <col min="9580" max="9580" width="3.125" hidden="1"/>
    <col min="9581" max="9581" width="12.625" hidden="1"/>
    <col min="9582" max="9594" width="8.125" hidden="1"/>
    <col min="9595" max="9595" width="2.625" hidden="1"/>
    <col min="9596" max="9596" width="12.375" hidden="1"/>
    <col min="9597" max="9597" width="3.375" hidden="1"/>
    <col min="9598" max="9833" width="8.125" hidden="1"/>
    <col min="9834" max="9834" width="2.625" hidden="1"/>
    <col min="9835" max="9835" width="10.125" hidden="1"/>
    <col min="9836" max="9836" width="3.125" hidden="1"/>
    <col min="9837" max="9837" width="12.625" hidden="1"/>
    <col min="9838" max="9850" width="8.125" hidden="1"/>
    <col min="9851" max="9851" width="2.625" hidden="1"/>
    <col min="9852" max="9852" width="12.375" hidden="1"/>
    <col min="9853" max="9853" width="3.375" hidden="1"/>
    <col min="9854" max="10089" width="8.125" hidden="1"/>
    <col min="10090" max="10090" width="2.625" hidden="1"/>
    <col min="10091" max="10091" width="10.125" hidden="1"/>
    <col min="10092" max="10092" width="3.125" hidden="1"/>
    <col min="10093" max="10093" width="12.625" hidden="1"/>
    <col min="10094" max="10106" width="8.125" hidden="1"/>
    <col min="10107" max="10107" width="2.625" hidden="1"/>
    <col min="10108" max="10108" width="12.375" hidden="1"/>
    <col min="10109" max="10109" width="3.375" hidden="1"/>
    <col min="10110" max="10345" width="8.125" hidden="1"/>
    <col min="10346" max="10346" width="2.625" hidden="1"/>
    <col min="10347" max="10347" width="10.125" hidden="1"/>
    <col min="10348" max="10348" width="3.125" hidden="1"/>
    <col min="10349" max="10349" width="12.625" hidden="1"/>
    <col min="10350" max="10362" width="8.125" hidden="1"/>
    <col min="10363" max="10363" width="2.625" hidden="1"/>
    <col min="10364" max="10364" width="12.375" hidden="1"/>
    <col min="10365" max="10365" width="3.375" hidden="1"/>
    <col min="10366" max="10601" width="8.125" hidden="1"/>
    <col min="10602" max="10602" width="2.625" hidden="1"/>
    <col min="10603" max="10603" width="10.125" hidden="1"/>
    <col min="10604" max="10604" width="3.125" hidden="1"/>
    <col min="10605" max="10605" width="12.625" hidden="1"/>
    <col min="10606" max="10618" width="8.125" hidden="1"/>
    <col min="10619" max="10619" width="2.625" hidden="1"/>
    <col min="10620" max="10620" width="12.375" hidden="1"/>
    <col min="10621" max="10621" width="3.375" hidden="1"/>
    <col min="10622" max="10857" width="8.125" hidden="1"/>
    <col min="10858" max="10858" width="2.625" hidden="1"/>
    <col min="10859" max="10859" width="10.125" hidden="1"/>
    <col min="10860" max="10860" width="3.125" hidden="1"/>
    <col min="10861" max="10861" width="12.625" hidden="1"/>
    <col min="10862" max="10874" width="8.125" hidden="1"/>
    <col min="10875" max="10875" width="2.625" hidden="1"/>
    <col min="10876" max="10876" width="12.375" hidden="1"/>
    <col min="10877" max="10877" width="3.375" hidden="1"/>
    <col min="10878" max="11113" width="8.125" hidden="1"/>
    <col min="11114" max="11114" width="2.625" hidden="1"/>
    <col min="11115" max="11115" width="10.125" hidden="1"/>
    <col min="11116" max="11116" width="3.125" hidden="1"/>
    <col min="11117" max="11117" width="12.625" hidden="1"/>
    <col min="11118" max="11130" width="8.125" hidden="1"/>
    <col min="11131" max="11131" width="2.625" hidden="1"/>
    <col min="11132" max="11132" width="12.375" hidden="1"/>
    <col min="11133" max="11133" width="3.375" hidden="1"/>
    <col min="11134" max="11369" width="8.125" hidden="1"/>
    <col min="11370" max="11370" width="2.625" hidden="1"/>
    <col min="11371" max="11371" width="10.125" hidden="1"/>
    <col min="11372" max="11372" width="3.125" hidden="1"/>
    <col min="11373" max="11373" width="12.625" hidden="1"/>
    <col min="11374" max="11386" width="8.125" hidden="1"/>
    <col min="11387" max="11387" width="2.625" hidden="1"/>
    <col min="11388" max="11388" width="12.375" hidden="1"/>
    <col min="11389" max="11389" width="3.375" hidden="1"/>
    <col min="11390" max="11625" width="8.125" hidden="1"/>
    <col min="11626" max="11626" width="2.625" hidden="1"/>
    <col min="11627" max="11627" width="10.125" hidden="1"/>
    <col min="11628" max="11628" width="3.125" hidden="1"/>
    <col min="11629" max="11629" width="12.625" hidden="1"/>
    <col min="11630" max="11642" width="8.125" hidden="1"/>
    <col min="11643" max="11643" width="2.625" hidden="1"/>
    <col min="11644" max="11644" width="12.375" hidden="1"/>
    <col min="11645" max="11645" width="3.375" hidden="1"/>
    <col min="11646" max="11881" width="8.125" hidden="1"/>
    <col min="11882" max="11882" width="2.625" hidden="1"/>
    <col min="11883" max="11883" width="10.125" hidden="1"/>
    <col min="11884" max="11884" width="3.125" hidden="1"/>
    <col min="11885" max="11885" width="12.625" hidden="1"/>
    <col min="11886" max="11898" width="8.125" hidden="1"/>
    <col min="11899" max="11899" width="2.625" hidden="1"/>
    <col min="11900" max="11900" width="12.375" hidden="1"/>
    <col min="11901" max="11901" width="3.375" hidden="1"/>
    <col min="11902" max="12137" width="8.125" hidden="1"/>
    <col min="12138" max="12138" width="2.625" hidden="1"/>
    <col min="12139" max="12139" width="10.125" hidden="1"/>
    <col min="12140" max="12140" width="3.125" hidden="1"/>
    <col min="12141" max="12141" width="12.625" hidden="1"/>
    <col min="12142" max="12154" width="8.125" hidden="1"/>
    <col min="12155" max="12155" width="2.625" hidden="1"/>
    <col min="12156" max="12156" width="12.375" hidden="1"/>
    <col min="12157" max="12157" width="3.375" hidden="1"/>
    <col min="12158" max="12393" width="8.125" hidden="1"/>
    <col min="12394" max="12394" width="2.625" hidden="1"/>
    <col min="12395" max="12395" width="10.125" hidden="1"/>
    <col min="12396" max="12396" width="3.125" hidden="1"/>
    <col min="12397" max="12397" width="12.625" hidden="1"/>
    <col min="12398" max="12410" width="8.125" hidden="1"/>
    <col min="12411" max="12411" width="2.625" hidden="1"/>
    <col min="12412" max="12412" width="12.375" hidden="1"/>
    <col min="12413" max="12413" width="3.375" hidden="1"/>
    <col min="12414" max="12649" width="8.125" hidden="1"/>
    <col min="12650" max="12650" width="2.625" hidden="1"/>
    <col min="12651" max="12651" width="10.125" hidden="1"/>
    <col min="12652" max="12652" width="3.125" hidden="1"/>
    <col min="12653" max="12653" width="12.625" hidden="1"/>
    <col min="12654" max="12666" width="8.125" hidden="1"/>
    <col min="12667" max="12667" width="2.625" hidden="1"/>
    <col min="12668" max="12668" width="12.375" hidden="1"/>
    <col min="12669" max="12669" width="3.375" hidden="1"/>
    <col min="12670" max="12905" width="8.125" hidden="1"/>
    <col min="12906" max="12906" width="2.625" hidden="1"/>
    <col min="12907" max="12907" width="10.125" hidden="1"/>
    <col min="12908" max="12908" width="3.125" hidden="1"/>
    <col min="12909" max="12909" width="12.625" hidden="1"/>
    <col min="12910" max="12922" width="8.125" hidden="1"/>
    <col min="12923" max="12923" width="2.625" hidden="1"/>
    <col min="12924" max="12924" width="12.375" hidden="1"/>
    <col min="12925" max="12925" width="3.375" hidden="1"/>
    <col min="12926" max="13161" width="8.125" hidden="1"/>
    <col min="13162" max="13162" width="2.625" hidden="1"/>
    <col min="13163" max="13163" width="10.125" hidden="1"/>
    <col min="13164" max="13164" width="3.125" hidden="1"/>
    <col min="13165" max="13165" width="12.625" hidden="1"/>
    <col min="13166" max="13178" width="8.125" hidden="1"/>
    <col min="13179" max="13179" width="2.625" hidden="1"/>
    <col min="13180" max="13180" width="12.375" hidden="1"/>
    <col min="13181" max="13181" width="3.375" hidden="1"/>
    <col min="13182" max="13417" width="8.125" hidden="1"/>
    <col min="13418" max="13418" width="2.625" hidden="1"/>
    <col min="13419" max="13419" width="10.125" hidden="1"/>
    <col min="13420" max="13420" width="3.125" hidden="1"/>
    <col min="13421" max="13421" width="12.625" hidden="1"/>
    <col min="13422" max="13434" width="8.125" hidden="1"/>
    <col min="13435" max="13435" width="2.625" hidden="1"/>
    <col min="13436" max="13436" width="12.375" hidden="1"/>
    <col min="13437" max="13437" width="3.375" hidden="1"/>
    <col min="13438" max="13673" width="8.125" hidden="1"/>
    <col min="13674" max="13674" width="2.625" hidden="1"/>
    <col min="13675" max="13675" width="10.125" hidden="1"/>
    <col min="13676" max="13676" width="3.125" hidden="1"/>
    <col min="13677" max="13677" width="12.625" hidden="1"/>
    <col min="13678" max="13690" width="8.125" hidden="1"/>
    <col min="13691" max="13691" width="2.625" hidden="1"/>
    <col min="13692" max="13692" width="12.375" hidden="1"/>
    <col min="13693" max="13693" width="3.375" hidden="1"/>
    <col min="13694" max="13929" width="8.125" hidden="1"/>
    <col min="13930" max="13930" width="2.625" hidden="1"/>
    <col min="13931" max="13931" width="10.125" hidden="1"/>
    <col min="13932" max="13932" width="3.125" hidden="1"/>
    <col min="13933" max="13933" width="12.625" hidden="1"/>
    <col min="13934" max="13946" width="8.125" hidden="1"/>
    <col min="13947" max="13947" width="2.625" hidden="1"/>
    <col min="13948" max="13948" width="12.375" hidden="1"/>
    <col min="13949" max="13949" width="3.375" hidden="1"/>
    <col min="13950" max="14185" width="8.125" hidden="1"/>
    <col min="14186" max="14186" width="2.625" hidden="1"/>
    <col min="14187" max="14187" width="10.125" hidden="1"/>
    <col min="14188" max="14188" width="3.125" hidden="1"/>
    <col min="14189" max="14189" width="12.625" hidden="1"/>
    <col min="14190" max="14202" width="8.125" hidden="1"/>
    <col min="14203" max="14203" width="2.625" hidden="1"/>
    <col min="14204" max="14204" width="12.375" hidden="1"/>
    <col min="14205" max="14205" width="3.375" hidden="1"/>
    <col min="14206" max="14441" width="8.125" hidden="1"/>
    <col min="14442" max="14442" width="2.625" hidden="1"/>
    <col min="14443" max="14443" width="10.125" hidden="1"/>
    <col min="14444" max="14444" width="3.125" hidden="1"/>
    <col min="14445" max="14445" width="12.625" hidden="1"/>
    <col min="14446" max="14458" width="8.125" hidden="1"/>
    <col min="14459" max="14459" width="2.625" hidden="1"/>
    <col min="14460" max="14460" width="12.375" hidden="1"/>
    <col min="14461" max="14461" width="3.375" hidden="1"/>
    <col min="14462" max="14697" width="8.125" hidden="1"/>
    <col min="14698" max="14698" width="2.625" hidden="1"/>
    <col min="14699" max="14699" width="10.125" hidden="1"/>
    <col min="14700" max="14700" width="3.125" hidden="1"/>
    <col min="14701" max="14701" width="12.625" hidden="1"/>
    <col min="14702" max="14714" width="8.125" hidden="1"/>
    <col min="14715" max="14715" width="2.625" hidden="1"/>
    <col min="14716" max="14716" width="12.375" hidden="1"/>
    <col min="14717" max="14717" width="3.375" hidden="1"/>
    <col min="14718" max="14953" width="8.125" hidden="1"/>
    <col min="14954" max="14954" width="2.625" hidden="1"/>
    <col min="14955" max="14955" width="10.125" hidden="1"/>
    <col min="14956" max="14956" width="3.125" hidden="1"/>
    <col min="14957" max="14957" width="12.625" hidden="1"/>
    <col min="14958" max="14970" width="8.125" hidden="1"/>
    <col min="14971" max="14971" width="2.625" hidden="1"/>
    <col min="14972" max="14972" width="12.375" hidden="1"/>
    <col min="14973" max="14973" width="3.375" hidden="1"/>
    <col min="14974" max="15209" width="8.125" hidden="1"/>
    <col min="15210" max="15210" width="2.625" hidden="1"/>
    <col min="15211" max="15211" width="10.125" hidden="1"/>
    <col min="15212" max="15212" width="3.125" hidden="1"/>
    <col min="15213" max="15213" width="12.625" hidden="1"/>
    <col min="15214" max="15226" width="8.125" hidden="1"/>
    <col min="15227" max="15227" width="2.625" hidden="1"/>
    <col min="15228" max="15228" width="12.375" hidden="1"/>
    <col min="15229" max="15229" width="3.375" hidden="1"/>
    <col min="15230" max="15465" width="8.125" hidden="1"/>
    <col min="15466" max="15466" width="2.625" hidden="1"/>
    <col min="15467" max="15467" width="10.125" hidden="1"/>
    <col min="15468" max="15468" width="3.125" hidden="1"/>
    <col min="15469" max="15469" width="12.625" hidden="1"/>
    <col min="15470" max="15482" width="8.125" hidden="1"/>
    <col min="15483" max="15483" width="2.625" hidden="1"/>
    <col min="15484" max="15484" width="12.375" hidden="1"/>
    <col min="15485" max="15485" width="3.375" hidden="1"/>
    <col min="15486" max="15721" width="8.125" hidden="1"/>
    <col min="15722" max="15722" width="2.625" hidden="1"/>
    <col min="15723" max="15723" width="10.125" hidden="1"/>
    <col min="15724" max="15724" width="3.125" hidden="1"/>
    <col min="15725" max="15725" width="12.625" hidden="1"/>
    <col min="15726" max="15738" width="8.125" hidden="1"/>
    <col min="15739" max="15739" width="2.625" hidden="1"/>
    <col min="15740" max="15740" width="12.375" hidden="1"/>
    <col min="15741" max="15741" width="3.375" hidden="1"/>
    <col min="15742" max="15977" width="8.125" hidden="1"/>
    <col min="15978" max="15978" width="2.625" hidden="1"/>
    <col min="15979" max="15979" width="10.125" hidden="1"/>
    <col min="15980" max="15980" width="3.125" hidden="1"/>
    <col min="15981" max="15981" width="12.625" hidden="1"/>
    <col min="15982" max="15994" width="8.125" hidden="1"/>
    <col min="15995" max="15995" width="2.625" hidden="1"/>
    <col min="15996" max="15996" width="12.375" hidden="1"/>
    <col min="15997" max="15997" width="3.375" hidden="1"/>
  </cols>
  <sheetData>
    <row r="1" spans="1:16" ht="15.75" x14ac:dyDescent="0.25">
      <c r="A1" s="59">
        <v>1</v>
      </c>
      <c r="B1" s="59"/>
      <c r="C1" s="59"/>
      <c r="D1" s="60"/>
      <c r="E1" s="60"/>
      <c r="F1" s="60"/>
      <c r="G1" s="60"/>
      <c r="H1" s="60"/>
      <c r="I1" s="60"/>
      <c r="J1" s="60"/>
      <c r="K1" s="60"/>
      <c r="L1" s="60"/>
      <c r="M1" s="60"/>
      <c r="N1" s="60"/>
      <c r="O1" s="60"/>
      <c r="P1" s="60"/>
    </row>
    <row r="2" spans="1:16" ht="15.75" x14ac:dyDescent="0.25">
      <c r="A2" s="60"/>
      <c r="B2" s="60"/>
      <c r="C2" s="60"/>
      <c r="D2" s="60"/>
      <c r="E2" s="60"/>
      <c r="F2" s="60"/>
      <c r="G2" s="60"/>
      <c r="H2" s="60"/>
      <c r="I2" s="60"/>
      <c r="J2" s="60"/>
      <c r="K2" s="60"/>
      <c r="L2" s="60"/>
      <c r="M2" s="60"/>
      <c r="N2" s="60"/>
      <c r="O2" s="60"/>
      <c r="P2" s="60"/>
    </row>
    <row r="3" spans="1:16" ht="24.75" customHeight="1" x14ac:dyDescent="0.25">
      <c r="A3" s="447"/>
      <c r="B3" s="447"/>
      <c r="C3" s="447"/>
      <c r="D3" s="447"/>
      <c r="E3" s="447"/>
      <c r="F3" s="447"/>
      <c r="G3" s="447"/>
      <c r="H3" s="447"/>
      <c r="I3" s="447"/>
      <c r="J3" s="447"/>
      <c r="K3" s="447"/>
      <c r="L3" s="447"/>
      <c r="M3" s="447"/>
      <c r="N3" s="447"/>
      <c r="O3" s="447"/>
      <c r="P3" s="447"/>
    </row>
    <row r="4" spans="1:16" ht="18.75" customHeight="1" x14ac:dyDescent="0.25">
      <c r="A4" s="447"/>
      <c r="B4" s="447"/>
      <c r="C4" s="447"/>
      <c r="D4" s="447"/>
      <c r="E4" s="447"/>
      <c r="F4" s="447"/>
      <c r="G4" s="333" t="s">
        <v>1106</v>
      </c>
      <c r="H4" s="447"/>
      <c r="I4" s="447"/>
      <c r="J4" s="447"/>
      <c r="K4" s="447"/>
      <c r="L4" s="447"/>
      <c r="M4" s="447"/>
      <c r="N4" s="447"/>
      <c r="O4" s="447"/>
      <c r="P4" s="447"/>
    </row>
    <row r="5" spans="1:16" ht="15.75" x14ac:dyDescent="0.25">
      <c r="A5" s="447"/>
      <c r="B5" s="447"/>
      <c r="C5" s="447"/>
      <c r="D5" s="447"/>
      <c r="E5" s="447"/>
      <c r="F5" s="447"/>
      <c r="G5" s="447"/>
      <c r="H5" s="447"/>
      <c r="I5" s="447"/>
      <c r="J5" s="447"/>
      <c r="K5" s="447"/>
      <c r="L5" s="447"/>
      <c r="M5" s="447"/>
      <c r="N5" s="447"/>
      <c r="O5" s="447"/>
      <c r="P5" s="447"/>
    </row>
    <row r="6" spans="1:16" ht="15.75" x14ac:dyDescent="0.25">
      <c r="A6" s="447"/>
      <c r="B6" s="427"/>
      <c r="C6" s="427"/>
      <c r="D6" s="53"/>
      <c r="E6" s="768"/>
      <c r="F6" s="769"/>
      <c r="G6" s="447"/>
      <c r="H6" s="447"/>
      <c r="I6" s="447"/>
      <c r="J6" s="447"/>
      <c r="K6" s="447"/>
      <c r="L6" s="447"/>
      <c r="M6" s="447"/>
      <c r="N6" s="447"/>
      <c r="O6" s="447"/>
      <c r="P6" s="447"/>
    </row>
    <row r="7" spans="1:16" ht="16.5" thickBot="1" x14ac:dyDescent="0.3">
      <c r="A7" s="447"/>
      <c r="B7" s="874"/>
      <c r="C7" s="874"/>
      <c r="D7" s="874"/>
      <c r="E7" s="874"/>
      <c r="F7" s="874"/>
      <c r="G7" s="874"/>
      <c r="H7" s="874"/>
      <c r="I7" s="874"/>
      <c r="J7" s="874"/>
      <c r="K7" s="874"/>
      <c r="L7" s="447"/>
      <c r="M7" s="447"/>
      <c r="N7" s="342" t="str">
        <f>IF(COUNTIF(N11:N78,"Incomplete")&gt;0,"Incomplete","Complete")</f>
        <v>Incomplete</v>
      </c>
      <c r="O7" s="447"/>
      <c r="P7" s="447"/>
    </row>
    <row r="8" spans="1:16" ht="15.75" x14ac:dyDescent="0.25">
      <c r="A8" s="447"/>
      <c r="B8" s="101"/>
      <c r="C8" s="362"/>
      <c r="D8" s="348"/>
      <c r="E8" s="348"/>
      <c r="F8" s="348"/>
      <c r="G8" s="348"/>
      <c r="H8" s="348"/>
      <c r="I8" s="449"/>
      <c r="J8" s="447"/>
      <c r="K8" s="447"/>
      <c r="L8" s="447"/>
      <c r="M8" s="447"/>
      <c r="N8" s="447"/>
      <c r="O8" s="447"/>
      <c r="P8" s="447"/>
    </row>
    <row r="9" spans="1:16" ht="15.75" x14ac:dyDescent="0.25">
      <c r="A9" s="447"/>
      <c r="B9" s="102"/>
      <c r="C9" s="349"/>
      <c r="D9" s="283" t="s">
        <v>1107</v>
      </c>
      <c r="E9" s="349"/>
      <c r="F9" s="349"/>
      <c r="G9" s="349"/>
      <c r="H9" s="349"/>
      <c r="I9" s="450"/>
      <c r="J9" s="447"/>
      <c r="K9" s="447"/>
      <c r="L9" s="447"/>
      <c r="M9" s="447"/>
      <c r="N9" s="447"/>
      <c r="O9" s="447"/>
      <c r="P9" s="447"/>
    </row>
    <row r="10" spans="1:16" ht="16.5" thickBot="1" x14ac:dyDescent="0.3">
      <c r="A10" s="447"/>
      <c r="B10" s="125"/>
      <c r="C10" s="352"/>
      <c r="D10" s="352"/>
      <c r="E10" s="352"/>
      <c r="F10" s="352"/>
      <c r="G10" s="352"/>
      <c r="H10" s="75" t="s">
        <v>164</v>
      </c>
      <c r="I10" s="451"/>
      <c r="J10" s="447"/>
      <c r="K10" s="447"/>
      <c r="L10" s="447"/>
      <c r="M10" s="447"/>
      <c r="N10" s="447"/>
      <c r="O10" s="447"/>
      <c r="P10" s="447"/>
    </row>
    <row r="11" spans="1:16" ht="15.75" x14ac:dyDescent="0.25">
      <c r="A11" s="447"/>
      <c r="B11" s="452"/>
      <c r="C11" s="453"/>
      <c r="D11" s="131"/>
      <c r="E11" s="453"/>
      <c r="F11" s="453"/>
      <c r="G11" s="453"/>
      <c r="H11" s="453"/>
      <c r="I11" s="454"/>
      <c r="J11" s="447"/>
      <c r="K11" s="447"/>
      <c r="L11" s="447"/>
      <c r="M11" s="447"/>
      <c r="N11" s="447"/>
      <c r="O11" s="447"/>
      <c r="P11" s="447"/>
    </row>
    <row r="12" spans="1:16" ht="15.75" x14ac:dyDescent="0.25">
      <c r="A12" s="447"/>
      <c r="B12" s="455"/>
      <c r="C12" s="456"/>
      <c r="D12" s="274" t="s">
        <v>662</v>
      </c>
      <c r="E12" s="456"/>
      <c r="F12" s="456"/>
      <c r="G12" s="456"/>
      <c r="H12" s="456"/>
      <c r="I12" s="457"/>
      <c r="J12" s="53"/>
      <c r="K12" s="53"/>
      <c r="L12" s="53"/>
      <c r="M12" s="447"/>
      <c r="N12" s="447"/>
      <c r="O12" s="447"/>
      <c r="P12" s="447"/>
    </row>
    <row r="13" spans="1:16" ht="15.75" x14ac:dyDescent="0.25">
      <c r="A13" s="447"/>
      <c r="B13" s="455"/>
      <c r="C13" s="456"/>
      <c r="D13" s="80"/>
      <c r="E13" s="456"/>
      <c r="F13" s="456"/>
      <c r="G13" s="456"/>
      <c r="H13" s="445"/>
      <c r="I13" s="457"/>
      <c r="J13" s="53"/>
      <c r="K13" s="53"/>
      <c r="L13" s="53"/>
      <c r="M13" s="447"/>
      <c r="N13" s="447"/>
      <c r="O13" s="447"/>
      <c r="P13" s="447"/>
    </row>
    <row r="14" spans="1:16" ht="15.75" x14ac:dyDescent="0.25">
      <c r="A14" s="447"/>
      <c r="B14" s="455"/>
      <c r="C14" s="456"/>
      <c r="D14" s="80" t="s">
        <v>639</v>
      </c>
      <c r="E14" s="80"/>
      <c r="F14" s="456"/>
      <c r="G14" s="456"/>
      <c r="H14" s="678">
        <v>0</v>
      </c>
      <c r="I14" s="457"/>
      <c r="J14" s="53"/>
      <c r="K14" s="53"/>
      <c r="L14" s="53"/>
      <c r="M14" s="447"/>
      <c r="N14" s="342" t="str">
        <f>IF(OR(H14=""),"Incomplete","Complete")</f>
        <v>Complete</v>
      </c>
      <c r="O14" s="447"/>
      <c r="P14" s="447"/>
    </row>
    <row r="15" spans="1:16" ht="15.75" x14ac:dyDescent="0.25">
      <c r="A15" s="447"/>
      <c r="B15" s="455"/>
      <c r="C15" s="456"/>
      <c r="D15" s="80" t="s">
        <v>640</v>
      </c>
      <c r="E15" s="80"/>
      <c r="F15" s="456"/>
      <c r="G15" s="456"/>
      <c r="H15" s="678">
        <v>0</v>
      </c>
      <c r="I15" s="457"/>
      <c r="J15" s="53"/>
      <c r="K15" s="53"/>
      <c r="L15" s="53"/>
      <c r="M15" s="447"/>
      <c r="N15" s="342" t="str">
        <f t="shared" ref="N15:N18" si="0">IF(OR(H15=""),"Incomplete","Complete")</f>
        <v>Complete</v>
      </c>
      <c r="O15" s="447"/>
      <c r="P15" s="447"/>
    </row>
    <row r="16" spans="1:16" ht="15.75" x14ac:dyDescent="0.25">
      <c r="A16" s="447"/>
      <c r="B16" s="455"/>
      <c r="C16" s="456"/>
      <c r="D16" s="80" t="s">
        <v>641</v>
      </c>
      <c r="E16" s="80"/>
      <c r="F16" s="456"/>
      <c r="G16" s="456"/>
      <c r="H16" s="678">
        <v>0</v>
      </c>
      <c r="I16" s="457"/>
      <c r="J16" s="53"/>
      <c r="K16" s="53"/>
      <c r="L16" s="53"/>
      <c r="M16" s="447"/>
      <c r="N16" s="342" t="str">
        <f t="shared" si="0"/>
        <v>Complete</v>
      </c>
      <c r="O16" s="447"/>
      <c r="P16" s="447"/>
    </row>
    <row r="17" spans="1:16" ht="15.75" x14ac:dyDescent="0.25">
      <c r="A17" s="447"/>
      <c r="B17" s="455"/>
      <c r="C17" s="456"/>
      <c r="D17" s="80" t="s">
        <v>642</v>
      </c>
      <c r="E17" s="80"/>
      <c r="F17" s="456"/>
      <c r="G17" s="456"/>
      <c r="H17" s="678">
        <v>0</v>
      </c>
      <c r="I17" s="457"/>
      <c r="J17" s="53"/>
      <c r="K17" s="53"/>
      <c r="L17" s="53"/>
      <c r="M17" s="447"/>
      <c r="N17" s="342" t="str">
        <f t="shared" si="0"/>
        <v>Complete</v>
      </c>
      <c r="O17" s="447"/>
      <c r="P17" s="447"/>
    </row>
    <row r="18" spans="1:16" ht="15.75" x14ac:dyDescent="0.25">
      <c r="A18" s="447"/>
      <c r="B18" s="455"/>
      <c r="C18" s="456"/>
      <c r="D18" s="80" t="s">
        <v>643</v>
      </c>
      <c r="E18" s="80"/>
      <c r="F18" s="456"/>
      <c r="G18" s="456"/>
      <c r="H18" s="678">
        <v>0</v>
      </c>
      <c r="I18" s="457"/>
      <c r="J18" s="53"/>
      <c r="K18" s="53"/>
      <c r="L18" s="53"/>
      <c r="M18" s="447"/>
      <c r="N18" s="342" t="str">
        <f t="shared" si="0"/>
        <v>Complete</v>
      </c>
      <c r="O18" s="447"/>
      <c r="P18" s="447"/>
    </row>
    <row r="19" spans="1:16" ht="15.75" x14ac:dyDescent="0.25">
      <c r="A19" s="447"/>
      <c r="B19" s="455"/>
      <c r="C19" s="456"/>
      <c r="D19" s="80" t="s">
        <v>644</v>
      </c>
      <c r="E19" s="80"/>
      <c r="F19" s="456"/>
      <c r="G19" s="456"/>
      <c r="H19" s="678">
        <v>0</v>
      </c>
      <c r="I19" s="457"/>
      <c r="J19" s="446" t="s">
        <v>645</v>
      </c>
      <c r="K19" s="427"/>
      <c r="L19" s="689"/>
      <c r="M19" s="447"/>
      <c r="N19" s="342" t="str">
        <f>IF(OR(H19="",AND(H19&lt;0,L19="")),"Incomplete","Complete")</f>
        <v>Complete</v>
      </c>
      <c r="O19" s="447"/>
      <c r="P19" s="447"/>
    </row>
    <row r="20" spans="1:16" ht="15.75" x14ac:dyDescent="0.25">
      <c r="A20" s="447"/>
      <c r="B20" s="455"/>
      <c r="C20" s="456"/>
      <c r="D20" s="80"/>
      <c r="E20" s="456"/>
      <c r="F20" s="456"/>
      <c r="G20" s="456"/>
      <c r="H20" s="445"/>
      <c r="I20" s="457"/>
      <c r="J20" s="447"/>
      <c r="K20" s="447"/>
      <c r="L20" s="447"/>
      <c r="M20" s="447"/>
      <c r="N20" s="447"/>
      <c r="O20" s="447"/>
      <c r="P20" s="447"/>
    </row>
    <row r="21" spans="1:16" ht="15.75" x14ac:dyDescent="0.25">
      <c r="A21" s="447"/>
      <c r="B21" s="455"/>
      <c r="C21" s="456"/>
      <c r="D21" s="80" t="s">
        <v>646</v>
      </c>
      <c r="E21" s="80"/>
      <c r="F21" s="456"/>
      <c r="G21" s="456"/>
      <c r="H21" s="690">
        <f>SUM(H14:H19)</f>
        <v>0</v>
      </c>
      <c r="I21" s="457"/>
      <c r="J21" s="447"/>
      <c r="K21" s="447"/>
      <c r="L21" s="447"/>
      <c r="M21" s="447"/>
      <c r="N21" s="447"/>
      <c r="O21" s="447"/>
      <c r="P21" s="447"/>
    </row>
    <row r="22" spans="1:16" ht="15.75" x14ac:dyDescent="0.25">
      <c r="A22" s="447"/>
      <c r="B22" s="455"/>
      <c r="C22" s="456"/>
      <c r="D22" s="80"/>
      <c r="E22" s="80"/>
      <c r="F22" s="80"/>
      <c r="G22" s="456"/>
      <c r="H22" s="456"/>
      <c r="I22" s="457"/>
      <c r="J22" s="447"/>
      <c r="K22" s="447"/>
      <c r="L22" s="447"/>
      <c r="M22" s="447"/>
      <c r="N22" s="447"/>
      <c r="O22" s="447"/>
      <c r="P22" s="447"/>
    </row>
    <row r="23" spans="1:16" ht="15.75" x14ac:dyDescent="0.25">
      <c r="A23" s="447"/>
      <c r="B23" s="455"/>
      <c r="C23" s="456"/>
      <c r="D23" s="80" t="s">
        <v>647</v>
      </c>
      <c r="E23" s="80"/>
      <c r="F23" s="80"/>
      <c r="G23" s="456"/>
      <c r="H23" s="678">
        <v>0</v>
      </c>
      <c r="I23" s="457"/>
      <c r="J23" s="447"/>
      <c r="K23" s="447"/>
      <c r="L23" s="447"/>
      <c r="M23" s="447"/>
      <c r="N23" s="342" t="str">
        <f>IF(OR(H23=""),"Incomplete","Complete")</f>
        <v>Complete</v>
      </c>
      <c r="O23" s="447"/>
      <c r="P23" s="447"/>
    </row>
    <row r="24" spans="1:16" ht="15.75" x14ac:dyDescent="0.25">
      <c r="A24" s="447"/>
      <c r="B24" s="455"/>
      <c r="C24" s="456"/>
      <c r="D24" s="80"/>
      <c r="E24" s="80"/>
      <c r="F24" s="80"/>
      <c r="G24" s="456"/>
      <c r="H24" s="80"/>
      <c r="I24" s="457"/>
      <c r="J24" s="447"/>
      <c r="K24" s="447"/>
      <c r="L24" s="447"/>
      <c r="M24" s="447"/>
      <c r="N24" s="447"/>
      <c r="O24" s="447"/>
      <c r="P24" s="447"/>
    </row>
    <row r="25" spans="1:16" ht="15.75" x14ac:dyDescent="0.25">
      <c r="A25" s="447"/>
      <c r="B25" s="455"/>
      <c r="C25" s="456"/>
      <c r="D25" s="80" t="s">
        <v>648</v>
      </c>
      <c r="E25" s="80"/>
      <c r="F25" s="80"/>
      <c r="G25" s="456"/>
      <c r="H25" s="690">
        <f>H21+H23</f>
        <v>0</v>
      </c>
      <c r="I25" s="457"/>
      <c r="J25" s="447"/>
      <c r="K25" s="447"/>
      <c r="L25" s="447"/>
      <c r="M25" s="447"/>
      <c r="N25" s="447"/>
      <c r="O25" s="447"/>
      <c r="P25" s="447"/>
    </row>
    <row r="26" spans="1:16" ht="15.75" x14ac:dyDescent="0.25">
      <c r="A26" s="447"/>
      <c r="B26" s="455"/>
      <c r="C26" s="456"/>
      <c r="D26" s="80"/>
      <c r="E26" s="80"/>
      <c r="F26" s="80"/>
      <c r="G26" s="456"/>
      <c r="H26" s="456"/>
      <c r="I26" s="457"/>
      <c r="J26" s="447"/>
      <c r="K26" s="447"/>
      <c r="L26" s="447"/>
      <c r="M26" s="447"/>
      <c r="N26" s="447"/>
      <c r="O26" s="447"/>
      <c r="P26" s="447"/>
    </row>
    <row r="27" spans="1:16" ht="15.75" x14ac:dyDescent="0.25">
      <c r="A27" s="447"/>
      <c r="B27" s="455"/>
      <c r="C27" s="456"/>
      <c r="D27" s="274" t="s">
        <v>664</v>
      </c>
      <c r="E27" s="456"/>
      <c r="F27" s="456"/>
      <c r="G27" s="456"/>
      <c r="H27" s="456"/>
      <c r="I27" s="457"/>
      <c r="J27" s="447"/>
      <c r="K27" s="447"/>
      <c r="L27" s="447"/>
      <c r="M27" s="447"/>
      <c r="N27" s="447"/>
      <c r="O27" s="447"/>
      <c r="P27" s="447"/>
    </row>
    <row r="28" spans="1:16" ht="15.75" x14ac:dyDescent="0.25">
      <c r="A28" s="447"/>
      <c r="B28" s="455"/>
      <c r="C28" s="456"/>
      <c r="D28" s="456"/>
      <c r="E28" s="456"/>
      <c r="F28" s="456"/>
      <c r="G28" s="456"/>
      <c r="H28" s="456"/>
      <c r="I28" s="457"/>
      <c r="J28" s="447"/>
      <c r="K28" s="447"/>
      <c r="L28" s="447"/>
      <c r="M28" s="447"/>
      <c r="N28" s="447"/>
      <c r="O28" s="447"/>
      <c r="P28" s="447"/>
    </row>
    <row r="29" spans="1:16" ht="15.75" x14ac:dyDescent="0.25">
      <c r="A29" s="447"/>
      <c r="B29" s="455"/>
      <c r="C29" s="456"/>
      <c r="D29" s="80" t="s">
        <v>649</v>
      </c>
      <c r="E29" s="456"/>
      <c r="F29" s="456"/>
      <c r="G29" s="456"/>
      <c r="H29" s="678">
        <v>0</v>
      </c>
      <c r="I29" s="457"/>
      <c r="J29" s="447"/>
      <c r="K29" s="447"/>
      <c r="L29" s="447"/>
      <c r="M29" s="447"/>
      <c r="N29" s="342" t="str">
        <f t="shared" ref="N29:N38" si="1">IF(OR(H29=""),"Incomplete","Complete")</f>
        <v>Complete</v>
      </c>
      <c r="O29" s="447"/>
      <c r="P29" s="447"/>
    </row>
    <row r="30" spans="1:16" ht="15.75" x14ac:dyDescent="0.25">
      <c r="A30" s="447"/>
      <c r="B30" s="455"/>
      <c r="C30" s="456"/>
      <c r="D30" s="80" t="s">
        <v>650</v>
      </c>
      <c r="E30" s="456"/>
      <c r="F30" s="456"/>
      <c r="G30" s="456"/>
      <c r="H30" s="678">
        <v>0</v>
      </c>
      <c r="I30" s="457"/>
      <c r="J30" s="447"/>
      <c r="K30" s="447"/>
      <c r="L30" s="447"/>
      <c r="M30" s="447"/>
      <c r="N30" s="342" t="str">
        <f t="shared" si="1"/>
        <v>Complete</v>
      </c>
      <c r="O30" s="447"/>
      <c r="P30" s="447"/>
    </row>
    <row r="31" spans="1:16" ht="15.75" x14ac:dyDescent="0.25">
      <c r="A31" s="447"/>
      <c r="B31" s="455"/>
      <c r="C31" s="456"/>
      <c r="D31" s="80" t="s">
        <v>651</v>
      </c>
      <c r="E31" s="456"/>
      <c r="F31" s="456"/>
      <c r="G31" s="456"/>
      <c r="H31" s="678">
        <v>0</v>
      </c>
      <c r="I31" s="457"/>
      <c r="J31" s="447"/>
      <c r="K31" s="447"/>
      <c r="L31" s="447"/>
      <c r="M31" s="447"/>
      <c r="N31" s="342" t="str">
        <f t="shared" si="1"/>
        <v>Complete</v>
      </c>
      <c r="O31" s="447"/>
      <c r="P31" s="447"/>
    </row>
    <row r="32" spans="1:16" ht="15.75" x14ac:dyDescent="0.25">
      <c r="A32" s="447"/>
      <c r="B32" s="455"/>
      <c r="C32" s="456"/>
      <c r="D32" s="80" t="s">
        <v>652</v>
      </c>
      <c r="E32" s="456"/>
      <c r="F32" s="456"/>
      <c r="G32" s="456"/>
      <c r="H32" s="678">
        <v>0</v>
      </c>
      <c r="I32" s="457"/>
      <c r="J32" s="447"/>
      <c r="K32" s="447"/>
      <c r="L32" s="447"/>
      <c r="M32" s="447"/>
      <c r="N32" s="342" t="str">
        <f t="shared" si="1"/>
        <v>Complete</v>
      </c>
      <c r="O32" s="447"/>
      <c r="P32" s="447"/>
    </row>
    <row r="33" spans="1:16" ht="15.75" x14ac:dyDescent="0.25">
      <c r="A33" s="447"/>
      <c r="B33" s="455"/>
      <c r="C33" s="456"/>
      <c r="D33" s="80" t="s">
        <v>653</v>
      </c>
      <c r="E33" s="456"/>
      <c r="F33" s="456"/>
      <c r="G33" s="456"/>
      <c r="H33" s="678">
        <v>0</v>
      </c>
      <c r="I33" s="457"/>
      <c r="J33" s="447"/>
      <c r="K33" s="447"/>
      <c r="L33" s="447"/>
      <c r="M33" s="447"/>
      <c r="N33" s="342" t="str">
        <f t="shared" si="1"/>
        <v>Complete</v>
      </c>
      <c r="O33" s="447"/>
      <c r="P33" s="447"/>
    </row>
    <row r="34" spans="1:16" ht="15.75" x14ac:dyDescent="0.25">
      <c r="A34" s="447"/>
      <c r="B34" s="455"/>
      <c r="C34" s="456"/>
      <c r="D34" s="80" t="s">
        <v>654</v>
      </c>
      <c r="E34" s="456"/>
      <c r="F34" s="456"/>
      <c r="G34" s="456"/>
      <c r="H34" s="678">
        <v>0</v>
      </c>
      <c r="I34" s="457"/>
      <c r="J34" s="447"/>
      <c r="K34" s="447"/>
      <c r="L34" s="447"/>
      <c r="M34" s="447"/>
      <c r="N34" s="342" t="str">
        <f t="shared" si="1"/>
        <v>Complete</v>
      </c>
      <c r="O34" s="447"/>
      <c r="P34" s="447"/>
    </row>
    <row r="35" spans="1:16" ht="15.75" x14ac:dyDescent="0.25">
      <c r="A35" s="447"/>
      <c r="B35" s="455"/>
      <c r="C35" s="456"/>
      <c r="D35" s="80" t="s">
        <v>655</v>
      </c>
      <c r="E35" s="456"/>
      <c r="F35" s="456"/>
      <c r="G35" s="456"/>
      <c r="H35" s="678">
        <v>0</v>
      </c>
      <c r="I35" s="457"/>
      <c r="J35" s="447"/>
      <c r="K35" s="447"/>
      <c r="L35" s="447"/>
      <c r="M35" s="447"/>
      <c r="N35" s="342" t="str">
        <f t="shared" si="1"/>
        <v>Complete</v>
      </c>
      <c r="O35" s="447"/>
      <c r="P35" s="447"/>
    </row>
    <row r="36" spans="1:16" ht="15.75" x14ac:dyDescent="0.25">
      <c r="A36" s="447"/>
      <c r="B36" s="455"/>
      <c r="C36" s="456"/>
      <c r="D36" s="80" t="s">
        <v>1111</v>
      </c>
      <c r="E36" s="456"/>
      <c r="F36" s="456"/>
      <c r="G36" s="456"/>
      <c r="H36" s="678">
        <v>0</v>
      </c>
      <c r="I36" s="457"/>
      <c r="J36" s="447"/>
      <c r="K36" s="447"/>
      <c r="L36" s="447"/>
      <c r="M36" s="447"/>
      <c r="N36" s="342" t="str">
        <f t="shared" si="1"/>
        <v>Complete</v>
      </c>
      <c r="O36" s="447"/>
      <c r="P36" s="447"/>
    </row>
    <row r="37" spans="1:16" ht="15.75" x14ac:dyDescent="0.25">
      <c r="A37" s="447"/>
      <c r="B37" s="455"/>
      <c r="C37" s="456"/>
      <c r="D37" s="80" t="s">
        <v>656</v>
      </c>
      <c r="E37" s="456"/>
      <c r="F37" s="456"/>
      <c r="G37" s="456"/>
      <c r="H37" s="678">
        <v>0</v>
      </c>
      <c r="I37" s="457"/>
      <c r="J37" s="447"/>
      <c r="K37" s="447"/>
      <c r="L37" s="447"/>
      <c r="M37" s="447"/>
      <c r="N37" s="342" t="str">
        <f t="shared" si="1"/>
        <v>Complete</v>
      </c>
      <c r="O37" s="447"/>
      <c r="P37" s="447"/>
    </row>
    <row r="38" spans="1:16" ht="15.75" x14ac:dyDescent="0.25">
      <c r="A38" s="447"/>
      <c r="B38" s="455"/>
      <c r="C38" s="456"/>
      <c r="D38" s="80" t="s">
        <v>657</v>
      </c>
      <c r="E38" s="456"/>
      <c r="F38" s="456"/>
      <c r="G38" s="456"/>
      <c r="H38" s="678">
        <v>0</v>
      </c>
      <c r="I38" s="457"/>
      <c r="J38" s="447"/>
      <c r="K38" s="447"/>
      <c r="L38" s="447"/>
      <c r="M38" s="447"/>
      <c r="N38" s="342" t="str">
        <f t="shared" si="1"/>
        <v>Complete</v>
      </c>
      <c r="O38" s="447"/>
      <c r="P38" s="447"/>
    </row>
    <row r="39" spans="1:16" ht="15.75" x14ac:dyDescent="0.25">
      <c r="A39" s="447"/>
      <c r="B39" s="455"/>
      <c r="C39" s="456"/>
      <c r="D39" s="80" t="s">
        <v>658</v>
      </c>
      <c r="E39" s="456"/>
      <c r="F39" s="456"/>
      <c r="G39" s="456"/>
      <c r="H39" s="678">
        <v>0</v>
      </c>
      <c r="I39" s="457"/>
      <c r="J39" s="446" t="s">
        <v>659</v>
      </c>
      <c r="K39" s="427"/>
      <c r="L39" s="689"/>
      <c r="M39" s="447"/>
      <c r="N39" s="342" t="str">
        <f>IF(OR(H39="",AND(H39&gt;0,L39=""),AND(H39&lt;0,L39="")),"Incomplete","Complete")</f>
        <v>Complete</v>
      </c>
      <c r="O39" s="447"/>
      <c r="P39" s="447"/>
    </row>
    <row r="40" spans="1:16" ht="15.75" x14ac:dyDescent="0.25">
      <c r="A40" s="447"/>
      <c r="B40" s="455"/>
      <c r="C40" s="456"/>
      <c r="D40" s="80"/>
      <c r="E40" s="456"/>
      <c r="F40" s="456"/>
      <c r="G40" s="456"/>
      <c r="H40" s="445"/>
      <c r="I40" s="457"/>
      <c r="J40" s="53"/>
      <c r="K40" s="53"/>
      <c r="L40" s="53"/>
      <c r="M40" s="447"/>
      <c r="N40" s="447"/>
      <c r="O40" s="447"/>
      <c r="P40" s="447"/>
    </row>
    <row r="41" spans="1:16" ht="15.75" x14ac:dyDescent="0.25">
      <c r="A41" s="447"/>
      <c r="B41" s="455"/>
      <c r="C41" s="456"/>
      <c r="D41" s="80" t="s">
        <v>660</v>
      </c>
      <c r="E41" s="456"/>
      <c r="F41" s="456"/>
      <c r="G41" s="456"/>
      <c r="H41" s="690">
        <f>SUM(H29:H39)</f>
        <v>0</v>
      </c>
      <c r="I41" s="457"/>
      <c r="J41" s="53"/>
      <c r="K41" s="53"/>
      <c r="L41" s="53"/>
      <c r="M41" s="447"/>
      <c r="N41" s="447"/>
      <c r="O41" s="447"/>
      <c r="P41" s="447"/>
    </row>
    <row r="42" spans="1:16" ht="15.75" x14ac:dyDescent="0.25">
      <c r="A42" s="447"/>
      <c r="B42" s="455"/>
      <c r="C42" s="456"/>
      <c r="D42" s="80"/>
      <c r="E42" s="456"/>
      <c r="F42" s="456"/>
      <c r="G42" s="456"/>
      <c r="H42" s="456"/>
      <c r="I42" s="457"/>
      <c r="J42" s="53"/>
      <c r="K42" s="53"/>
      <c r="L42" s="53"/>
      <c r="M42" s="447"/>
      <c r="N42" s="447"/>
      <c r="O42" s="447"/>
      <c r="P42" s="447"/>
    </row>
    <row r="43" spans="1:16" ht="16.5" thickBot="1" x14ac:dyDescent="0.3">
      <c r="A43" s="447"/>
      <c r="B43" s="458"/>
      <c r="C43" s="459"/>
      <c r="D43" s="459"/>
      <c r="E43" s="459"/>
      <c r="F43" s="459"/>
      <c r="G43" s="459"/>
      <c r="H43" s="459"/>
      <c r="I43" s="460"/>
      <c r="J43" s="447"/>
      <c r="K43" s="447"/>
      <c r="L43" s="447"/>
      <c r="M43" s="447"/>
      <c r="N43" s="447"/>
      <c r="O43" s="447"/>
      <c r="P43" s="447"/>
    </row>
    <row r="44" spans="1:16" ht="15.75" x14ac:dyDescent="0.25">
      <c r="A44" s="447"/>
      <c r="B44" s="874"/>
      <c r="C44" s="874"/>
      <c r="D44" s="874"/>
      <c r="E44" s="874"/>
      <c r="F44" s="874"/>
      <c r="G44" s="874"/>
      <c r="H44" s="874"/>
      <c r="I44" s="874"/>
      <c r="J44" s="874"/>
      <c r="K44" s="874"/>
      <c r="L44" s="447"/>
      <c r="M44" s="447"/>
      <c r="N44" s="447"/>
      <c r="O44" s="447"/>
      <c r="P44" s="447"/>
    </row>
    <row r="45" spans="1:16" ht="16.5" thickBot="1" x14ac:dyDescent="0.3">
      <c r="A45" s="447"/>
      <c r="B45" s="447"/>
      <c r="C45" s="447"/>
      <c r="D45" s="447"/>
      <c r="E45" s="447"/>
      <c r="F45" s="447"/>
      <c r="G45" s="447"/>
      <c r="H45" s="447"/>
      <c r="I45" s="447"/>
      <c r="J45" s="447"/>
      <c r="K45" s="447"/>
      <c r="L45" s="447"/>
      <c r="M45" s="447"/>
      <c r="N45" s="447"/>
      <c r="O45" s="447"/>
      <c r="P45" s="447"/>
    </row>
    <row r="46" spans="1:16" ht="15.75" x14ac:dyDescent="0.25">
      <c r="A46" s="447"/>
      <c r="B46" s="353"/>
      <c r="C46" s="348"/>
      <c r="D46" s="348"/>
      <c r="E46" s="348"/>
      <c r="F46" s="348"/>
      <c r="G46" s="348"/>
      <c r="H46" s="348"/>
      <c r="I46" s="348"/>
      <c r="J46" s="348"/>
      <c r="K46" s="449"/>
      <c r="L46" s="447"/>
      <c r="M46" s="447"/>
      <c r="N46" s="447"/>
      <c r="O46" s="447"/>
      <c r="P46" s="447"/>
    </row>
    <row r="47" spans="1:16" ht="15.75" x14ac:dyDescent="0.25">
      <c r="A47" s="447"/>
      <c r="B47" s="357"/>
      <c r="C47" s="283" t="s">
        <v>1108</v>
      </c>
      <c r="D47" s="349"/>
      <c r="E47" s="349"/>
      <c r="F47" s="349"/>
      <c r="G47" s="349"/>
      <c r="H47" s="349"/>
      <c r="I47" s="349"/>
      <c r="J47" s="349"/>
      <c r="K47" s="450"/>
      <c r="L47" s="447"/>
      <c r="M47" s="447"/>
      <c r="N47" s="447"/>
      <c r="O47" s="447"/>
      <c r="P47" s="447"/>
    </row>
    <row r="48" spans="1:16" ht="16.5" thickBot="1" x14ac:dyDescent="0.3">
      <c r="A48" s="447"/>
      <c r="B48" s="125"/>
      <c r="C48" s="352"/>
      <c r="D48" s="237" t="s">
        <v>1112</v>
      </c>
      <c r="E48" s="237"/>
      <c r="F48" s="237" t="s">
        <v>1113</v>
      </c>
      <c r="G48" s="237"/>
      <c r="H48" s="237" t="s">
        <v>1114</v>
      </c>
      <c r="I48" s="237"/>
      <c r="J48" s="237" t="s">
        <v>1115</v>
      </c>
      <c r="K48" s="238"/>
      <c r="L48" s="447"/>
      <c r="M48" s="447"/>
      <c r="N48" s="447"/>
      <c r="O48" s="447"/>
      <c r="P48" s="447"/>
    </row>
    <row r="49" spans="1:16" ht="15.75" x14ac:dyDescent="0.25">
      <c r="A49" s="447"/>
      <c r="B49" s="515"/>
      <c r="C49" s="463"/>
      <c r="D49" s="802" t="s">
        <v>1138</v>
      </c>
      <c r="E49" s="463"/>
      <c r="F49" s="463"/>
      <c r="G49" s="463"/>
      <c r="H49" s="463"/>
      <c r="I49" s="463"/>
      <c r="J49" s="463"/>
      <c r="K49" s="464"/>
      <c r="L49" s="447"/>
      <c r="M49" s="447"/>
      <c r="N49" s="447"/>
      <c r="O49" s="447"/>
      <c r="P49" s="447"/>
    </row>
    <row r="50" spans="1:16" ht="15.75" x14ac:dyDescent="0.25">
      <c r="A50" s="447"/>
      <c r="B50" s="515"/>
      <c r="C50" s="80"/>
      <c r="D50" s="770" t="s">
        <v>1124</v>
      </c>
      <c r="E50" s="456"/>
      <c r="F50" s="770"/>
      <c r="G50" s="463"/>
      <c r="H50" s="770"/>
      <c r="I50" s="463"/>
      <c r="J50" s="770"/>
      <c r="K50" s="464"/>
      <c r="L50" s="447"/>
      <c r="M50" s="447"/>
      <c r="N50" s="342" t="str">
        <f>IF(OR(Control!$E$6="Biannual",D50="N/A"),"Complete",IF(OR(D50="Surname, Forename", D50=""),"Incomplete",IF(OR(F50="",H50="",J50=""),"Incomplete","Complete")))</f>
        <v>Incomplete</v>
      </c>
      <c r="O50" s="447"/>
      <c r="P50" s="447"/>
    </row>
    <row r="51" spans="1:16" ht="15.75" x14ac:dyDescent="0.25">
      <c r="A51" s="447"/>
      <c r="B51" s="515"/>
      <c r="C51" s="80"/>
      <c r="D51" s="770" t="s">
        <v>1124</v>
      </c>
      <c r="E51" s="456"/>
      <c r="F51" s="770"/>
      <c r="G51" s="463"/>
      <c r="H51" s="770"/>
      <c r="I51" s="463"/>
      <c r="J51" s="770"/>
      <c r="K51" s="464"/>
      <c r="L51" s="447"/>
      <c r="M51" s="447"/>
      <c r="N51" s="342" t="str">
        <f>IF(OR(Control!$E$6="Biannual",D51="N/A"),"Complete",IF(OR(D51="Surname, Forename", D51=""),"Incomplete",IF(OR(F51="",H51="",J51=""),"Incomplete","Complete")))</f>
        <v>Incomplete</v>
      </c>
      <c r="O51" s="447"/>
      <c r="P51" s="447"/>
    </row>
    <row r="52" spans="1:16" ht="15.75" x14ac:dyDescent="0.25">
      <c r="A52" s="447"/>
      <c r="B52" s="515"/>
      <c r="C52" s="80"/>
      <c r="D52" s="770" t="s">
        <v>1124</v>
      </c>
      <c r="E52" s="456"/>
      <c r="F52" s="770"/>
      <c r="G52" s="463"/>
      <c r="H52" s="770"/>
      <c r="I52" s="463"/>
      <c r="J52" s="770"/>
      <c r="K52" s="464"/>
      <c r="L52" s="447"/>
      <c r="M52" s="447"/>
      <c r="N52" s="342" t="str">
        <f>IF(OR(Control!$E$6="Biannual",D52="N/A"),"Complete",IF(OR(D52="Surname, Forename", D52=""),"Incomplete",IF(OR(F52="",H52="",J52=""),"Incomplete","Complete")))</f>
        <v>Incomplete</v>
      </c>
      <c r="O52" s="447"/>
      <c r="P52" s="447"/>
    </row>
    <row r="53" spans="1:16" ht="15.75" x14ac:dyDescent="0.25">
      <c r="A53" s="447"/>
      <c r="B53" s="515"/>
      <c r="C53" s="80"/>
      <c r="D53" s="770" t="s">
        <v>1124</v>
      </c>
      <c r="E53" s="456"/>
      <c r="F53" s="770"/>
      <c r="G53" s="463"/>
      <c r="H53" s="770"/>
      <c r="I53" s="463"/>
      <c r="J53" s="770"/>
      <c r="K53" s="464"/>
      <c r="L53" s="447"/>
      <c r="M53" s="447"/>
      <c r="N53" s="342" t="str">
        <f>IF(OR(Control!$E$6="Biannual",D53="N/A"),"Complete",IF(OR(D53="Surname, Forename", D53=""),"Incomplete",IF(OR(F53="",H53="",J53=""),"Incomplete","Complete")))</f>
        <v>Incomplete</v>
      </c>
      <c r="O53" s="447"/>
      <c r="P53" s="447"/>
    </row>
    <row r="54" spans="1:16" ht="15.75" x14ac:dyDescent="0.25">
      <c r="A54" s="447"/>
      <c r="B54" s="515"/>
      <c r="C54" s="80"/>
      <c r="D54" s="770" t="s">
        <v>1124</v>
      </c>
      <c r="E54" s="456"/>
      <c r="F54" s="770"/>
      <c r="G54" s="463"/>
      <c r="H54" s="770"/>
      <c r="I54" s="463"/>
      <c r="J54" s="770"/>
      <c r="K54" s="464"/>
      <c r="L54" s="447"/>
      <c r="M54" s="447"/>
      <c r="N54" s="342" t="str">
        <f>IF(OR(Control!$E$6="Biannual",D54="N/A"),"Complete",IF(OR(D54="Surname, Forename", D54=""),"Incomplete",IF(OR(F54="",H54="",J54=""),"Incomplete","Complete")))</f>
        <v>Incomplete</v>
      </c>
      <c r="O54" s="447"/>
      <c r="P54" s="447"/>
    </row>
    <row r="55" spans="1:16" ht="15.75" x14ac:dyDescent="0.25">
      <c r="A55" s="447"/>
      <c r="B55" s="515"/>
      <c r="C55" s="80"/>
      <c r="D55" s="770" t="s">
        <v>1124</v>
      </c>
      <c r="E55" s="456"/>
      <c r="F55" s="770"/>
      <c r="G55" s="463"/>
      <c r="H55" s="770"/>
      <c r="I55" s="463"/>
      <c r="J55" s="770"/>
      <c r="K55" s="464"/>
      <c r="L55" s="447"/>
      <c r="M55" s="447"/>
      <c r="N55" s="342" t="str">
        <f>IF(OR(Control!$E$6="Biannual",D55="N/A"),"Complete",IF(OR(D55="Surname, Forename", D55=""),"Incomplete",IF(OR(F55="",H55="",J55=""),"Incomplete","Complete")))</f>
        <v>Incomplete</v>
      </c>
      <c r="O55" s="447"/>
      <c r="P55" s="447"/>
    </row>
    <row r="56" spans="1:16" ht="15.75" x14ac:dyDescent="0.25">
      <c r="A56" s="447"/>
      <c r="B56" s="515"/>
      <c r="C56" s="80"/>
      <c r="D56" s="770" t="s">
        <v>1124</v>
      </c>
      <c r="E56" s="456"/>
      <c r="F56" s="770"/>
      <c r="G56" s="463"/>
      <c r="H56" s="770"/>
      <c r="I56" s="463"/>
      <c r="J56" s="770"/>
      <c r="K56" s="464"/>
      <c r="L56" s="447"/>
      <c r="M56" s="447"/>
      <c r="N56" s="342" t="str">
        <f>IF(OR(Control!$E$6="Biannual",D56="N/A"),"Complete",IF(OR(D56="Surname, Forename", D56=""),"Incomplete",IF(OR(F56="",H56="",J56=""),"Incomplete","Complete")))</f>
        <v>Incomplete</v>
      </c>
      <c r="O56" s="447"/>
      <c r="P56" s="447"/>
    </row>
    <row r="57" spans="1:16" ht="15.75" x14ac:dyDescent="0.25">
      <c r="A57" s="447"/>
      <c r="B57" s="515"/>
      <c r="C57" s="80"/>
      <c r="D57" s="770" t="s">
        <v>1124</v>
      </c>
      <c r="E57" s="456"/>
      <c r="F57" s="770"/>
      <c r="G57" s="463"/>
      <c r="H57" s="770"/>
      <c r="I57" s="463"/>
      <c r="J57" s="770"/>
      <c r="K57" s="464"/>
      <c r="L57" s="447"/>
      <c r="M57" s="447"/>
      <c r="N57" s="342" t="str">
        <f>IF(OR(Control!$E$6="Biannual",D57="N/A"),"Complete",IF(OR(D57="Surname, Forename", D57=""),"Incomplete",IF(OR(F57="",H57="",J57=""),"Incomplete","Complete")))</f>
        <v>Incomplete</v>
      </c>
      <c r="O57" s="447"/>
      <c r="P57" s="447"/>
    </row>
    <row r="58" spans="1:16" ht="15.75" x14ac:dyDescent="0.25">
      <c r="A58" s="447"/>
      <c r="B58" s="515"/>
      <c r="C58" s="80"/>
      <c r="D58" s="770" t="s">
        <v>1124</v>
      </c>
      <c r="E58" s="456"/>
      <c r="F58" s="770"/>
      <c r="G58" s="463"/>
      <c r="H58" s="770"/>
      <c r="I58" s="463"/>
      <c r="J58" s="770"/>
      <c r="K58" s="464"/>
      <c r="L58" s="447"/>
      <c r="M58" s="447"/>
      <c r="N58" s="342" t="str">
        <f>IF(OR(Control!$E$6="Biannual",D58="N/A"),"Complete",IF(OR(D58="Surname, Forename", D58=""),"Incomplete",IF(OR(F58="",H58="",J58=""),"Incomplete","Complete")))</f>
        <v>Incomplete</v>
      </c>
      <c r="O58" s="447"/>
      <c r="P58" s="447"/>
    </row>
    <row r="59" spans="1:16" ht="15.75" x14ac:dyDescent="0.25">
      <c r="A59" s="447"/>
      <c r="B59" s="515"/>
      <c r="C59" s="80"/>
      <c r="D59" s="770" t="s">
        <v>1124</v>
      </c>
      <c r="E59" s="456"/>
      <c r="F59" s="770"/>
      <c r="G59" s="463"/>
      <c r="H59" s="770"/>
      <c r="I59" s="463"/>
      <c r="J59" s="770"/>
      <c r="K59" s="464"/>
      <c r="L59" s="447"/>
      <c r="M59" s="447"/>
      <c r="N59" s="342" t="str">
        <f>IF(OR(Control!$E$6="Biannual",D59="N/A"),"Complete",IF(OR(D59="Surname, Forename", D59=""),"Incomplete",IF(OR(F59="",H59="",J59=""),"Incomplete","Complete")))</f>
        <v>Incomplete</v>
      </c>
      <c r="O59" s="447"/>
      <c r="P59" s="447"/>
    </row>
    <row r="60" spans="1:16" ht="15.75" x14ac:dyDescent="0.25">
      <c r="A60" s="447"/>
      <c r="B60" s="515"/>
      <c r="C60" s="80"/>
      <c r="D60" s="770" t="s">
        <v>1124</v>
      </c>
      <c r="E60" s="456"/>
      <c r="F60" s="770"/>
      <c r="G60" s="463"/>
      <c r="H60" s="770"/>
      <c r="I60" s="463"/>
      <c r="J60" s="770"/>
      <c r="K60" s="464"/>
      <c r="L60" s="447"/>
      <c r="M60" s="447"/>
      <c r="N60" s="342" t="str">
        <f>IF(OR(Control!$E$6="Biannual",D60="N/A"),"Complete",IF(OR(D60="Surname, Forename", D60=""),"Incomplete",IF(OR(F60="",H60="",J60=""),"Incomplete","Complete")))</f>
        <v>Incomplete</v>
      </c>
      <c r="O60" s="447"/>
      <c r="P60" s="447"/>
    </row>
    <row r="61" spans="1:16" ht="15.75" x14ac:dyDescent="0.25">
      <c r="A61" s="447"/>
      <c r="B61" s="515"/>
      <c r="C61" s="80"/>
      <c r="D61" s="770" t="s">
        <v>1124</v>
      </c>
      <c r="E61" s="456"/>
      <c r="F61" s="770"/>
      <c r="G61" s="463"/>
      <c r="H61" s="770"/>
      <c r="I61" s="463"/>
      <c r="J61" s="770"/>
      <c r="K61" s="464"/>
      <c r="L61" s="447"/>
      <c r="M61" s="447"/>
      <c r="N61" s="342" t="str">
        <f>IF(OR(Control!$E$6="Biannual",D61="N/A"),"Complete",IF(OR(D61="Surname, Forename", D61=""),"Incomplete",IF(OR(F61="",H61="",J61=""),"Incomplete","Complete")))</f>
        <v>Incomplete</v>
      </c>
      <c r="O61" s="447"/>
      <c r="P61" s="447"/>
    </row>
    <row r="62" spans="1:16" ht="15.75" x14ac:dyDescent="0.25">
      <c r="A62" s="447"/>
      <c r="B62" s="515"/>
      <c r="C62" s="80"/>
      <c r="D62" s="770" t="s">
        <v>1124</v>
      </c>
      <c r="E62" s="456"/>
      <c r="F62" s="770"/>
      <c r="G62" s="463"/>
      <c r="H62" s="770"/>
      <c r="I62" s="463"/>
      <c r="J62" s="770"/>
      <c r="K62" s="464"/>
      <c r="L62" s="447"/>
      <c r="M62" s="447"/>
      <c r="N62" s="342" t="str">
        <f>IF(OR(Control!$E$6="Biannual",D62="N/A"),"Complete",IF(OR(D62="Surname, Forename", D62=""),"Incomplete",IF(OR(F62="",H62="",J62=""),"Incomplete","Complete")))</f>
        <v>Incomplete</v>
      </c>
      <c r="O62" s="447"/>
      <c r="P62" s="447"/>
    </row>
    <row r="63" spans="1:16" ht="15.75" x14ac:dyDescent="0.25">
      <c r="A63" s="447"/>
      <c r="B63" s="515"/>
      <c r="C63" s="80"/>
      <c r="D63" s="770" t="s">
        <v>1124</v>
      </c>
      <c r="E63" s="456"/>
      <c r="F63" s="770"/>
      <c r="G63" s="463"/>
      <c r="H63" s="770"/>
      <c r="I63" s="463"/>
      <c r="J63" s="770"/>
      <c r="K63" s="464"/>
      <c r="L63" s="447"/>
      <c r="M63" s="447"/>
      <c r="N63" s="342" t="str">
        <f>IF(OR(Control!$E$6="Biannual",D63="N/A"),"Complete",IF(OR(D63="Surname, Forename", D63=""),"Incomplete",IF(OR(F63="",H63="",J63=""),"Incomplete","Complete")))</f>
        <v>Incomplete</v>
      </c>
      <c r="O63" s="447"/>
      <c r="P63" s="447"/>
    </row>
    <row r="64" spans="1:16" ht="15.75" x14ac:dyDescent="0.25">
      <c r="A64" s="447"/>
      <c r="B64" s="515"/>
      <c r="C64" s="80"/>
      <c r="D64" s="770" t="s">
        <v>1124</v>
      </c>
      <c r="E64" s="456"/>
      <c r="F64" s="770"/>
      <c r="G64" s="463"/>
      <c r="H64" s="770"/>
      <c r="I64" s="463"/>
      <c r="J64" s="770"/>
      <c r="K64" s="464"/>
      <c r="L64" s="447"/>
      <c r="M64" s="447"/>
      <c r="N64" s="342" t="str">
        <f>IF(OR(Control!$E$6="Biannual",D64="N/A"),"Complete",IF(OR(D64="Surname, Forename", D64=""),"Incomplete",IF(OR(F64="",H64="",J64=""),"Incomplete","Complete")))</f>
        <v>Incomplete</v>
      </c>
      <c r="O64" s="447"/>
      <c r="P64" s="447"/>
    </row>
    <row r="65" spans="1:16" ht="15.75" x14ac:dyDescent="0.25">
      <c r="A65" s="447"/>
      <c r="B65" s="515"/>
      <c r="C65" s="80"/>
      <c r="D65" s="770" t="s">
        <v>1124</v>
      </c>
      <c r="E65" s="456"/>
      <c r="F65" s="770"/>
      <c r="G65" s="463"/>
      <c r="H65" s="770"/>
      <c r="I65" s="463"/>
      <c r="J65" s="770"/>
      <c r="K65" s="464"/>
      <c r="L65" s="447"/>
      <c r="M65" s="447"/>
      <c r="N65" s="342" t="str">
        <f>IF(OR(Control!$E$6="Biannual",D65="N/A"),"Complete",IF(OR(D65="Surname, Forename", D65=""),"Incomplete",IF(OR(F65="",H65="",J65=""),"Incomplete","Complete")))</f>
        <v>Incomplete</v>
      </c>
      <c r="O65" s="447"/>
      <c r="P65" s="447"/>
    </row>
    <row r="66" spans="1:16" ht="16.5" thickBot="1" x14ac:dyDescent="0.3">
      <c r="A66" s="447"/>
      <c r="B66" s="771"/>
      <c r="C66" s="465"/>
      <c r="D66" s="465"/>
      <c r="E66" s="465"/>
      <c r="F66" s="465"/>
      <c r="G66" s="465"/>
      <c r="H66" s="465"/>
      <c r="I66" s="465"/>
      <c r="J66" s="465"/>
      <c r="K66" s="466"/>
      <c r="L66" s="447"/>
      <c r="M66" s="447"/>
      <c r="N66" s="447"/>
      <c r="O66" s="447"/>
      <c r="P66" s="447"/>
    </row>
    <row r="67" spans="1:16" ht="15.75" x14ac:dyDescent="0.25">
      <c r="A67" s="447"/>
      <c r="B67" s="447"/>
      <c r="C67" s="447"/>
      <c r="D67" s="447"/>
      <c r="E67" s="447"/>
      <c r="F67" s="447"/>
      <c r="G67" s="447"/>
      <c r="H67" s="447"/>
      <c r="I67" s="447"/>
      <c r="J67" s="447"/>
      <c r="K67" s="447"/>
      <c r="L67" s="447"/>
      <c r="M67" s="447"/>
      <c r="N67" s="447"/>
      <c r="O67" s="447"/>
      <c r="P67" s="447"/>
    </row>
    <row r="68" spans="1:16" ht="16.5" thickBot="1" x14ac:dyDescent="0.3">
      <c r="A68" s="447"/>
      <c r="B68" s="447"/>
      <c r="C68" s="447"/>
      <c r="D68" s="447"/>
      <c r="E68" s="447"/>
      <c r="F68" s="447"/>
      <c r="G68" s="447"/>
      <c r="H68" s="447"/>
      <c r="I68" s="447"/>
      <c r="J68" s="447"/>
      <c r="K68" s="447"/>
      <c r="L68" s="447"/>
      <c r="M68" s="447"/>
      <c r="N68" s="447"/>
      <c r="O68" s="447"/>
      <c r="P68" s="447"/>
    </row>
    <row r="69" spans="1:16" ht="15.75" x14ac:dyDescent="0.25">
      <c r="A69" s="447"/>
      <c r="B69" s="101"/>
      <c r="C69" s="362"/>
      <c r="D69" s="348"/>
      <c r="E69" s="348"/>
      <c r="F69" s="348"/>
      <c r="G69" s="348"/>
      <c r="H69" s="348"/>
      <c r="I69" s="449"/>
      <c r="J69" s="447"/>
      <c r="K69" s="447"/>
      <c r="L69" s="447"/>
      <c r="M69" s="447"/>
      <c r="N69" s="447"/>
      <c r="O69" s="447"/>
      <c r="P69" s="447"/>
    </row>
    <row r="70" spans="1:16" ht="15.75" x14ac:dyDescent="0.25">
      <c r="A70" s="447"/>
      <c r="B70" s="102"/>
      <c r="C70" s="283"/>
      <c r="D70" s="283" t="s">
        <v>1109</v>
      </c>
      <c r="E70" s="349"/>
      <c r="F70" s="349"/>
      <c r="G70" s="349"/>
      <c r="H70" s="349" t="s">
        <v>665</v>
      </c>
      <c r="I70" s="450"/>
      <c r="J70" s="447"/>
      <c r="K70" s="447"/>
      <c r="L70" s="447"/>
      <c r="M70" s="447"/>
      <c r="N70" s="447"/>
      <c r="O70" s="447"/>
      <c r="P70" s="447"/>
    </row>
    <row r="71" spans="1:16" ht="16.5" thickBot="1" x14ac:dyDescent="0.3">
      <c r="A71" s="447"/>
      <c r="B71" s="102"/>
      <c r="C71" s="349"/>
      <c r="D71" s="349"/>
      <c r="E71" s="349"/>
      <c r="F71" s="349"/>
      <c r="G71" s="349"/>
      <c r="H71" s="349"/>
      <c r="I71" s="450"/>
      <c r="J71" s="447"/>
      <c r="K71" s="447"/>
      <c r="L71" s="447"/>
      <c r="M71" s="447"/>
      <c r="N71" s="447"/>
      <c r="O71" s="447"/>
      <c r="P71" s="447"/>
    </row>
    <row r="72" spans="1:16" ht="15.75" x14ac:dyDescent="0.25">
      <c r="A72" s="447"/>
      <c r="B72" s="452"/>
      <c r="C72" s="461"/>
      <c r="D72" s="461"/>
      <c r="E72" s="461"/>
      <c r="F72" s="461"/>
      <c r="G72" s="461"/>
      <c r="H72" s="461"/>
      <c r="I72" s="462"/>
      <c r="J72" s="447"/>
      <c r="K72" s="447"/>
      <c r="L72" s="447"/>
      <c r="M72" s="447"/>
      <c r="N72" s="447"/>
      <c r="O72" s="447"/>
      <c r="P72" s="447"/>
    </row>
    <row r="73" spans="1:16" ht="15.75" x14ac:dyDescent="0.25">
      <c r="A73" s="447"/>
      <c r="B73" s="455"/>
      <c r="C73" s="463"/>
      <c r="D73" s="80" t="s">
        <v>666</v>
      </c>
      <c r="E73" s="456"/>
      <c r="F73" s="456"/>
      <c r="G73" s="456"/>
      <c r="H73" s="691">
        <v>0</v>
      </c>
      <c r="I73" s="464"/>
      <c r="J73" s="447"/>
      <c r="K73" s="447"/>
      <c r="L73" s="447"/>
      <c r="M73" s="447"/>
      <c r="N73" s="342" t="str">
        <f>IF(Control!E6="Biannual","Complete",IF(OR(H73="",H73&lt;1),"Incomplete","Complete"))</f>
        <v>Incomplete</v>
      </c>
      <c r="O73" s="447"/>
      <c r="P73" s="447"/>
    </row>
    <row r="74" spans="1:16" ht="15.75" x14ac:dyDescent="0.25">
      <c r="A74" s="447"/>
      <c r="B74" s="455"/>
      <c r="C74" s="463"/>
      <c r="D74" s="80" t="s">
        <v>667</v>
      </c>
      <c r="E74" s="456"/>
      <c r="F74" s="456"/>
      <c r="G74" s="456"/>
      <c r="H74" s="691">
        <v>0</v>
      </c>
      <c r="I74" s="464"/>
      <c r="J74" s="447"/>
      <c r="K74" s="447"/>
      <c r="L74" s="447"/>
      <c r="M74" s="447"/>
      <c r="N74" s="342" t="str">
        <f>IF(Control!E6="Biannual","Complete",IF(OR(H74="",H74&lt;1),"Incomplete","Complete"))</f>
        <v>Incomplete</v>
      </c>
      <c r="O74" s="447"/>
      <c r="P74" s="447"/>
    </row>
    <row r="75" spans="1:16" ht="16.5" thickBot="1" x14ac:dyDescent="0.3">
      <c r="A75" s="447"/>
      <c r="B75" s="458"/>
      <c r="C75" s="465"/>
      <c r="D75" s="465"/>
      <c r="E75" s="465"/>
      <c r="F75" s="465"/>
      <c r="G75" s="465"/>
      <c r="H75" s="465"/>
      <c r="I75" s="466"/>
      <c r="J75" s="447"/>
      <c r="K75" s="447"/>
      <c r="L75" s="447"/>
      <c r="M75" s="447"/>
      <c r="N75" s="447"/>
      <c r="O75" s="447"/>
      <c r="P75" s="447"/>
    </row>
    <row r="76" spans="1:16" ht="15.75" x14ac:dyDescent="0.25">
      <c r="A76" s="447"/>
      <c r="B76" s="427" t="s">
        <v>661</v>
      </c>
      <c r="C76" s="447"/>
      <c r="D76" s="447"/>
      <c r="E76" s="447"/>
      <c r="F76" s="447"/>
      <c r="G76" s="447"/>
      <c r="H76" s="447"/>
      <c r="I76" s="447"/>
      <c r="J76" s="447"/>
      <c r="K76" s="447"/>
      <c r="L76" s="447"/>
      <c r="M76" s="447"/>
      <c r="N76" s="447"/>
      <c r="O76" s="447"/>
      <c r="P76" s="447"/>
    </row>
    <row r="77" spans="1:16" ht="15.75" x14ac:dyDescent="0.25">
      <c r="A77" s="184"/>
      <c r="B77" s="184"/>
      <c r="C77" s="184"/>
      <c r="D77" s="184"/>
      <c r="E77" s="184"/>
      <c r="F77" s="184"/>
      <c r="G77" s="184"/>
      <c r="H77" s="184"/>
      <c r="I77" s="184"/>
      <c r="J77" s="184"/>
      <c r="K77" s="184"/>
      <c r="L77" s="184"/>
      <c r="M77" s="184"/>
      <c r="N77" s="184"/>
      <c r="O77" s="184"/>
      <c r="P77" s="184"/>
    </row>
    <row r="78" spans="1:16" ht="15.75" x14ac:dyDescent="0.25">
      <c r="A78" s="184"/>
      <c r="B78" s="184"/>
      <c r="C78" s="184"/>
      <c r="D78" s="184"/>
      <c r="E78" s="184"/>
      <c r="F78" s="184"/>
      <c r="G78" s="184"/>
      <c r="H78" s="184"/>
      <c r="I78" s="184"/>
      <c r="J78" s="184"/>
      <c r="K78" s="184"/>
      <c r="L78" s="184"/>
      <c r="M78" s="184"/>
      <c r="N78" s="184"/>
      <c r="O78" s="184"/>
      <c r="P78" s="184"/>
    </row>
    <row r="79" spans="1:16" ht="15.75" x14ac:dyDescent="0.25">
      <c r="A79" s="184"/>
      <c r="B79" s="184"/>
      <c r="C79" s="184"/>
      <c r="D79" s="184"/>
      <c r="E79" s="184"/>
      <c r="F79" s="184"/>
      <c r="G79" s="184"/>
      <c r="H79" s="184"/>
      <c r="I79" s="184"/>
      <c r="J79" s="184"/>
      <c r="K79" s="184"/>
      <c r="L79" s="184"/>
      <c r="M79" s="184"/>
      <c r="N79" s="184"/>
      <c r="O79" s="184"/>
      <c r="P79" s="184"/>
    </row>
    <row r="80" spans="1:16" ht="15.75" x14ac:dyDescent="0.25">
      <c r="A80" s="184"/>
      <c r="B80" s="184"/>
      <c r="C80" s="184"/>
      <c r="D80" s="184"/>
      <c r="E80" s="184"/>
      <c r="F80" s="184"/>
      <c r="G80" s="184"/>
      <c r="H80" s="184"/>
      <c r="I80" s="184"/>
      <c r="J80" s="184"/>
      <c r="K80" s="184"/>
      <c r="L80" s="184"/>
      <c r="M80" s="184"/>
      <c r="N80" s="184"/>
      <c r="O80" s="184"/>
      <c r="P80" s="184"/>
    </row>
    <row r="81" spans="1:16" ht="15.75" x14ac:dyDescent="0.25">
      <c r="A81" s="184"/>
      <c r="B81" s="184"/>
      <c r="C81" s="184"/>
      <c r="D81" s="184"/>
      <c r="E81" s="184"/>
      <c r="F81" s="184"/>
      <c r="G81" s="184"/>
      <c r="H81" s="184"/>
      <c r="I81" s="184"/>
      <c r="J81" s="184"/>
      <c r="K81" s="184"/>
      <c r="L81" s="184"/>
      <c r="M81" s="184"/>
      <c r="N81" s="184"/>
      <c r="O81" s="184"/>
      <c r="P81" s="184"/>
    </row>
    <row r="82" spans="1:16" ht="15.75" x14ac:dyDescent="0.25">
      <c r="A82" s="184"/>
      <c r="B82" s="184"/>
      <c r="C82" s="184"/>
      <c r="D82" s="184"/>
      <c r="E82" s="184"/>
      <c r="F82" s="184"/>
      <c r="G82" s="184"/>
      <c r="H82" s="184"/>
      <c r="I82" s="184"/>
      <c r="J82" s="184"/>
      <c r="K82" s="184"/>
      <c r="L82" s="184"/>
      <c r="M82" s="184"/>
      <c r="N82" s="184"/>
      <c r="O82" s="184"/>
      <c r="P82" s="184"/>
    </row>
    <row r="83" spans="1:16" ht="15.75" x14ac:dyDescent="0.25">
      <c r="A83" s="184"/>
      <c r="B83" s="184"/>
      <c r="C83" s="184"/>
      <c r="D83" s="184"/>
      <c r="E83" s="184"/>
      <c r="F83" s="184"/>
      <c r="G83" s="184"/>
      <c r="H83" s="184"/>
      <c r="I83" s="184"/>
      <c r="J83" s="184"/>
      <c r="K83" s="184"/>
      <c r="L83" s="184"/>
      <c r="M83" s="184"/>
      <c r="N83" s="184"/>
      <c r="O83" s="184"/>
      <c r="P83" s="184"/>
    </row>
    <row r="84" spans="1:16" ht="15.75" x14ac:dyDescent="0.25">
      <c r="A84" s="184"/>
      <c r="B84" s="184"/>
      <c r="C84" s="184"/>
      <c r="D84" s="184"/>
      <c r="E84" s="184"/>
      <c r="F84" s="184"/>
      <c r="G84" s="184"/>
      <c r="H84" s="184"/>
      <c r="I84" s="184"/>
      <c r="J84" s="184"/>
      <c r="K84" s="184"/>
      <c r="L84" s="184"/>
      <c r="M84" s="184"/>
      <c r="N84" s="184"/>
      <c r="O84" s="184"/>
      <c r="P84" s="184"/>
    </row>
    <row r="85" spans="1:16" ht="15.75" x14ac:dyDescent="0.25">
      <c r="A85" s="184"/>
      <c r="B85" s="184"/>
      <c r="C85" s="184"/>
      <c r="D85" s="184"/>
      <c r="E85" s="184"/>
      <c r="F85" s="184"/>
      <c r="G85" s="184"/>
      <c r="H85" s="184"/>
      <c r="I85" s="184"/>
      <c r="J85" s="184"/>
      <c r="K85" s="184"/>
      <c r="L85" s="184"/>
      <c r="M85" s="184"/>
      <c r="N85" s="184"/>
      <c r="O85" s="184"/>
      <c r="P85" s="184"/>
    </row>
    <row r="86" spans="1:16" ht="15.75" x14ac:dyDescent="0.25">
      <c r="A86" s="184"/>
      <c r="B86" s="184"/>
      <c r="C86" s="184"/>
      <c r="D86" s="184"/>
      <c r="E86" s="184"/>
      <c r="F86" s="184"/>
      <c r="G86" s="184"/>
      <c r="H86" s="184"/>
      <c r="I86" s="184"/>
      <c r="J86" s="184"/>
      <c r="K86" s="184"/>
      <c r="L86" s="184"/>
      <c r="M86" s="184"/>
      <c r="N86" s="184"/>
      <c r="O86" s="184"/>
      <c r="P86" s="184"/>
    </row>
    <row r="87" spans="1:16" ht="15.75" x14ac:dyDescent="0.25">
      <c r="A87" s="184"/>
      <c r="B87" s="184"/>
      <c r="C87" s="184"/>
      <c r="D87" s="184"/>
      <c r="E87" s="184"/>
      <c r="F87" s="184"/>
      <c r="G87" s="184"/>
      <c r="H87" s="184"/>
      <c r="I87" s="184"/>
      <c r="J87" s="184"/>
      <c r="K87" s="184"/>
      <c r="L87" s="184"/>
      <c r="M87" s="184"/>
      <c r="N87" s="184"/>
      <c r="O87" s="184"/>
      <c r="P87" s="184"/>
    </row>
    <row r="88" spans="1:16" ht="15.75" x14ac:dyDescent="0.25">
      <c r="A88" s="184"/>
      <c r="B88" s="184"/>
      <c r="C88" s="184"/>
      <c r="D88" s="184"/>
      <c r="E88" s="184"/>
      <c r="F88" s="184"/>
      <c r="G88" s="184"/>
      <c r="H88" s="184"/>
      <c r="I88" s="184"/>
      <c r="J88" s="184"/>
      <c r="K88" s="184"/>
      <c r="L88" s="184"/>
      <c r="M88" s="184"/>
      <c r="N88" s="184"/>
      <c r="O88" s="184"/>
      <c r="P88" s="184"/>
    </row>
    <row r="89" spans="1:16" ht="15.75" x14ac:dyDescent="0.25">
      <c r="A89" s="184"/>
      <c r="B89" s="184"/>
      <c r="C89" s="184"/>
      <c r="D89" s="184"/>
      <c r="E89" s="184"/>
      <c r="F89" s="184"/>
      <c r="G89" s="184"/>
      <c r="H89" s="184"/>
      <c r="I89" s="184"/>
      <c r="J89" s="184"/>
      <c r="K89" s="184"/>
      <c r="L89" s="184"/>
      <c r="M89" s="184"/>
      <c r="N89" s="184"/>
      <c r="O89" s="184"/>
      <c r="P89" s="184"/>
    </row>
    <row r="90" spans="1:16" ht="15.75" x14ac:dyDescent="0.25">
      <c r="A90" s="184"/>
      <c r="B90" s="184"/>
      <c r="C90" s="184"/>
      <c r="D90" s="184"/>
      <c r="E90" s="184"/>
      <c r="F90" s="184"/>
      <c r="G90" s="184"/>
      <c r="H90" s="184"/>
      <c r="I90" s="184"/>
      <c r="J90" s="184"/>
      <c r="K90" s="184"/>
      <c r="L90" s="184"/>
      <c r="M90" s="184"/>
      <c r="N90" s="184"/>
      <c r="O90" s="184"/>
      <c r="P90" s="184"/>
    </row>
    <row r="91" spans="1:16" ht="15.75" x14ac:dyDescent="0.25">
      <c r="A91" s="184"/>
      <c r="B91" s="184"/>
      <c r="C91" s="184"/>
      <c r="D91" s="184"/>
      <c r="E91" s="184"/>
      <c r="F91" s="184"/>
      <c r="G91" s="184"/>
      <c r="H91" s="184"/>
      <c r="I91" s="184"/>
      <c r="J91" s="184"/>
      <c r="K91" s="184"/>
      <c r="L91" s="184"/>
      <c r="M91" s="184"/>
      <c r="N91" s="184"/>
      <c r="O91" s="184"/>
      <c r="P91" s="184"/>
    </row>
    <row r="92" spans="1:16" ht="15.75" x14ac:dyDescent="0.25">
      <c r="A92" s="184"/>
      <c r="B92" s="184"/>
      <c r="C92" s="184"/>
      <c r="D92" s="184"/>
      <c r="E92" s="184"/>
      <c r="F92" s="184"/>
      <c r="G92" s="184"/>
      <c r="H92" s="184"/>
      <c r="I92" s="184"/>
      <c r="J92" s="184"/>
      <c r="K92" s="184"/>
      <c r="L92" s="184"/>
      <c r="M92" s="184"/>
      <c r="N92" s="184"/>
      <c r="O92" s="184"/>
      <c r="P92" s="184"/>
    </row>
    <row r="93" spans="1:16" ht="15.75" x14ac:dyDescent="0.25">
      <c r="A93" s="184"/>
      <c r="B93" s="184"/>
      <c r="C93" s="184"/>
      <c r="D93" s="184"/>
      <c r="E93" s="184"/>
      <c r="F93" s="184"/>
      <c r="G93" s="184"/>
      <c r="H93" s="184"/>
      <c r="I93" s="184"/>
      <c r="J93" s="184"/>
      <c r="K93" s="184"/>
      <c r="L93" s="184"/>
      <c r="M93" s="184"/>
      <c r="N93" s="184"/>
      <c r="O93" s="184"/>
      <c r="P93" s="184"/>
    </row>
    <row r="94" spans="1:16" ht="15.75" x14ac:dyDescent="0.25">
      <c r="A94" s="184"/>
      <c r="B94" s="184"/>
      <c r="C94" s="184"/>
      <c r="D94" s="184"/>
      <c r="E94" s="184"/>
      <c r="F94" s="184"/>
      <c r="G94" s="184"/>
      <c r="H94" s="184"/>
      <c r="I94" s="184"/>
      <c r="J94" s="184"/>
      <c r="K94" s="184"/>
      <c r="L94" s="184"/>
      <c r="M94" s="184"/>
      <c r="N94" s="184"/>
      <c r="O94" s="184"/>
      <c r="P94" s="184"/>
    </row>
    <row r="95" spans="1:16" ht="15.75" x14ac:dyDescent="0.25">
      <c r="A95" s="184"/>
      <c r="B95" s="184"/>
      <c r="C95" s="184"/>
      <c r="D95" s="184"/>
      <c r="E95" s="184"/>
      <c r="F95" s="184"/>
      <c r="G95" s="184"/>
      <c r="H95" s="184"/>
      <c r="I95" s="184"/>
      <c r="J95" s="184"/>
      <c r="K95" s="184"/>
      <c r="L95" s="184"/>
      <c r="M95" s="184"/>
      <c r="N95" s="184"/>
      <c r="O95" s="184"/>
      <c r="P95" s="184"/>
    </row>
    <row r="96" spans="1:16" ht="15.75" x14ac:dyDescent="0.25">
      <c r="A96" s="184"/>
      <c r="B96" s="184"/>
      <c r="C96" s="184"/>
      <c r="D96" s="184"/>
      <c r="E96" s="184"/>
      <c r="F96" s="184"/>
      <c r="G96" s="184"/>
      <c r="H96" s="184"/>
      <c r="I96" s="184"/>
      <c r="J96" s="184"/>
      <c r="K96" s="184"/>
      <c r="L96" s="184"/>
      <c r="M96" s="184"/>
      <c r="N96" s="184"/>
      <c r="O96" s="184"/>
      <c r="P96" s="184"/>
    </row>
    <row r="97" spans="1:16" ht="15.75" x14ac:dyDescent="0.25">
      <c r="A97" s="184"/>
      <c r="B97" s="184"/>
      <c r="C97" s="184"/>
      <c r="D97" s="184"/>
      <c r="E97" s="184"/>
      <c r="F97" s="184"/>
      <c r="G97" s="184"/>
      <c r="H97" s="184"/>
      <c r="I97" s="184"/>
      <c r="J97" s="184"/>
      <c r="K97" s="184"/>
      <c r="L97" s="184"/>
      <c r="M97" s="184"/>
      <c r="N97" s="184"/>
      <c r="O97" s="184"/>
      <c r="P97" s="184"/>
    </row>
    <row r="98" spans="1:16" ht="15.75" x14ac:dyDescent="0.25">
      <c r="A98" s="184"/>
      <c r="B98" s="184"/>
      <c r="C98" s="184"/>
      <c r="D98" s="184"/>
      <c r="E98" s="184"/>
      <c r="F98" s="184"/>
      <c r="G98" s="184"/>
      <c r="H98" s="184"/>
      <c r="I98" s="184"/>
      <c r="J98" s="184"/>
      <c r="K98" s="184"/>
      <c r="L98" s="184"/>
      <c r="M98" s="184"/>
      <c r="N98" s="184"/>
      <c r="O98" s="184"/>
      <c r="P98" s="184"/>
    </row>
    <row r="99" spans="1:16" ht="15.75" x14ac:dyDescent="0.25">
      <c r="A99" s="184"/>
      <c r="B99" s="184"/>
      <c r="C99" s="184"/>
      <c r="D99" s="184"/>
      <c r="E99" s="184"/>
      <c r="F99" s="184"/>
      <c r="G99" s="184"/>
      <c r="H99" s="184"/>
      <c r="I99" s="184"/>
      <c r="J99" s="184"/>
      <c r="K99" s="184"/>
      <c r="L99" s="184"/>
      <c r="M99" s="184"/>
      <c r="N99" s="184"/>
      <c r="O99" s="184"/>
      <c r="P99" s="184"/>
    </row>
    <row r="100" spans="1:16" ht="15.75" x14ac:dyDescent="0.25">
      <c r="A100" s="184"/>
      <c r="B100" s="184"/>
      <c r="C100" s="184"/>
      <c r="D100" s="184"/>
      <c r="E100" s="184"/>
      <c r="F100" s="184"/>
      <c r="G100" s="184"/>
      <c r="H100" s="184"/>
      <c r="I100" s="184"/>
      <c r="J100" s="184"/>
      <c r="K100" s="184"/>
      <c r="L100" s="184"/>
      <c r="M100" s="184"/>
      <c r="N100" s="184"/>
      <c r="O100" s="184"/>
      <c r="P100" s="184"/>
    </row>
    <row r="101" spans="1:16" ht="15.75" x14ac:dyDescent="0.25">
      <c r="A101" s="184"/>
      <c r="B101" s="184"/>
      <c r="C101" s="184"/>
      <c r="D101" s="184"/>
      <c r="E101" s="184"/>
      <c r="F101" s="184"/>
      <c r="G101" s="184"/>
      <c r="H101" s="184"/>
      <c r="I101" s="184"/>
      <c r="J101" s="184"/>
      <c r="K101" s="184"/>
      <c r="L101" s="184"/>
      <c r="M101" s="184"/>
      <c r="N101" s="184"/>
      <c r="O101" s="184"/>
      <c r="P101" s="184"/>
    </row>
    <row r="102" spans="1:16" ht="15.75" x14ac:dyDescent="0.25">
      <c r="A102" s="184"/>
      <c r="B102" s="184"/>
      <c r="C102" s="184"/>
      <c r="D102" s="184"/>
      <c r="E102" s="184"/>
      <c r="F102" s="184"/>
      <c r="G102" s="184"/>
      <c r="H102" s="184"/>
      <c r="I102" s="184"/>
      <c r="J102" s="184"/>
      <c r="K102" s="184"/>
      <c r="L102" s="184"/>
      <c r="M102" s="184"/>
      <c r="N102" s="184"/>
      <c r="O102" s="184"/>
      <c r="P102" s="184"/>
    </row>
    <row r="103" spans="1:16" ht="15.75" x14ac:dyDescent="0.25">
      <c r="A103" s="184"/>
      <c r="B103" s="184"/>
      <c r="C103" s="184"/>
      <c r="D103" s="184"/>
      <c r="E103" s="184"/>
      <c r="F103" s="184"/>
      <c r="G103" s="184"/>
      <c r="H103" s="184"/>
      <c r="I103" s="184"/>
      <c r="J103" s="184"/>
      <c r="K103" s="184"/>
      <c r="L103" s="184"/>
      <c r="M103" s="184"/>
      <c r="N103" s="184"/>
      <c r="O103" s="184"/>
      <c r="P103" s="184"/>
    </row>
    <row r="104" spans="1:16" ht="15.75" x14ac:dyDescent="0.25">
      <c r="A104" s="184"/>
      <c r="B104" s="184"/>
      <c r="C104" s="184"/>
      <c r="D104" s="184"/>
      <c r="E104" s="184"/>
      <c r="F104" s="184"/>
      <c r="G104" s="184"/>
      <c r="H104" s="184"/>
      <c r="I104" s="184"/>
      <c r="J104" s="184"/>
      <c r="K104" s="184"/>
      <c r="L104" s="184"/>
      <c r="M104" s="184"/>
      <c r="N104" s="184"/>
      <c r="O104" s="184"/>
      <c r="P104" s="184"/>
    </row>
    <row r="105" spans="1:16" ht="15.75" x14ac:dyDescent="0.25">
      <c r="A105" s="184"/>
      <c r="B105" s="184"/>
      <c r="C105" s="184"/>
      <c r="D105" s="184"/>
      <c r="E105" s="184"/>
      <c r="F105" s="184"/>
      <c r="G105" s="184"/>
      <c r="H105" s="184"/>
      <c r="I105" s="184"/>
      <c r="J105" s="184"/>
      <c r="K105" s="184"/>
      <c r="L105" s="184"/>
      <c r="M105" s="184"/>
      <c r="N105" s="184"/>
      <c r="O105" s="184"/>
      <c r="P105" s="184"/>
    </row>
    <row r="106" spans="1:16" ht="15.75" x14ac:dyDescent="0.25">
      <c r="A106" s="184"/>
      <c r="B106" s="184"/>
      <c r="C106" s="184"/>
      <c r="D106" s="184"/>
      <c r="E106" s="184"/>
      <c r="F106" s="184"/>
      <c r="G106" s="184"/>
      <c r="H106" s="184"/>
      <c r="I106" s="184"/>
      <c r="J106" s="184"/>
      <c r="K106" s="184"/>
      <c r="L106" s="184"/>
      <c r="M106" s="184"/>
      <c r="N106" s="184"/>
      <c r="O106" s="184"/>
      <c r="P106" s="184"/>
    </row>
    <row r="107" spans="1:16" ht="15.75" x14ac:dyDescent="0.25">
      <c r="A107" s="184"/>
      <c r="B107" s="184"/>
      <c r="C107" s="184"/>
      <c r="D107" s="184"/>
      <c r="E107" s="184"/>
      <c r="F107" s="184"/>
      <c r="G107" s="184"/>
      <c r="H107" s="184"/>
      <c r="I107" s="184"/>
      <c r="J107" s="184"/>
      <c r="K107" s="184"/>
      <c r="L107" s="184"/>
      <c r="M107" s="184"/>
      <c r="N107" s="184"/>
      <c r="O107" s="184"/>
      <c r="P107" s="184"/>
    </row>
    <row r="108" spans="1:16" ht="15.75" x14ac:dyDescent="0.25">
      <c r="A108" s="184"/>
      <c r="B108" s="184"/>
      <c r="C108" s="184"/>
      <c r="D108" s="184"/>
      <c r="E108" s="184"/>
      <c r="F108" s="184"/>
      <c r="G108" s="184"/>
      <c r="H108" s="184"/>
      <c r="I108" s="184"/>
      <c r="J108" s="184"/>
      <c r="K108" s="184"/>
      <c r="L108" s="184"/>
      <c r="M108" s="184"/>
      <c r="N108" s="184"/>
      <c r="O108" s="184"/>
      <c r="P108" s="184"/>
    </row>
    <row r="109" spans="1:16" ht="15.75" x14ac:dyDescent="0.25">
      <c r="A109" s="184"/>
      <c r="B109" s="184"/>
      <c r="C109" s="184"/>
      <c r="D109" s="184"/>
      <c r="E109" s="184"/>
      <c r="F109" s="184"/>
      <c r="G109" s="184"/>
      <c r="H109" s="184"/>
      <c r="I109" s="184"/>
      <c r="J109" s="184"/>
      <c r="K109" s="184"/>
      <c r="L109" s="184"/>
      <c r="M109" s="184"/>
      <c r="N109" s="184"/>
      <c r="O109" s="184"/>
      <c r="P109" s="184"/>
    </row>
    <row r="110" spans="1:16" ht="15.75" x14ac:dyDescent="0.25">
      <c r="A110" s="184"/>
      <c r="B110" s="184"/>
      <c r="C110" s="184"/>
      <c r="D110" s="184"/>
      <c r="E110" s="184"/>
      <c r="F110" s="184"/>
      <c r="G110" s="184"/>
      <c r="H110" s="184"/>
      <c r="I110" s="184"/>
      <c r="J110" s="184"/>
      <c r="K110" s="184"/>
      <c r="L110" s="184"/>
      <c r="M110" s="184"/>
      <c r="N110" s="184"/>
      <c r="O110" s="184"/>
      <c r="P110" s="184"/>
    </row>
    <row r="111" spans="1:16" ht="15.75" x14ac:dyDescent="0.25">
      <c r="A111" s="184"/>
      <c r="B111" s="184"/>
      <c r="C111" s="184"/>
      <c r="D111" s="184"/>
      <c r="E111" s="184"/>
      <c r="F111" s="184"/>
      <c r="G111" s="184"/>
      <c r="H111" s="184"/>
      <c r="I111" s="184"/>
      <c r="J111" s="184"/>
      <c r="K111" s="184"/>
      <c r="L111" s="184"/>
      <c r="M111" s="184"/>
      <c r="N111" s="184"/>
      <c r="O111" s="184"/>
      <c r="P111" s="184"/>
    </row>
    <row r="112" spans="1:16" ht="15.75" x14ac:dyDescent="0.25">
      <c r="A112" s="184"/>
      <c r="B112" s="184"/>
      <c r="C112" s="184"/>
      <c r="D112" s="184"/>
      <c r="E112" s="184"/>
      <c r="F112" s="184"/>
      <c r="G112" s="184"/>
      <c r="H112" s="184"/>
      <c r="I112" s="184"/>
      <c r="J112" s="184"/>
      <c r="K112" s="184"/>
      <c r="L112" s="184"/>
      <c r="M112" s="184"/>
      <c r="N112" s="184"/>
      <c r="O112" s="184"/>
      <c r="P112" s="184"/>
    </row>
    <row r="113" spans="1:16" ht="15.75" x14ac:dyDescent="0.25">
      <c r="A113" s="184"/>
      <c r="B113" s="184"/>
      <c r="C113" s="184"/>
      <c r="D113" s="184"/>
      <c r="E113" s="184"/>
      <c r="F113" s="184"/>
      <c r="G113" s="184"/>
      <c r="H113" s="184"/>
      <c r="I113" s="184"/>
      <c r="J113" s="184"/>
      <c r="K113" s="184"/>
      <c r="L113" s="184"/>
      <c r="M113" s="184"/>
      <c r="N113" s="184"/>
      <c r="O113" s="184"/>
      <c r="P113" s="184"/>
    </row>
    <row r="114" spans="1:16" ht="15.75" x14ac:dyDescent="0.25">
      <c r="A114" s="184"/>
      <c r="B114" s="184"/>
      <c r="C114" s="184"/>
      <c r="D114" s="184"/>
      <c r="E114" s="184"/>
      <c r="F114" s="184"/>
      <c r="G114" s="184"/>
      <c r="H114" s="184"/>
      <c r="I114" s="184"/>
      <c r="J114" s="184"/>
      <c r="K114" s="184"/>
      <c r="L114" s="184"/>
      <c r="M114" s="184"/>
      <c r="N114" s="184"/>
      <c r="O114" s="184"/>
      <c r="P114" s="184"/>
    </row>
    <row r="115" spans="1:16" ht="15.75" x14ac:dyDescent="0.25">
      <c r="A115" s="184"/>
      <c r="B115" s="184"/>
      <c r="C115" s="184"/>
      <c r="D115" s="184"/>
      <c r="E115" s="184"/>
      <c r="F115" s="184"/>
      <c r="G115" s="184"/>
      <c r="H115" s="184"/>
      <c r="I115" s="184"/>
      <c r="J115" s="184"/>
      <c r="K115" s="184"/>
      <c r="L115" s="184"/>
      <c r="M115" s="184"/>
      <c r="N115" s="184"/>
      <c r="O115" s="184"/>
      <c r="P115" s="184"/>
    </row>
    <row r="116" spans="1:16" ht="15.75" x14ac:dyDescent="0.25">
      <c r="A116" s="184"/>
      <c r="B116" s="184"/>
      <c r="C116" s="184"/>
      <c r="D116" s="184"/>
      <c r="E116" s="184"/>
      <c r="F116" s="184"/>
      <c r="G116" s="184"/>
      <c r="H116" s="184"/>
      <c r="I116" s="184"/>
      <c r="J116" s="184"/>
      <c r="K116" s="184"/>
      <c r="L116" s="184"/>
      <c r="M116" s="184"/>
      <c r="N116" s="184"/>
      <c r="O116" s="184"/>
      <c r="P116" s="184"/>
    </row>
    <row r="117" spans="1:16" ht="15.75" x14ac:dyDescent="0.25">
      <c r="A117" s="184"/>
      <c r="B117" s="184"/>
      <c r="C117" s="184"/>
      <c r="D117" s="184"/>
      <c r="E117" s="184"/>
      <c r="F117" s="184"/>
      <c r="G117" s="184"/>
      <c r="H117" s="184"/>
      <c r="I117" s="184"/>
      <c r="J117" s="184"/>
      <c r="K117" s="184"/>
      <c r="L117" s="184"/>
      <c r="M117" s="184"/>
      <c r="N117" s="184"/>
      <c r="O117" s="184"/>
      <c r="P117" s="184"/>
    </row>
    <row r="118" spans="1:16" ht="15.75" x14ac:dyDescent="0.25">
      <c r="A118" s="184"/>
      <c r="B118" s="184"/>
      <c r="C118" s="184"/>
      <c r="D118" s="184"/>
      <c r="E118" s="184"/>
      <c r="F118" s="184"/>
      <c r="G118" s="184"/>
      <c r="H118" s="184"/>
      <c r="I118" s="184"/>
      <c r="J118" s="184"/>
      <c r="K118" s="184"/>
      <c r="L118" s="184"/>
      <c r="M118" s="184"/>
      <c r="N118" s="184"/>
      <c r="O118" s="184"/>
      <c r="P118" s="184"/>
    </row>
    <row r="119" spans="1:16" ht="15.75" x14ac:dyDescent="0.25">
      <c r="A119" s="184"/>
      <c r="B119" s="184"/>
      <c r="C119" s="184"/>
      <c r="D119" s="184"/>
      <c r="E119" s="184"/>
      <c r="F119" s="184"/>
      <c r="G119" s="184"/>
      <c r="H119" s="184"/>
      <c r="I119" s="184"/>
      <c r="J119" s="184"/>
      <c r="K119" s="184"/>
      <c r="L119" s="184"/>
      <c r="M119" s="184"/>
      <c r="N119" s="184"/>
      <c r="O119" s="184"/>
      <c r="P119" s="184"/>
    </row>
    <row r="120" spans="1:16" ht="15.75" x14ac:dyDescent="0.25">
      <c r="A120" s="184"/>
      <c r="B120" s="184"/>
      <c r="C120" s="184"/>
      <c r="D120" s="184"/>
      <c r="E120" s="184"/>
      <c r="F120" s="184"/>
      <c r="G120" s="184"/>
      <c r="H120" s="184"/>
      <c r="I120" s="184"/>
      <c r="J120" s="184"/>
      <c r="K120" s="184"/>
      <c r="L120" s="184"/>
      <c r="M120" s="184"/>
      <c r="N120" s="184"/>
      <c r="O120" s="184"/>
      <c r="P120" s="184"/>
    </row>
    <row r="121" spans="1:16" ht="15.75" x14ac:dyDescent="0.25">
      <c r="A121" s="184"/>
      <c r="B121" s="184"/>
      <c r="C121" s="184"/>
      <c r="D121" s="184"/>
      <c r="E121" s="184"/>
      <c r="F121" s="184"/>
      <c r="G121" s="184"/>
      <c r="H121" s="184"/>
      <c r="I121" s="184"/>
      <c r="J121" s="184"/>
      <c r="K121" s="184"/>
      <c r="L121" s="184"/>
      <c r="M121" s="184"/>
      <c r="N121" s="184"/>
      <c r="O121" s="184"/>
      <c r="P121" s="184"/>
    </row>
    <row r="122" spans="1:16" ht="15.75" x14ac:dyDescent="0.25">
      <c r="A122" s="747"/>
      <c r="B122" s="747"/>
      <c r="C122" s="747"/>
      <c r="D122" s="747"/>
      <c r="E122" s="747"/>
      <c r="F122" s="747"/>
      <c r="G122" s="747"/>
      <c r="H122" s="747"/>
      <c r="I122" s="747"/>
      <c r="J122" s="747"/>
      <c r="K122" s="747"/>
      <c r="L122" s="747"/>
      <c r="M122" s="747"/>
      <c r="N122" s="747"/>
      <c r="O122" s="747"/>
      <c r="P122" s="747"/>
    </row>
    <row r="123" spans="1:16" ht="15.75" x14ac:dyDescent="0.25">
      <c r="A123" s="747"/>
      <c r="B123" s="747"/>
      <c r="C123" s="747"/>
      <c r="D123" s="747"/>
      <c r="E123" s="747"/>
      <c r="F123" s="747"/>
      <c r="G123" s="747"/>
      <c r="H123" s="747"/>
      <c r="I123" s="747"/>
      <c r="J123" s="747"/>
      <c r="K123" s="747"/>
      <c r="L123" s="747"/>
      <c r="M123" s="747"/>
      <c r="N123" s="747"/>
      <c r="O123" s="747"/>
      <c r="P123" s="747"/>
    </row>
  </sheetData>
  <sheetProtection algorithmName="SHA-512" hashValue="esd3EPpniQAZoq/zHJbhOGhQ+LfP8WkFa86ROBbYozxO4ojk8heFHfKvD4VocGZ9X1VVnjOCxyl8AsOfBtgAvA==" saltValue="WaI/dL9wBWfjhjQZ6qwS6A==" spinCount="100000" sheet="1" objects="1" scenarios="1"/>
  <protectedRanges>
    <protectedRange sqref="H73:H74 H14:H21 H23 H29:H41" name="Range1_2"/>
    <protectedRange sqref="H25" name="Range1"/>
    <protectedRange sqref="E6" name="Range1_1"/>
  </protectedRanges>
  <mergeCells count="2">
    <mergeCell ref="B7:K7"/>
    <mergeCell ref="B44:K44"/>
  </mergeCells>
  <conditionalFormatting sqref="E6">
    <cfRule type="cellIs" dxfId="405" priority="21" operator="equal">
      <formula>"May be incomplete"</formula>
    </cfRule>
    <cfRule type="cellIs" dxfId="404" priority="22" operator="equal">
      <formula>"N/A"</formula>
    </cfRule>
    <cfRule type="cellIs" dxfId="403" priority="23" operator="equal">
      <formula>"Complete"</formula>
    </cfRule>
    <cfRule type="cellIs" dxfId="402" priority="24" operator="equal">
      <formula>"Incomplete"</formula>
    </cfRule>
  </conditionalFormatting>
  <conditionalFormatting sqref="H14:H19">
    <cfRule type="cellIs" dxfId="401" priority="33" operator="equal">
      <formula>"May be incomplete"</formula>
    </cfRule>
    <cfRule type="cellIs" dxfId="400" priority="34" operator="equal">
      <formula>"N/A"</formula>
    </cfRule>
    <cfRule type="cellIs" dxfId="399" priority="35" operator="equal">
      <formula>"Complete"</formula>
    </cfRule>
    <cfRule type="cellIs" dxfId="398" priority="36" operator="equal">
      <formula>"Incomplete"</formula>
    </cfRule>
  </conditionalFormatting>
  <conditionalFormatting sqref="H21">
    <cfRule type="cellIs" dxfId="397" priority="100" operator="equal">
      <formula>"Incomplete"</formula>
    </cfRule>
    <cfRule type="cellIs" dxfId="396" priority="99" operator="equal">
      <formula>"Complete"</formula>
    </cfRule>
    <cfRule type="cellIs" dxfId="395" priority="97" operator="equal">
      <formula>"May be incomplete"</formula>
    </cfRule>
    <cfRule type="cellIs" dxfId="394" priority="98" operator="equal">
      <formula>"N/A"</formula>
    </cfRule>
  </conditionalFormatting>
  <conditionalFormatting sqref="H23">
    <cfRule type="cellIs" dxfId="393" priority="29" operator="equal">
      <formula>"May be incomplete"</formula>
    </cfRule>
    <cfRule type="cellIs" dxfId="392" priority="30" operator="equal">
      <formula>"N/A"</formula>
    </cfRule>
    <cfRule type="cellIs" dxfId="391" priority="31" operator="equal">
      <formula>"Complete"</formula>
    </cfRule>
    <cfRule type="cellIs" dxfId="390" priority="32" operator="equal">
      <formula>"Incomplete"</formula>
    </cfRule>
  </conditionalFormatting>
  <conditionalFormatting sqref="H25">
    <cfRule type="cellIs" dxfId="389" priority="71" operator="equal">
      <formula>"Complete"</formula>
    </cfRule>
    <cfRule type="cellIs" dxfId="388" priority="70" operator="equal">
      <formula>"N/A"</formula>
    </cfRule>
    <cfRule type="cellIs" dxfId="387" priority="69" operator="equal">
      <formula>"May be incomplete"</formula>
    </cfRule>
    <cfRule type="cellIs" dxfId="386" priority="72" operator="equal">
      <formula>"Incomplete"</formula>
    </cfRule>
  </conditionalFormatting>
  <conditionalFormatting sqref="H29:H39">
    <cfRule type="cellIs" dxfId="385" priority="25" operator="equal">
      <formula>"May be incomplete"</formula>
    </cfRule>
    <cfRule type="cellIs" dxfId="384" priority="26" operator="equal">
      <formula>"N/A"</formula>
    </cfRule>
    <cfRule type="cellIs" dxfId="383" priority="27" operator="equal">
      <formula>"Complete"</formula>
    </cfRule>
    <cfRule type="cellIs" dxfId="382" priority="28" operator="equal">
      <formula>"Incomplete"</formula>
    </cfRule>
  </conditionalFormatting>
  <conditionalFormatting sqref="H41">
    <cfRule type="cellIs" dxfId="381" priority="110" operator="equal">
      <formula>"N/A"</formula>
    </cfRule>
    <cfRule type="cellIs" dxfId="380" priority="111" operator="equal">
      <formula>"Complete"</formula>
    </cfRule>
    <cfRule type="cellIs" dxfId="379" priority="112" operator="equal">
      <formula>"Incomplete"</formula>
    </cfRule>
    <cfRule type="cellIs" dxfId="378" priority="109" operator="equal">
      <formula>"May be incomplete"</formula>
    </cfRule>
  </conditionalFormatting>
  <conditionalFormatting sqref="H73:H74">
    <cfRule type="cellIs" dxfId="377" priority="51" operator="equal">
      <formula>"Complete"</formula>
    </cfRule>
    <cfRule type="cellIs" dxfId="376" priority="52" operator="equal">
      <formula>"Incomplete"</formula>
    </cfRule>
    <cfRule type="cellIs" dxfId="375" priority="49" operator="equal">
      <formula>"May be incomplete"</formula>
    </cfRule>
    <cfRule type="cellIs" dxfId="374" priority="50" operator="equal">
      <formula>"N/A"</formula>
    </cfRule>
  </conditionalFormatting>
  <conditionalFormatting sqref="L19">
    <cfRule type="cellIs" dxfId="373" priority="77" operator="equal">
      <formula>"May be incomplete"</formula>
    </cfRule>
    <cfRule type="cellIs" dxfId="372" priority="78" operator="equal">
      <formula>"N/A"</formula>
    </cfRule>
    <cfRule type="cellIs" dxfId="371" priority="79" operator="equal">
      <formula>"Complete"</formula>
    </cfRule>
    <cfRule type="cellIs" dxfId="370" priority="80" operator="equal">
      <formula>"Incomplete"</formula>
    </cfRule>
  </conditionalFormatting>
  <conditionalFormatting sqref="L39">
    <cfRule type="cellIs" dxfId="369" priority="81" operator="equal">
      <formula>"May be incomplete"</formula>
    </cfRule>
    <cfRule type="cellIs" dxfId="368" priority="82" operator="equal">
      <formula>"N/A"</formula>
    </cfRule>
    <cfRule type="cellIs" dxfId="367" priority="83" operator="equal">
      <formula>"Complete"</formula>
    </cfRule>
    <cfRule type="cellIs" dxfId="366" priority="84" operator="equal">
      <formula>"Incomplete"</formula>
    </cfRule>
  </conditionalFormatting>
  <conditionalFormatting sqref="N7">
    <cfRule type="cellIs" dxfId="365" priority="47" operator="equal">
      <formula>"Complete"</formula>
    </cfRule>
    <cfRule type="cellIs" dxfId="364" priority="48" operator="equal">
      <formula>"Incomplete"</formula>
    </cfRule>
  </conditionalFormatting>
  <conditionalFormatting sqref="N14:N19">
    <cfRule type="cellIs" dxfId="363" priority="8" operator="equal">
      <formula>"Incomplete"</formula>
    </cfRule>
    <cfRule type="cellIs" dxfId="362" priority="7" operator="equal">
      <formula>"Complete"</formula>
    </cfRule>
  </conditionalFormatting>
  <conditionalFormatting sqref="N23">
    <cfRule type="cellIs" dxfId="361" priority="6" operator="equal">
      <formula>"Incomplete"</formula>
    </cfRule>
    <cfRule type="cellIs" dxfId="360" priority="5" operator="equal">
      <formula>"Complete"</formula>
    </cfRule>
  </conditionalFormatting>
  <conditionalFormatting sqref="N29:N39">
    <cfRule type="cellIs" dxfId="359" priority="3" operator="equal">
      <formula>"Complete"</formula>
    </cfRule>
    <cfRule type="cellIs" dxfId="358" priority="4" operator="equal">
      <formula>"Incomplete"</formula>
    </cfRule>
  </conditionalFormatting>
  <conditionalFormatting sqref="N50:N65">
    <cfRule type="cellIs" dxfId="357" priority="2" operator="equal">
      <formula>"Incomplete"</formula>
    </cfRule>
    <cfRule type="cellIs" dxfId="356" priority="1" operator="equal">
      <formula>"Complete"</formula>
    </cfRule>
  </conditionalFormatting>
  <conditionalFormatting sqref="N73:N74">
    <cfRule type="cellIs" dxfId="355" priority="38" operator="equal">
      <formula>"Incomplete"</formula>
    </cfRule>
    <cfRule type="cellIs" dxfId="354" priority="37" operator="equal">
      <formula>"Complete"</formula>
    </cfRule>
  </conditionalFormatting>
  <dataValidations count="6">
    <dataValidation allowBlank="1" showErrorMessage="1" sqref="H10 H73:H74 H20:H21 H25 D73:D74 D14:D41 H29:H41 E6 C50:C65" xr:uid="{00000000-0002-0000-1D00-000000000000}"/>
    <dataValidation type="custom" allowBlank="1" showErrorMessage="1" error="Cell must be negative" sqref="H14:H19" xr:uid="{00000000-0002-0000-1D00-000001000000}">
      <formula1>H14&lt;0.0000000001</formula1>
    </dataValidation>
    <dataValidation type="custom" allowBlank="1" showErrorMessage="1" error="Cell must be positive" sqref="H23" xr:uid="{00000000-0002-0000-1D00-000002000000}">
      <formula1>H23&gt;-0.0000000001</formula1>
    </dataValidation>
    <dataValidation type="list" allowBlank="1" showInputMessage="1" showErrorMessage="1" sqref="J50:J65" xr:uid="{00000000-0002-0000-1D00-000003000000}">
      <formula1>"IOM Resident, Non-IOM Resident"</formula1>
    </dataValidation>
    <dataValidation type="list" allowBlank="1" showInputMessage="1" showErrorMessage="1" sqref="H50:H65" xr:uid="{00000000-0002-0000-1D00-000004000000}">
      <formula1>"Independent, Non-Independent"</formula1>
    </dataValidation>
    <dataValidation type="list" allowBlank="1" showInputMessage="1" showErrorMessage="1" sqref="F50:F65" xr:uid="{00000000-0002-0000-1D00-000005000000}">
      <formula1>"Executive, Non-Executive"</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0070C0"/>
  </sheetPr>
  <dimension ref="A1:M116"/>
  <sheetViews>
    <sheetView workbookViewId="0"/>
  </sheetViews>
  <sheetFormatPr defaultColWidth="0" defaultRowHeight="14.25" zeroHeight="1" x14ac:dyDescent="0.2"/>
  <cols>
    <col min="1" max="1" width="1.875" customWidth="1"/>
    <col min="2" max="2" width="17.375" customWidth="1"/>
    <col min="3" max="3" width="70.625" customWidth="1"/>
    <col min="4" max="4" width="2.125" customWidth="1"/>
    <col min="5" max="5" width="11.375" customWidth="1"/>
    <col min="6" max="6" width="1.625" customWidth="1"/>
    <col min="7" max="7" width="1.875" customWidth="1"/>
    <col min="8" max="8" width="9.125" customWidth="1"/>
    <col min="9" max="9" width="1.625" customWidth="1"/>
    <col min="10" max="10" width="1.875" customWidth="1"/>
    <col min="11" max="13" width="9.125" hidden="1"/>
  </cols>
  <sheetData>
    <row r="1" spans="1:10" ht="15.75" x14ac:dyDescent="0.25">
      <c r="A1" s="59">
        <v>1</v>
      </c>
      <c r="B1" s="59"/>
      <c r="C1" s="59"/>
      <c r="D1" s="60"/>
      <c r="E1" s="60"/>
      <c r="F1" s="60"/>
      <c r="G1" s="60"/>
      <c r="H1" s="60"/>
      <c r="I1" s="60"/>
      <c r="J1" s="60"/>
    </row>
    <row r="2" spans="1:10" ht="35.25" customHeight="1" x14ac:dyDescent="0.25">
      <c r="A2" s="60"/>
      <c r="B2" s="60"/>
      <c r="C2" s="52" t="s">
        <v>77</v>
      </c>
      <c r="D2" s="60"/>
      <c r="E2" s="60"/>
      <c r="F2" s="60"/>
      <c r="G2" s="60"/>
      <c r="H2" s="61"/>
      <c r="I2" s="61"/>
      <c r="J2" s="60"/>
    </row>
    <row r="3" spans="1:10" ht="20.100000000000001" customHeight="1" x14ac:dyDescent="0.25">
      <c r="A3" s="53"/>
      <c r="B3" s="96" t="s">
        <v>638</v>
      </c>
      <c r="C3" s="53"/>
      <c r="D3" s="53"/>
      <c r="E3" s="688" t="str">
        <f>IF(Control!$E$6="Biannual", "No","Yes")</f>
        <v>Yes</v>
      </c>
      <c r="F3" s="53"/>
      <c r="G3" s="53"/>
      <c r="H3" s="53"/>
      <c r="I3" s="53"/>
      <c r="J3" s="53"/>
    </row>
    <row r="4" spans="1:10" ht="102" customHeight="1" x14ac:dyDescent="0.25">
      <c r="A4" s="53"/>
      <c r="B4" s="875" t="str">
        <f>Index!D99</f>
        <v>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v>
      </c>
      <c r="C4" s="875"/>
      <c r="D4" s="875"/>
      <c r="E4" s="875"/>
      <c r="F4" s="875"/>
      <c r="G4" s="875"/>
      <c r="H4" s="875"/>
      <c r="I4" s="467"/>
      <c r="J4" s="53"/>
    </row>
    <row r="5" spans="1:10" ht="15.75" x14ac:dyDescent="0.25">
      <c r="A5" s="53"/>
      <c r="B5" s="53"/>
      <c r="C5" s="53"/>
      <c r="D5" s="53"/>
      <c r="E5" s="53"/>
      <c r="F5" s="53"/>
      <c r="G5" s="53"/>
      <c r="H5" s="53"/>
      <c r="I5" s="53"/>
      <c r="J5" s="53"/>
    </row>
    <row r="6" spans="1:10" ht="15.75" x14ac:dyDescent="0.25">
      <c r="A6" s="53"/>
      <c r="B6" s="448"/>
      <c r="C6" s="53"/>
      <c r="D6" s="53"/>
      <c r="E6" s="53"/>
      <c r="F6" s="53"/>
      <c r="G6" s="53"/>
      <c r="H6" s="53"/>
      <c r="I6" s="53"/>
      <c r="J6" s="53"/>
    </row>
    <row r="7" spans="1:10" ht="16.5" thickBot="1" x14ac:dyDescent="0.3">
      <c r="A7" s="53"/>
      <c r="B7" s="53"/>
      <c r="C7" s="53"/>
      <c r="D7" s="53"/>
      <c r="E7" s="53"/>
      <c r="F7" s="53"/>
      <c r="G7" s="53"/>
      <c r="H7" s="53"/>
      <c r="I7" s="53"/>
      <c r="J7" s="53"/>
    </row>
    <row r="8" spans="1:10" ht="16.5" thickBot="1" x14ac:dyDescent="0.3">
      <c r="A8" s="53"/>
      <c r="B8" s="163" t="s">
        <v>668</v>
      </c>
      <c r="C8" s="194"/>
      <c r="D8" s="164"/>
      <c r="E8" s="468" t="s">
        <v>669</v>
      </c>
      <c r="F8" s="166"/>
      <c r="G8" s="53"/>
      <c r="H8" s="53"/>
      <c r="I8" s="53"/>
      <c r="J8" s="53"/>
    </row>
    <row r="9" spans="1:10" ht="15.75" x14ac:dyDescent="0.25">
      <c r="A9" s="53"/>
      <c r="B9" s="106"/>
      <c r="C9" s="80"/>
      <c r="D9" s="80"/>
      <c r="E9" s="80"/>
      <c r="F9" s="81"/>
      <c r="G9" s="53"/>
      <c r="H9" s="53"/>
      <c r="I9" s="53"/>
      <c r="J9" s="53"/>
    </row>
    <row r="10" spans="1:10" ht="15.75" x14ac:dyDescent="0.25">
      <c r="A10" s="53"/>
      <c r="B10" s="106" t="s">
        <v>670</v>
      </c>
      <c r="C10" s="80"/>
      <c r="D10" s="80"/>
      <c r="E10" s="692" t="s">
        <v>671</v>
      </c>
      <c r="F10" s="81"/>
      <c r="G10" s="53"/>
      <c r="H10" s="53"/>
      <c r="I10" s="53"/>
      <c r="J10" s="53"/>
    </row>
    <row r="11" spans="1:10" ht="15.75" x14ac:dyDescent="0.25">
      <c r="A11" s="53"/>
      <c r="B11" s="106"/>
      <c r="C11" s="80"/>
      <c r="D11" s="80"/>
      <c r="E11" s="80"/>
      <c r="F11" s="81"/>
      <c r="G11" s="53"/>
      <c r="H11" s="53"/>
      <c r="I11" s="53"/>
      <c r="J11" s="53"/>
    </row>
    <row r="12" spans="1:10" ht="15.75" x14ac:dyDescent="0.25">
      <c r="A12" s="53"/>
      <c r="B12" s="106" t="s">
        <v>672</v>
      </c>
      <c r="C12" s="80"/>
      <c r="D12" s="80"/>
      <c r="E12" s="692" t="s">
        <v>671</v>
      </c>
      <c r="F12" s="81"/>
      <c r="G12" s="53"/>
      <c r="H12" s="66"/>
      <c r="I12" s="66"/>
      <c r="J12" s="53"/>
    </row>
    <row r="13" spans="1:10" ht="15.75" x14ac:dyDescent="0.25">
      <c r="A13" s="53"/>
      <c r="B13" s="106"/>
      <c r="C13" s="80"/>
      <c r="D13" s="80"/>
      <c r="E13" s="229"/>
      <c r="F13" s="81"/>
      <c r="G13" s="53"/>
      <c r="H13" s="53"/>
      <c r="I13" s="53"/>
      <c r="J13" s="53"/>
    </row>
    <row r="14" spans="1:10" ht="15.75" x14ac:dyDescent="0.25">
      <c r="A14" s="53"/>
      <c r="B14" s="106" t="s">
        <v>673</v>
      </c>
      <c r="C14" s="80"/>
      <c r="D14" s="80"/>
      <c r="E14" s="692" t="s">
        <v>671</v>
      </c>
      <c r="F14" s="81"/>
      <c r="G14" s="53"/>
      <c r="H14" s="53"/>
      <c r="I14" s="53"/>
      <c r="J14" s="53"/>
    </row>
    <row r="15" spans="1:10" ht="15.75" x14ac:dyDescent="0.25">
      <c r="A15" s="53"/>
      <c r="B15" s="106"/>
      <c r="C15" s="80"/>
      <c r="D15" s="80"/>
      <c r="E15" s="229"/>
      <c r="F15" s="81"/>
      <c r="G15" s="53"/>
      <c r="H15" s="53"/>
      <c r="I15" s="53"/>
      <c r="J15" s="53"/>
    </row>
    <row r="16" spans="1:10" ht="15.75" x14ac:dyDescent="0.25">
      <c r="A16" s="53"/>
      <c r="B16" s="106" t="s">
        <v>674</v>
      </c>
      <c r="C16" s="80"/>
      <c r="D16" s="80"/>
      <c r="E16" s="692" t="s">
        <v>671</v>
      </c>
      <c r="F16" s="81"/>
      <c r="G16" s="53"/>
      <c r="H16" s="66"/>
      <c r="I16" s="66"/>
      <c r="J16" s="53"/>
    </row>
    <row r="17" spans="1:10" ht="15.75" x14ac:dyDescent="0.25">
      <c r="A17" s="53"/>
      <c r="B17" s="106"/>
      <c r="C17" s="80"/>
      <c r="D17" s="80"/>
      <c r="E17" s="229"/>
      <c r="F17" s="469"/>
      <c r="G17" s="53"/>
      <c r="H17" s="53"/>
      <c r="I17" s="53"/>
      <c r="J17" s="53"/>
    </row>
    <row r="18" spans="1:10" ht="15.75" x14ac:dyDescent="0.25">
      <c r="A18" s="53"/>
      <c r="B18" s="106" t="s">
        <v>675</v>
      </c>
      <c r="C18" s="80"/>
      <c r="D18" s="80"/>
      <c r="E18" s="692" t="s">
        <v>671</v>
      </c>
      <c r="F18" s="81"/>
      <c r="G18" s="53"/>
      <c r="H18" s="66"/>
      <c r="I18" s="66"/>
      <c r="J18" s="53"/>
    </row>
    <row r="19" spans="1:10" ht="16.5" thickBot="1" x14ac:dyDescent="0.3">
      <c r="A19" s="53"/>
      <c r="B19" s="110"/>
      <c r="C19" s="93"/>
      <c r="D19" s="93"/>
      <c r="E19" s="233"/>
      <c r="F19" s="94"/>
      <c r="G19" s="53"/>
      <c r="H19" s="53"/>
      <c r="I19" s="53"/>
      <c r="J19" s="53"/>
    </row>
    <row r="20" spans="1:10" ht="15.75" x14ac:dyDescent="0.25">
      <c r="A20" s="53"/>
      <c r="B20" s="53"/>
      <c r="C20" s="53"/>
      <c r="D20" s="53"/>
      <c r="E20" s="53"/>
      <c r="F20" s="53"/>
      <c r="G20" s="53"/>
      <c r="H20" s="53"/>
      <c r="I20" s="53"/>
      <c r="J20" s="53"/>
    </row>
    <row r="21" spans="1:10" ht="16.5" thickBot="1" x14ac:dyDescent="0.3">
      <c r="A21" s="53"/>
      <c r="B21" s="53"/>
      <c r="C21" s="53"/>
      <c r="D21" s="53"/>
      <c r="E21" s="53"/>
      <c r="F21" s="53"/>
      <c r="G21" s="53"/>
      <c r="H21" s="53"/>
      <c r="I21" s="53"/>
      <c r="J21" s="53"/>
    </row>
    <row r="22" spans="1:10" ht="16.5" thickBot="1" x14ac:dyDescent="0.3">
      <c r="A22" s="53"/>
      <c r="B22" s="163" t="s">
        <v>676</v>
      </c>
      <c r="C22" s="194"/>
      <c r="D22" s="166"/>
      <c r="E22" s="53"/>
      <c r="F22" s="53"/>
      <c r="G22" s="53"/>
      <c r="H22" s="53"/>
      <c r="I22" s="53"/>
      <c r="J22" s="53"/>
    </row>
    <row r="23" spans="1:10" ht="15.75" x14ac:dyDescent="0.25">
      <c r="A23" s="53"/>
      <c r="B23" s="231"/>
      <c r="C23" s="131"/>
      <c r="D23" s="81"/>
      <c r="E23" s="53"/>
      <c r="F23" s="53"/>
      <c r="G23" s="53"/>
      <c r="H23" s="53"/>
      <c r="I23" s="53"/>
      <c r="J23" s="53"/>
    </row>
    <row r="24" spans="1:10" ht="126.75" customHeight="1" x14ac:dyDescent="0.25">
      <c r="A24" s="53"/>
      <c r="B24" s="470" t="s">
        <v>676</v>
      </c>
      <c r="C24" s="693"/>
      <c r="D24" s="81"/>
      <c r="E24" s="53"/>
      <c r="F24" s="53"/>
      <c r="G24" s="53"/>
      <c r="H24" s="53"/>
      <c r="I24" s="53"/>
      <c r="J24" s="53"/>
    </row>
    <row r="25" spans="1:10" ht="16.5" thickBot="1" x14ac:dyDescent="0.3">
      <c r="A25" s="53"/>
      <c r="B25" s="110"/>
      <c r="C25" s="93"/>
      <c r="D25" s="94"/>
      <c r="E25" s="53"/>
      <c r="F25" s="53"/>
      <c r="G25" s="53"/>
      <c r="H25" s="53"/>
      <c r="I25" s="53"/>
      <c r="J25" s="53"/>
    </row>
    <row r="26" spans="1:10" ht="15.75" x14ac:dyDescent="0.25">
      <c r="A26" s="53"/>
      <c r="B26" s="53"/>
      <c r="C26" s="53"/>
      <c r="D26" s="53"/>
      <c r="E26" s="53"/>
      <c r="F26" s="53"/>
      <c r="G26" s="53"/>
      <c r="H26" s="53"/>
      <c r="I26" s="53"/>
      <c r="J26" s="53"/>
    </row>
    <row r="27" spans="1:10" ht="15.75" x14ac:dyDescent="0.25">
      <c r="A27" s="53"/>
      <c r="B27" s="96" t="s">
        <v>661</v>
      </c>
      <c r="C27" s="53"/>
      <c r="D27" s="53"/>
      <c r="E27" s="53"/>
      <c r="F27" s="53"/>
      <c r="G27" s="53"/>
      <c r="H27" s="53"/>
      <c r="I27" s="53"/>
      <c r="J27" s="53"/>
    </row>
    <row r="28" spans="1:10" ht="15.75" x14ac:dyDescent="0.25">
      <c r="A28" s="53"/>
      <c r="B28" s="53"/>
      <c r="C28" s="53"/>
      <c r="D28" s="53"/>
      <c r="E28" s="53"/>
      <c r="F28" s="53"/>
      <c r="G28" s="53"/>
      <c r="H28" s="53"/>
      <c r="I28" s="53"/>
      <c r="J28" s="53"/>
    </row>
    <row r="29" spans="1:10" ht="15.75" x14ac:dyDescent="0.25">
      <c r="A29" s="53"/>
      <c r="B29" s="53"/>
      <c r="C29" s="53"/>
      <c r="D29" s="53"/>
      <c r="E29" s="53"/>
      <c r="F29" s="53"/>
      <c r="G29" s="53"/>
      <c r="H29" s="53"/>
      <c r="I29" s="53"/>
      <c r="J29" s="53"/>
    </row>
    <row r="30" spans="1:10" ht="15.75" x14ac:dyDescent="0.25">
      <c r="A30" s="53"/>
      <c r="B30" s="53"/>
      <c r="C30" s="53"/>
      <c r="D30" s="53"/>
      <c r="E30" s="53"/>
      <c r="F30" s="53"/>
      <c r="G30" s="53"/>
      <c r="H30" s="53"/>
      <c r="I30" s="53"/>
      <c r="J30" s="53"/>
    </row>
    <row r="31" spans="1:10" ht="15.75" x14ac:dyDescent="0.25">
      <c r="A31" s="53"/>
      <c r="B31" s="53"/>
      <c r="C31" s="53"/>
      <c r="D31" s="53"/>
      <c r="E31" s="53"/>
      <c r="F31" s="53"/>
      <c r="G31" s="53"/>
      <c r="H31" s="53"/>
      <c r="I31" s="53"/>
      <c r="J31" s="53"/>
    </row>
    <row r="32" spans="1:10" ht="15.75" x14ac:dyDescent="0.25">
      <c r="A32" s="53"/>
      <c r="B32" s="53"/>
      <c r="C32" s="53"/>
      <c r="D32" s="53"/>
      <c r="E32" s="53"/>
      <c r="F32" s="53"/>
      <c r="G32" s="53"/>
      <c r="H32" s="53"/>
      <c r="I32" s="53"/>
      <c r="J32" s="53"/>
    </row>
    <row r="33" spans="1:10" ht="15.75" x14ac:dyDescent="0.25">
      <c r="A33" s="53"/>
      <c r="B33" s="53"/>
      <c r="C33" s="53"/>
      <c r="D33" s="53"/>
      <c r="E33" s="53"/>
      <c r="F33" s="53"/>
      <c r="G33" s="53"/>
      <c r="H33" s="53"/>
      <c r="I33" s="53"/>
      <c r="J33" s="53"/>
    </row>
    <row r="34" spans="1:10" ht="15.75" x14ac:dyDescent="0.25">
      <c r="A34" s="53"/>
      <c r="B34" s="53"/>
      <c r="C34" s="53"/>
      <c r="D34" s="53"/>
      <c r="E34" s="53"/>
      <c r="F34" s="53"/>
      <c r="G34" s="53"/>
      <c r="H34" s="53"/>
      <c r="I34" s="53"/>
      <c r="J34" s="53"/>
    </row>
    <row r="35" spans="1:10" ht="15.75" x14ac:dyDescent="0.25">
      <c r="A35" s="53"/>
      <c r="B35" s="53"/>
      <c r="C35" s="53"/>
      <c r="D35" s="53"/>
      <c r="E35" s="53"/>
      <c r="F35" s="53"/>
      <c r="G35" s="53"/>
      <c r="H35" s="53"/>
      <c r="I35" s="53"/>
      <c r="J35" s="53"/>
    </row>
    <row r="36" spans="1:10" ht="15.75" x14ac:dyDescent="0.25">
      <c r="A36" s="53"/>
      <c r="B36" s="53"/>
      <c r="C36" s="53"/>
      <c r="D36" s="53"/>
      <c r="E36" s="53"/>
      <c r="F36" s="53"/>
      <c r="G36" s="53"/>
      <c r="H36" s="53"/>
      <c r="I36" s="53"/>
      <c r="J36" s="53"/>
    </row>
    <row r="37" spans="1:10" ht="15.75" x14ac:dyDescent="0.25">
      <c r="A37" s="53"/>
      <c r="B37" s="53"/>
      <c r="C37" s="53"/>
      <c r="D37" s="53"/>
      <c r="E37" s="53"/>
      <c r="F37" s="53"/>
      <c r="G37" s="53"/>
      <c r="H37" s="53"/>
      <c r="I37" s="53"/>
      <c r="J37" s="53"/>
    </row>
    <row r="38" spans="1:10" ht="15.75" x14ac:dyDescent="0.25">
      <c r="A38" s="53"/>
      <c r="B38" s="53"/>
      <c r="C38" s="53"/>
      <c r="D38" s="53"/>
      <c r="E38" s="53"/>
      <c r="F38" s="53"/>
      <c r="G38" s="53"/>
      <c r="H38" s="53"/>
      <c r="I38" s="53"/>
      <c r="J38" s="53"/>
    </row>
    <row r="39" spans="1:10" ht="15.75" x14ac:dyDescent="0.25">
      <c r="A39" s="53"/>
      <c r="B39" s="53"/>
      <c r="C39" s="53"/>
      <c r="D39" s="53"/>
      <c r="E39" s="53"/>
      <c r="F39" s="53"/>
      <c r="G39" s="53"/>
      <c r="H39" s="53"/>
      <c r="I39" s="53"/>
      <c r="J39" s="53"/>
    </row>
    <row r="40" spans="1:10" ht="15.75" x14ac:dyDescent="0.25">
      <c r="A40" s="53"/>
      <c r="B40" s="53"/>
      <c r="C40" s="53"/>
      <c r="D40" s="53"/>
      <c r="E40" s="53"/>
      <c r="F40" s="53"/>
      <c r="G40" s="53"/>
      <c r="H40" s="53"/>
      <c r="I40" s="53"/>
      <c r="J40" s="53"/>
    </row>
    <row r="41" spans="1:10" ht="15.75" x14ac:dyDescent="0.25">
      <c r="A41" s="53"/>
      <c r="B41" s="53"/>
      <c r="C41" s="53"/>
      <c r="D41" s="53"/>
      <c r="E41" s="53"/>
      <c r="F41" s="53"/>
      <c r="G41" s="53"/>
      <c r="H41" s="53"/>
      <c r="I41" s="53"/>
      <c r="J41" s="53"/>
    </row>
    <row r="42" spans="1:10" ht="15.75" x14ac:dyDescent="0.25">
      <c r="A42" s="53"/>
      <c r="B42" s="53"/>
      <c r="C42" s="53"/>
      <c r="D42" s="53"/>
      <c r="E42" s="53"/>
      <c r="F42" s="53"/>
      <c r="G42" s="53"/>
      <c r="H42" s="53"/>
      <c r="I42" s="53"/>
      <c r="J42" s="53"/>
    </row>
    <row r="43" spans="1:10" ht="15.75" x14ac:dyDescent="0.25">
      <c r="A43" s="53"/>
      <c r="B43" s="53"/>
      <c r="C43" s="53"/>
      <c r="D43" s="53"/>
      <c r="E43" s="53"/>
      <c r="F43" s="53"/>
      <c r="G43" s="53"/>
      <c r="H43" s="53"/>
      <c r="I43" s="53"/>
      <c r="J43" s="53"/>
    </row>
    <row r="44" spans="1:10" ht="15.75" x14ac:dyDescent="0.25">
      <c r="A44" s="53"/>
      <c r="B44" s="53"/>
      <c r="C44" s="53"/>
      <c r="D44" s="53"/>
      <c r="E44" s="53"/>
      <c r="F44" s="53"/>
      <c r="G44" s="53"/>
      <c r="H44" s="53"/>
      <c r="I44" s="53"/>
      <c r="J44" s="53"/>
    </row>
    <row r="45" spans="1:10" ht="15.75" x14ac:dyDescent="0.25">
      <c r="A45" s="53"/>
      <c r="B45" s="53"/>
      <c r="C45" s="53"/>
      <c r="D45" s="53"/>
      <c r="E45" s="53"/>
      <c r="F45" s="53"/>
      <c r="G45" s="53"/>
      <c r="H45" s="53"/>
      <c r="I45" s="53"/>
      <c r="J45" s="53"/>
    </row>
    <row r="46" spans="1:10" ht="15.75" x14ac:dyDescent="0.25">
      <c r="A46" s="53"/>
      <c r="B46" s="53"/>
      <c r="C46" s="53"/>
      <c r="D46" s="53"/>
      <c r="E46" s="53"/>
      <c r="F46" s="53"/>
      <c r="G46" s="53"/>
      <c r="H46" s="53"/>
      <c r="I46" s="53"/>
      <c r="J46" s="53"/>
    </row>
    <row r="47" spans="1:10" ht="15.75" x14ac:dyDescent="0.25">
      <c r="A47" s="53"/>
      <c r="B47" s="53"/>
      <c r="C47" s="53"/>
      <c r="D47" s="53"/>
      <c r="E47" s="53"/>
      <c r="F47" s="53"/>
      <c r="G47" s="53"/>
      <c r="H47" s="53"/>
      <c r="I47" s="53"/>
      <c r="J47" s="53"/>
    </row>
    <row r="48" spans="1:10" ht="15.75" x14ac:dyDescent="0.25">
      <c r="A48" s="53"/>
      <c r="B48" s="53"/>
      <c r="C48" s="53"/>
      <c r="D48" s="53"/>
      <c r="E48" s="53"/>
      <c r="F48" s="53"/>
      <c r="G48" s="53"/>
      <c r="H48" s="53"/>
      <c r="I48" s="53"/>
      <c r="J48" s="53"/>
    </row>
    <row r="49" spans="1:10" ht="15.75" x14ac:dyDescent="0.25">
      <c r="A49" s="53"/>
      <c r="B49" s="53"/>
      <c r="C49" s="53"/>
      <c r="D49" s="53"/>
      <c r="E49" s="53"/>
      <c r="F49" s="53"/>
      <c r="G49" s="53"/>
      <c r="H49" s="53"/>
      <c r="I49" s="53"/>
      <c r="J49" s="53"/>
    </row>
    <row r="50" spans="1:10" ht="15.75" x14ac:dyDescent="0.25">
      <c r="A50" s="53"/>
      <c r="B50" s="53"/>
      <c r="C50" s="53"/>
      <c r="D50" s="53"/>
      <c r="E50" s="53"/>
      <c r="F50" s="53"/>
      <c r="G50" s="53"/>
      <c r="H50" s="53"/>
      <c r="I50" s="53"/>
      <c r="J50" s="53"/>
    </row>
    <row r="51" spans="1:10" ht="15.75" x14ac:dyDescent="0.25">
      <c r="A51" s="53"/>
      <c r="B51" s="53"/>
      <c r="C51" s="53"/>
      <c r="D51" s="53"/>
      <c r="E51" s="53"/>
      <c r="F51" s="53"/>
      <c r="G51" s="53"/>
      <c r="H51" s="53"/>
      <c r="I51" s="53"/>
      <c r="J51" s="53"/>
    </row>
    <row r="52" spans="1:10" ht="15.75" x14ac:dyDescent="0.25">
      <c r="A52" s="53"/>
      <c r="B52" s="53"/>
      <c r="C52" s="53"/>
      <c r="D52" s="53"/>
      <c r="E52" s="53"/>
      <c r="F52" s="53"/>
      <c r="G52" s="53"/>
      <c r="H52" s="53"/>
      <c r="I52" s="53"/>
      <c r="J52" s="53"/>
    </row>
    <row r="53" spans="1:10" ht="15.75" x14ac:dyDescent="0.25">
      <c r="A53" s="53"/>
      <c r="B53" s="53"/>
      <c r="C53" s="53"/>
      <c r="D53" s="53"/>
      <c r="E53" s="53"/>
      <c r="F53" s="53"/>
      <c r="G53" s="53"/>
      <c r="H53" s="53"/>
      <c r="I53" s="53"/>
      <c r="J53" s="53"/>
    </row>
    <row r="54" spans="1:10" ht="15.75" x14ac:dyDescent="0.25">
      <c r="A54" s="53"/>
      <c r="B54" s="53"/>
      <c r="C54" s="53"/>
      <c r="D54" s="53"/>
      <c r="E54" s="53"/>
      <c r="F54" s="53"/>
      <c r="G54" s="53"/>
      <c r="H54" s="53"/>
      <c r="I54" s="53"/>
      <c r="J54" s="53"/>
    </row>
    <row r="55" spans="1:10" ht="15.75" x14ac:dyDescent="0.25">
      <c r="A55" s="53"/>
      <c r="B55" s="53"/>
      <c r="C55" s="53"/>
      <c r="D55" s="53"/>
      <c r="E55" s="53"/>
      <c r="F55" s="53"/>
      <c r="G55" s="53"/>
      <c r="H55" s="53"/>
      <c r="I55" s="53"/>
      <c r="J55" s="53"/>
    </row>
    <row r="56" spans="1:10" ht="15.75" x14ac:dyDescent="0.25">
      <c r="A56" s="53"/>
      <c r="B56" s="53"/>
      <c r="C56" s="53"/>
      <c r="D56" s="53"/>
      <c r="E56" s="53"/>
      <c r="F56" s="53"/>
      <c r="G56" s="53"/>
      <c r="H56" s="53"/>
      <c r="I56" s="53"/>
      <c r="J56" s="53"/>
    </row>
    <row r="57" spans="1:10" ht="15.75" x14ac:dyDescent="0.25">
      <c r="A57" s="53"/>
      <c r="B57" s="53"/>
      <c r="C57" s="53"/>
      <c r="D57" s="53"/>
      <c r="E57" s="53"/>
      <c r="F57" s="53"/>
      <c r="G57" s="53"/>
      <c r="H57" s="53"/>
      <c r="I57" s="53"/>
      <c r="J57" s="53"/>
    </row>
    <row r="58" spans="1:10" ht="15.75" x14ac:dyDescent="0.25">
      <c r="A58" s="53"/>
      <c r="B58" s="53"/>
      <c r="C58" s="53"/>
      <c r="D58" s="53"/>
      <c r="E58" s="53"/>
      <c r="F58" s="53"/>
      <c r="G58" s="53"/>
      <c r="H58" s="53"/>
      <c r="I58" s="53"/>
      <c r="J58" s="53"/>
    </row>
    <row r="59" spans="1:10" ht="15.75" x14ac:dyDescent="0.25">
      <c r="A59" s="53"/>
      <c r="B59" s="53"/>
      <c r="C59" s="53"/>
      <c r="D59" s="53"/>
      <c r="E59" s="53"/>
      <c r="F59" s="53"/>
      <c r="G59" s="53"/>
      <c r="H59" s="53"/>
      <c r="I59" s="53"/>
      <c r="J59" s="53"/>
    </row>
    <row r="60" spans="1:10" ht="15.75" x14ac:dyDescent="0.25">
      <c r="A60" s="53"/>
      <c r="B60" s="53"/>
      <c r="C60" s="53"/>
      <c r="D60" s="53"/>
      <c r="E60" s="53"/>
      <c r="F60" s="53"/>
      <c r="G60" s="53"/>
      <c r="H60" s="53"/>
      <c r="I60" s="53"/>
      <c r="J60" s="53"/>
    </row>
    <row r="61" spans="1:10" ht="15.75" x14ac:dyDescent="0.25">
      <c r="A61" s="53"/>
      <c r="B61" s="53"/>
      <c r="C61" s="53"/>
      <c r="D61" s="53"/>
      <c r="E61" s="53"/>
      <c r="F61" s="53"/>
      <c r="G61" s="53"/>
      <c r="H61" s="53"/>
      <c r="I61" s="53"/>
      <c r="J61" s="53"/>
    </row>
    <row r="62" spans="1:10" ht="15.75" x14ac:dyDescent="0.25">
      <c r="A62" s="53"/>
      <c r="B62" s="53"/>
      <c r="C62" s="53"/>
      <c r="D62" s="53"/>
      <c r="E62" s="53"/>
      <c r="F62" s="53"/>
      <c r="G62" s="53"/>
      <c r="H62" s="53"/>
      <c r="I62" s="53"/>
      <c r="J62" s="53"/>
    </row>
    <row r="63" spans="1:10" ht="15.75" x14ac:dyDescent="0.25">
      <c r="A63" s="53"/>
      <c r="B63" s="53"/>
      <c r="C63" s="53"/>
      <c r="D63" s="53"/>
      <c r="E63" s="53"/>
      <c r="F63" s="53"/>
      <c r="G63" s="53"/>
      <c r="H63" s="53"/>
      <c r="I63" s="53"/>
      <c r="J63" s="53"/>
    </row>
    <row r="64" spans="1:10" ht="15.75" x14ac:dyDescent="0.25">
      <c r="A64" s="53"/>
      <c r="B64" s="53"/>
      <c r="C64" s="53"/>
      <c r="D64" s="53"/>
      <c r="E64" s="53"/>
      <c r="F64" s="53"/>
      <c r="G64" s="53"/>
      <c r="H64" s="53"/>
      <c r="I64" s="53"/>
      <c r="J64" s="53"/>
    </row>
    <row r="65" spans="1:10" ht="15.75" x14ac:dyDescent="0.25">
      <c r="A65" s="53"/>
      <c r="B65" s="53"/>
      <c r="C65" s="53"/>
      <c r="D65" s="53"/>
      <c r="E65" s="53"/>
      <c r="F65" s="53"/>
      <c r="G65" s="53"/>
      <c r="H65" s="53"/>
      <c r="I65" s="53"/>
      <c r="J65" s="53"/>
    </row>
    <row r="66" spans="1:10" ht="15.75" x14ac:dyDescent="0.25">
      <c r="A66" s="53"/>
      <c r="B66" s="53"/>
      <c r="C66" s="53"/>
      <c r="D66" s="53"/>
      <c r="E66" s="53"/>
      <c r="F66" s="53"/>
      <c r="G66" s="53"/>
      <c r="H66" s="53"/>
      <c r="I66" s="53"/>
      <c r="J66" s="53"/>
    </row>
    <row r="67" spans="1:10" ht="15.75" x14ac:dyDescent="0.25">
      <c r="A67" s="53"/>
      <c r="B67" s="53"/>
      <c r="C67" s="53"/>
      <c r="D67" s="53"/>
      <c r="E67" s="53"/>
      <c r="F67" s="53"/>
      <c r="G67" s="53"/>
      <c r="H67" s="53"/>
      <c r="I67" s="53"/>
      <c r="J67" s="53"/>
    </row>
    <row r="68" spans="1:10" ht="15.75" x14ac:dyDescent="0.25">
      <c r="A68" s="53"/>
      <c r="B68" s="53"/>
      <c r="C68" s="53"/>
      <c r="D68" s="53"/>
      <c r="E68" s="53"/>
      <c r="F68" s="53"/>
      <c r="G68" s="53"/>
      <c r="H68" s="53"/>
      <c r="I68" s="53"/>
      <c r="J68" s="53"/>
    </row>
    <row r="69" spans="1:10" ht="15.75" x14ac:dyDescent="0.25">
      <c r="A69" s="53"/>
      <c r="B69" s="53"/>
      <c r="C69" s="53"/>
      <c r="D69" s="53"/>
      <c r="E69" s="53"/>
      <c r="F69" s="53"/>
      <c r="G69" s="53"/>
      <c r="H69" s="53"/>
      <c r="I69" s="53"/>
      <c r="J69" s="53"/>
    </row>
    <row r="70" spans="1:10" ht="15.75" x14ac:dyDescent="0.25">
      <c r="A70" s="53"/>
      <c r="B70" s="53"/>
      <c r="C70" s="53"/>
      <c r="D70" s="53"/>
      <c r="E70" s="53"/>
      <c r="F70" s="53"/>
      <c r="G70" s="53"/>
      <c r="H70" s="53"/>
      <c r="I70" s="53"/>
      <c r="J70" s="53"/>
    </row>
    <row r="71" spans="1:10" ht="15.75" x14ac:dyDescent="0.25">
      <c r="A71" s="53"/>
      <c r="B71" s="53"/>
      <c r="C71" s="53"/>
      <c r="D71" s="53"/>
      <c r="E71" s="53"/>
      <c r="F71" s="53"/>
      <c r="G71" s="53"/>
      <c r="H71" s="53"/>
      <c r="I71" s="53"/>
      <c r="J71" s="53"/>
    </row>
    <row r="72" spans="1:10" ht="15.75" x14ac:dyDescent="0.25">
      <c r="A72" s="53"/>
      <c r="B72" s="53"/>
      <c r="C72" s="53"/>
      <c r="D72" s="53"/>
      <c r="E72" s="53"/>
      <c r="F72" s="53"/>
      <c r="G72" s="53"/>
      <c r="H72" s="53"/>
      <c r="I72" s="53"/>
      <c r="J72" s="53"/>
    </row>
    <row r="73" spans="1:10" ht="15.75" x14ac:dyDescent="0.25">
      <c r="A73" s="53"/>
      <c r="B73" s="53"/>
      <c r="C73" s="53"/>
      <c r="D73" s="53"/>
      <c r="E73" s="53"/>
      <c r="F73" s="53"/>
      <c r="G73" s="53"/>
      <c r="H73" s="53"/>
      <c r="I73" s="53"/>
      <c r="J73" s="53"/>
    </row>
    <row r="74" spans="1:10" ht="15.75" x14ac:dyDescent="0.25">
      <c r="A74" s="53"/>
      <c r="B74" s="53"/>
      <c r="C74" s="53"/>
      <c r="D74" s="53"/>
      <c r="E74" s="53"/>
      <c r="F74" s="53"/>
      <c r="G74" s="53"/>
      <c r="H74" s="53"/>
      <c r="I74" s="53"/>
      <c r="J74" s="53"/>
    </row>
    <row r="75" spans="1:10" ht="15.75" x14ac:dyDescent="0.25">
      <c r="A75" s="53"/>
      <c r="B75" s="53"/>
      <c r="C75" s="53"/>
      <c r="D75" s="53"/>
      <c r="E75" s="53"/>
      <c r="F75" s="53"/>
      <c r="G75" s="53"/>
      <c r="H75" s="53"/>
      <c r="I75" s="53"/>
      <c r="J75" s="53"/>
    </row>
    <row r="76" spans="1:10" ht="15.75" x14ac:dyDescent="0.25">
      <c r="A76" s="53"/>
      <c r="B76" s="53"/>
      <c r="C76" s="53"/>
      <c r="D76" s="53"/>
      <c r="E76" s="53"/>
      <c r="F76" s="53"/>
      <c r="G76" s="53"/>
      <c r="H76" s="53"/>
      <c r="I76" s="53"/>
      <c r="J76" s="53"/>
    </row>
    <row r="77" spans="1:10" ht="15.75" x14ac:dyDescent="0.25">
      <c r="A77" s="53"/>
      <c r="B77" s="53"/>
      <c r="C77" s="53"/>
      <c r="D77" s="53"/>
      <c r="E77" s="53"/>
      <c r="F77" s="53"/>
      <c r="G77" s="53"/>
      <c r="H77" s="53"/>
      <c r="I77" s="53"/>
      <c r="J77" s="53"/>
    </row>
    <row r="78" spans="1:10" ht="15.75" x14ac:dyDescent="0.25">
      <c r="A78" s="53"/>
      <c r="B78" s="53"/>
      <c r="C78" s="53"/>
      <c r="D78" s="53"/>
      <c r="E78" s="53"/>
      <c r="F78" s="53"/>
      <c r="G78" s="53"/>
      <c r="H78" s="53"/>
      <c r="I78" s="53"/>
      <c r="J78" s="53"/>
    </row>
    <row r="79" spans="1:10" ht="15.75" x14ac:dyDescent="0.25">
      <c r="A79" s="53"/>
      <c r="B79" s="53"/>
      <c r="C79" s="53"/>
      <c r="D79" s="53"/>
      <c r="E79" s="53"/>
      <c r="F79" s="53"/>
      <c r="G79" s="53"/>
      <c r="H79" s="53"/>
      <c r="I79" s="53"/>
      <c r="J79" s="53"/>
    </row>
    <row r="80" spans="1:10" ht="15.75" x14ac:dyDescent="0.25">
      <c r="A80" s="53"/>
      <c r="B80" s="53"/>
      <c r="C80" s="53"/>
      <c r="D80" s="53"/>
      <c r="E80" s="53"/>
      <c r="F80" s="53"/>
      <c r="G80" s="53"/>
      <c r="H80" s="53"/>
      <c r="I80" s="53"/>
      <c r="J80" s="53"/>
    </row>
    <row r="81" spans="1:10" ht="15.75" x14ac:dyDescent="0.25">
      <c r="A81" s="53"/>
      <c r="B81" s="53"/>
      <c r="C81" s="53"/>
      <c r="D81" s="53"/>
      <c r="E81" s="53"/>
      <c r="F81" s="53"/>
      <c r="G81" s="53"/>
      <c r="H81" s="53"/>
      <c r="I81" s="53"/>
      <c r="J81" s="53"/>
    </row>
    <row r="82" spans="1:10" ht="15.75" x14ac:dyDescent="0.25">
      <c r="A82" s="53"/>
      <c r="B82" s="53"/>
      <c r="C82" s="53"/>
      <c r="D82" s="53"/>
      <c r="E82" s="53"/>
      <c r="F82" s="53"/>
      <c r="G82" s="53"/>
      <c r="H82" s="53"/>
      <c r="I82" s="53"/>
      <c r="J82" s="53"/>
    </row>
    <row r="83" spans="1:10" ht="15.75" x14ac:dyDescent="0.25">
      <c r="A83" s="53"/>
      <c r="B83" s="53"/>
      <c r="C83" s="53"/>
      <c r="D83" s="53"/>
      <c r="E83" s="53"/>
      <c r="F83" s="53"/>
      <c r="G83" s="53"/>
      <c r="H83" s="53"/>
      <c r="I83" s="53"/>
      <c r="J83" s="53"/>
    </row>
    <row r="84" spans="1:10" ht="15.75" x14ac:dyDescent="0.25">
      <c r="A84" s="53"/>
      <c r="B84" s="53"/>
      <c r="C84" s="53"/>
      <c r="D84" s="53"/>
      <c r="E84" s="53"/>
      <c r="F84" s="53"/>
      <c r="G84" s="53"/>
      <c r="H84" s="53"/>
      <c r="I84" s="53"/>
      <c r="J84" s="53"/>
    </row>
    <row r="85" spans="1:10" ht="15.75" x14ac:dyDescent="0.25">
      <c r="A85" s="53"/>
      <c r="B85" s="53"/>
      <c r="C85" s="53"/>
      <c r="D85" s="53"/>
      <c r="E85" s="53"/>
      <c r="F85" s="53"/>
      <c r="G85" s="53"/>
      <c r="H85" s="53"/>
      <c r="I85" s="53"/>
      <c r="J85" s="53"/>
    </row>
    <row r="86" spans="1:10" ht="15.75" x14ac:dyDescent="0.25">
      <c r="A86" s="53"/>
      <c r="B86" s="53"/>
      <c r="C86" s="53"/>
      <c r="D86" s="53"/>
      <c r="E86" s="53"/>
      <c r="F86" s="53"/>
      <c r="G86" s="53"/>
      <c r="H86" s="53"/>
      <c r="I86" s="53"/>
      <c r="J86" s="53"/>
    </row>
    <row r="87" spans="1:10" ht="15.75" x14ac:dyDescent="0.25">
      <c r="A87" s="53"/>
      <c r="B87" s="53"/>
      <c r="C87" s="53"/>
      <c r="D87" s="53"/>
      <c r="E87" s="53"/>
      <c r="F87" s="53"/>
      <c r="G87" s="53"/>
      <c r="H87" s="53"/>
      <c r="I87" s="53"/>
      <c r="J87" s="53"/>
    </row>
    <row r="88" spans="1:10" ht="15.75" x14ac:dyDescent="0.25">
      <c r="A88" s="53"/>
      <c r="B88" s="53"/>
      <c r="C88" s="53"/>
      <c r="D88" s="53"/>
      <c r="E88" s="53"/>
      <c r="F88" s="53"/>
      <c r="G88" s="53"/>
      <c r="H88" s="53"/>
      <c r="I88" s="53"/>
      <c r="J88" s="53"/>
    </row>
    <row r="89" spans="1:10" ht="15.75" x14ac:dyDescent="0.25">
      <c r="A89" s="53"/>
      <c r="B89" s="53"/>
      <c r="C89" s="53"/>
      <c r="D89" s="53"/>
      <c r="E89" s="53"/>
      <c r="F89" s="53"/>
      <c r="G89" s="53"/>
      <c r="H89" s="53"/>
      <c r="I89" s="53"/>
      <c r="J89" s="53"/>
    </row>
    <row r="90" spans="1:10" ht="15.75" x14ac:dyDescent="0.25">
      <c r="A90" s="53"/>
      <c r="B90" s="53"/>
      <c r="C90" s="53"/>
      <c r="D90" s="53"/>
      <c r="E90" s="53"/>
      <c r="F90" s="53"/>
      <c r="G90" s="53"/>
      <c r="H90" s="53"/>
      <c r="I90" s="53"/>
      <c r="J90" s="53"/>
    </row>
    <row r="91" spans="1:10" ht="15.75" x14ac:dyDescent="0.25">
      <c r="A91" s="53"/>
      <c r="B91" s="53"/>
      <c r="C91" s="53"/>
      <c r="D91" s="53"/>
      <c r="E91" s="53"/>
      <c r="F91" s="53"/>
      <c r="G91" s="53"/>
      <c r="H91" s="53"/>
      <c r="I91" s="53"/>
      <c r="J91" s="53"/>
    </row>
    <row r="92" spans="1:10" ht="15.75" x14ac:dyDescent="0.25">
      <c r="A92" s="53"/>
      <c r="B92" s="53"/>
      <c r="C92" s="53"/>
      <c r="D92" s="53"/>
      <c r="E92" s="53"/>
      <c r="F92" s="53"/>
      <c r="G92" s="53"/>
      <c r="H92" s="53"/>
      <c r="I92" s="53"/>
      <c r="J92" s="53"/>
    </row>
    <row r="93" spans="1:10" ht="15.75" x14ac:dyDescent="0.25">
      <c r="A93" s="53"/>
      <c r="B93" s="53"/>
      <c r="C93" s="53"/>
      <c r="D93" s="53"/>
      <c r="E93" s="53"/>
      <c r="F93" s="53"/>
      <c r="G93" s="53"/>
      <c r="H93" s="53"/>
      <c r="I93" s="53"/>
      <c r="J93" s="53"/>
    </row>
    <row r="94" spans="1:10" ht="15.75" x14ac:dyDescent="0.25">
      <c r="A94" s="53"/>
      <c r="B94" s="53"/>
      <c r="C94" s="53"/>
      <c r="D94" s="53"/>
      <c r="E94" s="53"/>
      <c r="F94" s="53"/>
      <c r="G94" s="53"/>
      <c r="H94" s="53"/>
      <c r="I94" s="53"/>
      <c r="J94" s="53"/>
    </row>
    <row r="95" spans="1:10" ht="15.75" x14ac:dyDescent="0.25">
      <c r="A95" s="53"/>
      <c r="B95" s="53"/>
      <c r="C95" s="53"/>
      <c r="D95" s="53"/>
      <c r="E95" s="53"/>
      <c r="F95" s="53"/>
      <c r="G95" s="53"/>
      <c r="H95" s="53"/>
      <c r="I95" s="53"/>
      <c r="J95" s="53"/>
    </row>
    <row r="96" spans="1:10" ht="15.75" x14ac:dyDescent="0.25">
      <c r="A96" s="53"/>
      <c r="B96" s="53"/>
      <c r="C96" s="53"/>
      <c r="D96" s="53"/>
      <c r="E96" s="53"/>
      <c r="F96" s="53"/>
      <c r="G96" s="53"/>
      <c r="H96" s="53"/>
      <c r="I96" s="53"/>
      <c r="J96" s="53"/>
    </row>
    <row r="97" spans="1:10" ht="15.75" x14ac:dyDescent="0.25">
      <c r="A97" s="53"/>
      <c r="B97" s="53"/>
      <c r="C97" s="53"/>
      <c r="D97" s="53"/>
      <c r="E97" s="53"/>
      <c r="F97" s="53"/>
      <c r="G97" s="53"/>
      <c r="H97" s="53"/>
      <c r="I97" s="53"/>
      <c r="J97" s="53"/>
    </row>
    <row r="98" spans="1:10" ht="15.75" x14ac:dyDescent="0.25">
      <c r="A98" s="53"/>
      <c r="B98" s="53"/>
      <c r="C98" s="53"/>
      <c r="D98" s="53"/>
      <c r="E98" s="53"/>
      <c r="F98" s="53"/>
      <c r="G98" s="53"/>
      <c r="H98" s="53"/>
      <c r="I98" s="53"/>
      <c r="J98" s="53"/>
    </row>
    <row r="99" spans="1:10" ht="15.75" x14ac:dyDescent="0.25">
      <c r="A99" s="53"/>
      <c r="B99" s="53"/>
      <c r="C99" s="53"/>
      <c r="D99" s="53"/>
      <c r="E99" s="53"/>
      <c r="F99" s="53"/>
      <c r="G99" s="53"/>
      <c r="H99" s="53"/>
      <c r="I99" s="53"/>
      <c r="J99" s="53"/>
    </row>
    <row r="100" spans="1:10" ht="15.75" x14ac:dyDescent="0.25">
      <c r="A100" s="53"/>
      <c r="B100" s="53"/>
      <c r="C100" s="53"/>
      <c r="D100" s="53"/>
      <c r="E100" s="53"/>
      <c r="F100" s="53"/>
      <c r="G100" s="53"/>
      <c r="H100" s="53"/>
      <c r="I100" s="53"/>
      <c r="J100" s="53"/>
    </row>
    <row r="101" spans="1:10" ht="15.75" x14ac:dyDescent="0.25">
      <c r="A101" s="53"/>
      <c r="B101" s="53"/>
      <c r="C101" s="53"/>
      <c r="D101" s="53"/>
      <c r="E101" s="53"/>
      <c r="F101" s="53"/>
      <c r="G101" s="53"/>
      <c r="H101" s="53"/>
      <c r="I101" s="53"/>
      <c r="J101" s="53"/>
    </row>
    <row r="102" spans="1:10" ht="15.75" x14ac:dyDescent="0.25">
      <c r="A102" s="53"/>
      <c r="B102" s="53"/>
      <c r="C102" s="53"/>
      <c r="D102" s="53"/>
      <c r="E102" s="53"/>
      <c r="F102" s="53"/>
      <c r="G102" s="53"/>
      <c r="H102" s="53"/>
      <c r="I102" s="53"/>
      <c r="J102" s="53"/>
    </row>
    <row r="103" spans="1:10" ht="15.75" x14ac:dyDescent="0.25">
      <c r="A103" s="53"/>
      <c r="B103" s="53"/>
      <c r="C103" s="53"/>
      <c r="D103" s="53"/>
      <c r="E103" s="53"/>
      <c r="F103" s="53"/>
      <c r="G103" s="53"/>
      <c r="H103" s="53"/>
      <c r="I103" s="53"/>
      <c r="J103" s="53"/>
    </row>
    <row r="104" spans="1:10" ht="15.75" x14ac:dyDescent="0.25">
      <c r="A104" s="53"/>
      <c r="B104" s="53"/>
      <c r="C104" s="53"/>
      <c r="D104" s="53"/>
      <c r="E104" s="53"/>
      <c r="F104" s="53"/>
      <c r="G104" s="53"/>
      <c r="H104" s="53"/>
      <c r="I104" s="53"/>
      <c r="J104" s="53"/>
    </row>
    <row r="105" spans="1:10" ht="15.75" x14ac:dyDescent="0.25">
      <c r="A105" s="53"/>
      <c r="B105" s="53"/>
      <c r="C105" s="53"/>
      <c r="D105" s="53"/>
      <c r="E105" s="53"/>
      <c r="F105" s="53"/>
      <c r="G105" s="53"/>
      <c r="H105" s="53"/>
      <c r="I105" s="53"/>
      <c r="J105" s="53"/>
    </row>
    <row r="106" spans="1:10" ht="15.75" x14ac:dyDescent="0.25">
      <c r="A106" s="53"/>
      <c r="B106" s="53"/>
      <c r="C106" s="53"/>
      <c r="D106" s="53"/>
      <c r="E106" s="53"/>
      <c r="F106" s="53"/>
      <c r="G106" s="53"/>
      <c r="H106" s="53"/>
      <c r="I106" s="53"/>
      <c r="J106" s="53"/>
    </row>
    <row r="107" spans="1:10" ht="15.75" x14ac:dyDescent="0.25">
      <c r="A107" s="53"/>
      <c r="B107" s="53"/>
      <c r="C107" s="53"/>
      <c r="D107" s="53"/>
      <c r="E107" s="53"/>
      <c r="F107" s="53"/>
      <c r="G107" s="53"/>
      <c r="H107" s="53"/>
      <c r="I107" s="53"/>
      <c r="J107" s="53"/>
    </row>
    <row r="108" spans="1:10" ht="15.75" x14ac:dyDescent="0.25">
      <c r="A108" s="53"/>
      <c r="B108" s="53"/>
      <c r="C108" s="53"/>
      <c r="D108" s="53"/>
      <c r="E108" s="53"/>
      <c r="F108" s="53"/>
      <c r="G108" s="53"/>
      <c r="H108" s="53"/>
      <c r="I108" s="53"/>
      <c r="J108" s="53"/>
    </row>
    <row r="109" spans="1:10" ht="15.75" x14ac:dyDescent="0.25">
      <c r="A109" s="53"/>
      <c r="B109" s="53"/>
      <c r="C109" s="53"/>
      <c r="D109" s="53"/>
      <c r="E109" s="53"/>
      <c r="F109" s="53"/>
      <c r="G109" s="53"/>
      <c r="H109" s="53"/>
      <c r="I109" s="53"/>
      <c r="J109" s="53"/>
    </row>
    <row r="110" spans="1:10" ht="15.75" x14ac:dyDescent="0.25">
      <c r="A110" s="53"/>
      <c r="B110" s="53"/>
      <c r="C110" s="53"/>
      <c r="D110" s="53"/>
      <c r="E110" s="53"/>
      <c r="F110" s="53"/>
      <c r="G110" s="53"/>
      <c r="H110" s="53"/>
      <c r="I110" s="53"/>
      <c r="J110" s="53"/>
    </row>
    <row r="111" spans="1:10" ht="15.75" x14ac:dyDescent="0.25">
      <c r="A111" s="53"/>
      <c r="B111" s="53"/>
      <c r="C111" s="53"/>
      <c r="D111" s="53"/>
      <c r="E111" s="53"/>
      <c r="F111" s="53"/>
      <c r="G111" s="53"/>
      <c r="H111" s="53"/>
      <c r="I111" s="53"/>
      <c r="J111" s="53"/>
    </row>
    <row r="112" spans="1:10" ht="15.75" x14ac:dyDescent="0.25">
      <c r="A112" s="53"/>
      <c r="B112" s="53"/>
      <c r="C112" s="53"/>
      <c r="D112" s="53"/>
      <c r="E112" s="53"/>
      <c r="F112" s="53"/>
      <c r="G112" s="53"/>
      <c r="H112" s="53"/>
      <c r="I112" s="53"/>
      <c r="J112" s="53"/>
    </row>
    <row r="113" spans="1:10" ht="15.75" x14ac:dyDescent="0.25">
      <c r="A113" s="53"/>
      <c r="B113" s="53"/>
      <c r="C113" s="53"/>
      <c r="D113" s="53"/>
      <c r="E113" s="53"/>
      <c r="F113" s="53"/>
      <c r="G113" s="53"/>
      <c r="H113" s="53"/>
      <c r="I113" s="53"/>
      <c r="J113" s="53"/>
    </row>
    <row r="114" spans="1:10" ht="15.75" x14ac:dyDescent="0.25">
      <c r="A114" s="53"/>
      <c r="B114" s="53"/>
      <c r="C114" s="53"/>
      <c r="D114" s="53"/>
      <c r="E114" s="53"/>
      <c r="F114" s="53"/>
      <c r="G114" s="53"/>
      <c r="H114" s="53"/>
      <c r="I114" s="53"/>
      <c r="J114" s="53"/>
    </row>
    <row r="115" spans="1:10" ht="15.75" x14ac:dyDescent="0.25">
      <c r="A115" s="53"/>
      <c r="B115" s="53"/>
      <c r="C115" s="53"/>
      <c r="D115" s="53"/>
      <c r="E115" s="53"/>
      <c r="F115" s="53"/>
      <c r="G115" s="53"/>
      <c r="H115" s="53"/>
      <c r="I115" s="53"/>
      <c r="J115" s="53"/>
    </row>
    <row r="116" spans="1:10" ht="15.75" x14ac:dyDescent="0.25">
      <c r="A116" s="53"/>
      <c r="B116" s="53"/>
      <c r="C116" s="53"/>
      <c r="D116" s="53"/>
      <c r="E116" s="53"/>
      <c r="F116" s="53"/>
      <c r="G116" s="53"/>
      <c r="H116" s="53"/>
      <c r="I116" s="53"/>
      <c r="J116" s="53"/>
    </row>
  </sheetData>
  <sheetProtection algorithmName="SHA-512" hashValue="9hHiig86TOSmbk7GGjy9PLZ85dvgaqD91NPYfcg/KLBUYDuwW4jZm0FiCS7FBR0RfImhVmCQWxK8kHhBjqv6jw==" saltValue="wrHhhwzUKfbk/vmtaiIKNg==" spinCount="100000" sheet="1" objects="1" scenarios="1"/>
  <protectedRanges>
    <protectedRange sqref="E12 E14 E16 E18:F19 D24 E10" name="Range1"/>
    <protectedRange sqref="D3:E3" name="Range1_1"/>
  </protectedRanges>
  <mergeCells count="1">
    <mergeCell ref="B4:H4"/>
  </mergeCells>
  <conditionalFormatting sqref="E3">
    <cfRule type="cellIs" dxfId="353" priority="1" operator="equal">
      <formula>"May be incomplete"</formula>
    </cfRule>
    <cfRule type="cellIs" dxfId="352" priority="2" operator="equal">
      <formula>"N/A"</formula>
    </cfRule>
    <cfRule type="cellIs" dxfId="351" priority="3" operator="equal">
      <formula>"Complete"</formula>
    </cfRule>
    <cfRule type="cellIs" dxfId="350" priority="4" operator="equal">
      <formula>"Incomplete"</formula>
    </cfRule>
  </conditionalFormatting>
  <conditionalFormatting sqref="H1:I3 H26:I116">
    <cfRule type="cellIs" dxfId="349" priority="11" operator="equal">
      <formula>"OK"</formula>
    </cfRule>
    <cfRule type="cellIs" dxfId="348" priority="12" operator="equal">
      <formula>"ERROR"</formula>
    </cfRule>
  </conditionalFormatting>
  <conditionalFormatting sqref="H5:I21">
    <cfRule type="cellIs" dxfId="347" priority="9" operator="equal">
      <formula>"OK"</formula>
    </cfRule>
    <cfRule type="cellIs" dxfId="346" priority="10" operator="equal">
      <formula>"ERROR"</formula>
    </cfRule>
  </conditionalFormatting>
  <dataValidations count="3">
    <dataValidation type="list" allowBlank="1" showErrorMessage="1" sqref="E12 E16 E18 E10 E14" xr:uid="{00000000-0002-0000-1E00-000000000000}">
      <formula1>"Yes,No"</formula1>
    </dataValidation>
    <dataValidation allowBlank="1" showErrorMessage="1" promptTitle="Comments" prompt="Any comments regarding areas within the work sheet that do not accommodate particular features of the insurer being assessed can be entered here._x000a__x000a_Comments row can be adjusted as required." sqref="D24" xr:uid="{00000000-0002-0000-1E00-000001000000}"/>
    <dataValidation allowBlank="1" showErrorMessage="1" sqref="F12:F19 E19 E17 E13 E15 D3:E3" xr:uid="{00000000-0002-0000-1E00-000002000000}"/>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0070C0"/>
  </sheetPr>
  <dimension ref="A1:AJ96"/>
  <sheetViews>
    <sheetView workbookViewId="0">
      <selection activeCell="G13" sqref="G13"/>
    </sheetView>
  </sheetViews>
  <sheetFormatPr defaultColWidth="0" defaultRowHeight="14.25" zeroHeight="1" x14ac:dyDescent="0.2"/>
  <cols>
    <col min="1" max="1" width="18.375" customWidth="1"/>
    <col min="2" max="2" width="2.375" customWidth="1"/>
    <col min="3" max="3" width="11.5" customWidth="1"/>
    <col min="4" max="4" width="2.625" customWidth="1"/>
    <col min="5" max="5" width="13.125" bestFit="1" customWidth="1"/>
    <col min="6" max="6" width="2.625" customWidth="1"/>
    <col min="7" max="7" width="12" bestFit="1" customWidth="1"/>
    <col min="8" max="8" width="2.625" customWidth="1"/>
    <col min="9" max="9" width="12.375" bestFit="1" customWidth="1"/>
    <col min="10" max="10" width="2.375" customWidth="1"/>
    <col min="11" max="11" width="11.375" bestFit="1" customWidth="1"/>
    <col min="12" max="12" width="2.375" customWidth="1"/>
    <col min="13" max="13" width="12.625" customWidth="1"/>
    <col min="14" max="14" width="2.625" customWidth="1"/>
    <col min="15" max="15" width="3.125" customWidth="1"/>
    <col min="16" max="16" width="80" customWidth="1"/>
    <col min="17" max="17" width="2" customWidth="1"/>
    <col min="18" max="19" width="13.625" customWidth="1"/>
    <col min="20" max="36" width="13.625" hidden="1"/>
  </cols>
  <sheetData>
    <row r="1" spans="1:19" ht="15.75" x14ac:dyDescent="0.25">
      <c r="A1" s="59">
        <v>1</v>
      </c>
      <c r="B1" s="59"/>
      <c r="C1" s="60"/>
      <c r="D1" s="60"/>
      <c r="E1" s="60"/>
      <c r="F1" s="60"/>
      <c r="G1" s="60"/>
      <c r="H1" s="60"/>
      <c r="I1" s="60"/>
      <c r="J1" s="60"/>
      <c r="K1" s="60"/>
      <c r="L1" s="60"/>
      <c r="M1" s="60"/>
      <c r="N1" s="60"/>
      <c r="O1" s="60"/>
      <c r="P1" s="60"/>
      <c r="Q1" s="60"/>
      <c r="R1" s="60"/>
      <c r="S1" s="60"/>
    </row>
    <row r="2" spans="1:19" ht="42.75" customHeight="1" x14ac:dyDescent="0.25">
      <c r="A2" s="60"/>
      <c r="B2" s="60"/>
      <c r="C2" s="60"/>
      <c r="D2" s="60"/>
      <c r="E2" s="60"/>
      <c r="F2" s="60"/>
      <c r="G2" s="60"/>
      <c r="H2" s="60"/>
      <c r="I2" s="52" t="s">
        <v>79</v>
      </c>
      <c r="J2" s="60"/>
      <c r="K2" s="60"/>
      <c r="L2" s="60"/>
      <c r="M2" s="60"/>
      <c r="N2" s="60"/>
      <c r="O2" s="60"/>
      <c r="P2" s="60"/>
      <c r="Q2" s="60"/>
      <c r="R2" s="60"/>
      <c r="S2" s="60"/>
    </row>
    <row r="3" spans="1:19" ht="12.6" customHeight="1" x14ac:dyDescent="0.25">
      <c r="A3" s="427" t="s">
        <v>638</v>
      </c>
      <c r="B3" s="427"/>
      <c r="C3" s="211"/>
      <c r="D3" s="211"/>
      <c r="E3" s="211"/>
      <c r="F3" s="211"/>
      <c r="G3" s="688" t="str">
        <f>IF(Control!$E$6="Biannual", "No","Yes")</f>
        <v>Yes</v>
      </c>
      <c r="H3" s="211"/>
      <c r="I3" s="211"/>
      <c r="J3" s="211"/>
      <c r="K3" s="211"/>
      <c r="L3" s="211"/>
      <c r="M3" s="211"/>
      <c r="N3" s="211"/>
      <c r="O3" s="211"/>
      <c r="P3" s="211"/>
      <c r="Q3" s="211"/>
      <c r="R3" s="211"/>
      <c r="S3" s="211"/>
    </row>
    <row r="4" spans="1:19" ht="72" customHeight="1" x14ac:dyDescent="0.2">
      <c r="A4" s="876" t="str">
        <f>Index!D101</f>
        <v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v>
      </c>
      <c r="B4" s="876"/>
      <c r="C4" s="876"/>
      <c r="D4" s="876"/>
      <c r="E4" s="876"/>
      <c r="F4" s="876"/>
      <c r="G4" s="876"/>
      <c r="H4" s="876"/>
      <c r="I4" s="876"/>
      <c r="J4" s="876"/>
      <c r="K4" s="876"/>
      <c r="L4" s="876"/>
      <c r="M4" s="876"/>
      <c r="N4" s="471"/>
      <c r="O4" s="211"/>
      <c r="P4" s="211"/>
      <c r="Q4" s="211"/>
      <c r="R4" s="211"/>
      <c r="S4" s="211"/>
    </row>
    <row r="5" spans="1:19" ht="15" customHeight="1" x14ac:dyDescent="0.25">
      <c r="A5" s="472"/>
      <c r="B5" s="427"/>
      <c r="C5" s="211"/>
      <c r="D5" s="211"/>
      <c r="E5" s="211"/>
      <c r="F5" s="211"/>
      <c r="G5" s="211"/>
      <c r="H5" s="211"/>
      <c r="I5" s="211"/>
      <c r="J5" s="211"/>
      <c r="K5" s="211"/>
      <c r="L5" s="211"/>
      <c r="M5" s="211"/>
      <c r="N5" s="211"/>
      <c r="O5" s="211"/>
      <c r="P5" s="211"/>
      <c r="Q5" s="211"/>
      <c r="R5" s="211"/>
      <c r="S5" s="211"/>
    </row>
    <row r="6" spans="1:19" ht="15.75" x14ac:dyDescent="0.2">
      <c r="A6" s="448"/>
      <c r="B6" s="427"/>
      <c r="C6" s="211"/>
      <c r="D6" s="211"/>
      <c r="E6" s="211"/>
      <c r="F6" s="211"/>
      <c r="G6" s="211"/>
      <c r="H6" s="211"/>
      <c r="I6" s="211"/>
      <c r="J6" s="211"/>
      <c r="K6" s="211"/>
      <c r="L6" s="211"/>
      <c r="M6" s="211"/>
      <c r="N6" s="211"/>
      <c r="O6" s="211"/>
      <c r="P6" s="211"/>
      <c r="Q6" s="211"/>
      <c r="R6" s="211"/>
      <c r="S6" s="211"/>
    </row>
    <row r="7" spans="1:19" ht="16.5" thickBot="1" x14ac:dyDescent="0.3">
      <c r="A7" s="473"/>
      <c r="B7" s="53"/>
      <c r="C7" s="53"/>
      <c r="D7" s="53"/>
      <c r="E7" s="53"/>
      <c r="F7" s="53"/>
      <c r="G7" s="53"/>
      <c r="H7" s="53"/>
      <c r="I7" s="53"/>
      <c r="J7" s="53"/>
      <c r="K7" s="53"/>
      <c r="L7" s="53"/>
      <c r="M7" s="53"/>
      <c r="N7" s="53"/>
      <c r="O7" s="53"/>
      <c r="P7" s="53"/>
      <c r="Q7" s="53"/>
      <c r="R7" s="342" t="str">
        <f>IF(G3="No","Complete",IF(COUNTIF(R13:R52,"Incomplete")&gt;0,"Incomplete","Complete"))</f>
        <v>Complete</v>
      </c>
      <c r="S7" s="53"/>
    </row>
    <row r="8" spans="1:19" ht="29.25" customHeight="1" x14ac:dyDescent="0.25">
      <c r="A8" s="68" t="s">
        <v>677</v>
      </c>
      <c r="B8" s="474"/>
      <c r="C8" s="474"/>
      <c r="D8" s="474"/>
      <c r="E8" s="474"/>
      <c r="F8" s="474"/>
      <c r="G8" s="474"/>
      <c r="H8" s="474"/>
      <c r="I8" s="474"/>
      <c r="J8" s="474"/>
      <c r="K8" s="474"/>
      <c r="L8" s="474"/>
      <c r="M8" s="474"/>
      <c r="N8" s="475"/>
      <c r="O8" s="53"/>
      <c r="P8" s="476"/>
      <c r="Q8" s="53"/>
      <c r="R8" s="53"/>
      <c r="S8" s="53"/>
    </row>
    <row r="9" spans="1:19" ht="29.25" customHeight="1" x14ac:dyDescent="0.25">
      <c r="A9" s="439"/>
      <c r="B9" s="477"/>
      <c r="C9" s="349" t="s">
        <v>678</v>
      </c>
      <c r="D9" s="477"/>
      <c r="E9" s="349" t="s">
        <v>679</v>
      </c>
      <c r="F9" s="477"/>
      <c r="G9" s="349" t="s">
        <v>680</v>
      </c>
      <c r="H9" s="477"/>
      <c r="I9" s="349" t="s">
        <v>681</v>
      </c>
      <c r="J9" s="477"/>
      <c r="K9" s="349" t="s">
        <v>682</v>
      </c>
      <c r="L9" s="477"/>
      <c r="M9" s="349" t="s">
        <v>683</v>
      </c>
      <c r="N9" s="478"/>
      <c r="O9" s="53"/>
      <c r="P9" s="479"/>
      <c r="Q9" s="53"/>
      <c r="R9" s="53"/>
      <c r="S9" s="53"/>
    </row>
    <row r="10" spans="1:19" ht="80.25" customHeight="1" x14ac:dyDescent="0.25">
      <c r="A10" s="480"/>
      <c r="B10" s="480"/>
      <c r="C10" s="481" t="s">
        <v>684</v>
      </c>
      <c r="D10" s="481"/>
      <c r="E10" s="481" t="s">
        <v>685</v>
      </c>
      <c r="F10" s="481"/>
      <c r="G10" s="481" t="s">
        <v>686</v>
      </c>
      <c r="H10" s="481"/>
      <c r="I10" s="481" t="s">
        <v>687</v>
      </c>
      <c r="J10" s="481"/>
      <c r="K10" s="481" t="s">
        <v>688</v>
      </c>
      <c r="L10" s="481"/>
      <c r="M10" s="481" t="s">
        <v>689</v>
      </c>
      <c r="N10" s="482"/>
      <c r="O10" s="440"/>
      <c r="P10" s="483"/>
      <c r="Q10" s="440"/>
      <c r="R10" s="440"/>
      <c r="S10" s="440"/>
    </row>
    <row r="11" spans="1:19" ht="16.5" thickBot="1" x14ac:dyDescent="0.3">
      <c r="A11" s="378" t="s">
        <v>690</v>
      </c>
      <c r="B11" s="378"/>
      <c r="C11" s="75" t="s">
        <v>691</v>
      </c>
      <c r="D11" s="75"/>
      <c r="E11" s="75" t="str">
        <f>"'000"</f>
        <v>'000</v>
      </c>
      <c r="F11" s="75"/>
      <c r="G11" s="75" t="str">
        <f>"'000"</f>
        <v>'000</v>
      </c>
      <c r="H11" s="75"/>
      <c r="I11" s="75" t="str">
        <f>"'000"</f>
        <v>'000</v>
      </c>
      <c r="J11" s="75"/>
      <c r="K11" s="75" t="s">
        <v>691</v>
      </c>
      <c r="L11" s="75"/>
      <c r="M11" s="75" t="str">
        <f>"'000"</f>
        <v>'000</v>
      </c>
      <c r="N11" s="189"/>
      <c r="O11" s="440"/>
      <c r="P11" s="118" t="s">
        <v>676</v>
      </c>
      <c r="Q11" s="440"/>
      <c r="R11" s="440"/>
      <c r="S11" s="440"/>
    </row>
    <row r="12" spans="1:19" ht="6" customHeight="1" thickBot="1" x14ac:dyDescent="0.3">
      <c r="A12" s="484"/>
      <c r="B12" s="484"/>
      <c r="C12" s="485"/>
      <c r="D12" s="485"/>
      <c r="E12" s="485"/>
      <c r="F12" s="485"/>
      <c r="G12" s="485"/>
      <c r="H12" s="485"/>
      <c r="I12" s="485"/>
      <c r="J12" s="485"/>
      <c r="K12" s="485"/>
      <c r="L12" s="485"/>
      <c r="M12" s="485"/>
      <c r="N12" s="486"/>
      <c r="O12" s="211"/>
      <c r="P12" s="487"/>
      <c r="Q12" s="440"/>
      <c r="R12" s="440"/>
      <c r="S12" s="440"/>
    </row>
    <row r="13" spans="1:19" ht="15.75" x14ac:dyDescent="0.25">
      <c r="A13" s="463" t="s">
        <v>692</v>
      </c>
      <c r="B13" s="463"/>
      <c r="C13" s="604" t="s">
        <v>693</v>
      </c>
      <c r="D13" s="463"/>
      <c r="E13" s="678">
        <v>0</v>
      </c>
      <c r="F13" s="488"/>
      <c r="G13" s="678">
        <v>0</v>
      </c>
      <c r="H13" s="488"/>
      <c r="I13" s="690">
        <f>SUM(E13:H13)</f>
        <v>0</v>
      </c>
      <c r="J13" s="488"/>
      <c r="K13" s="694" t="s">
        <v>693</v>
      </c>
      <c r="L13" s="488"/>
      <c r="M13" s="678">
        <v>0</v>
      </c>
      <c r="N13" s="464"/>
      <c r="O13" s="211"/>
      <c r="P13" s="329"/>
      <c r="Q13" s="211"/>
      <c r="R13" s="342" t="str">
        <f>IF(OR($G$3="No",C13="Select"),"Complete",IF(OR(C13="", AND(OR(C13="Contract",C13="Estimate"),OR(E13=0,E13="",G13="")),AND(K13="Select",M13&lt;0),AND(OR(K13="Contract",K13="Estimate"),M13=0)),"Incomplete","Complete"))</f>
        <v>Complete</v>
      </c>
      <c r="S13" s="211"/>
    </row>
    <row r="14" spans="1:19" ht="15.75" x14ac:dyDescent="0.25">
      <c r="A14" s="463" t="s">
        <v>694</v>
      </c>
      <c r="B14" s="463"/>
      <c r="C14" s="604" t="s">
        <v>693</v>
      </c>
      <c r="D14" s="463"/>
      <c r="E14" s="678">
        <v>0</v>
      </c>
      <c r="F14" s="488"/>
      <c r="G14" s="678">
        <v>0</v>
      </c>
      <c r="H14" s="488"/>
      <c r="I14" s="690">
        <f t="shared" ref="I14:I28" si="0">SUM(E14:H14)</f>
        <v>0</v>
      </c>
      <c r="J14" s="488"/>
      <c r="K14" s="694" t="s">
        <v>693</v>
      </c>
      <c r="L14" s="488"/>
      <c r="M14" s="678">
        <v>0</v>
      </c>
      <c r="N14" s="464"/>
      <c r="O14" s="211"/>
      <c r="P14" s="330"/>
      <c r="Q14" s="211"/>
      <c r="R14" s="342" t="str">
        <f t="shared" ref="R14:R28" si="1">IF(OR($G$3="No",C14="Select"),"Complete",IF(OR(C14="", AND(OR(C14="Contract",C14="Estimate"),OR(E14=0,E14="",G14="")),AND(K14="Select",M14&lt;0),AND(OR(K14="Contract",K14="Estimate"),M14=0)),"Incomplete","Complete"))</f>
        <v>Complete</v>
      </c>
      <c r="S14" s="211"/>
    </row>
    <row r="15" spans="1:19" ht="15.75" x14ac:dyDescent="0.25">
      <c r="A15" s="463" t="s">
        <v>695</v>
      </c>
      <c r="B15" s="463"/>
      <c r="C15" s="604" t="s">
        <v>693</v>
      </c>
      <c r="D15" s="463"/>
      <c r="E15" s="678">
        <v>0</v>
      </c>
      <c r="F15" s="488"/>
      <c r="G15" s="678">
        <v>0</v>
      </c>
      <c r="H15" s="488"/>
      <c r="I15" s="690">
        <f t="shared" si="0"/>
        <v>0</v>
      </c>
      <c r="J15" s="488"/>
      <c r="K15" s="694" t="s">
        <v>693</v>
      </c>
      <c r="L15" s="488"/>
      <c r="M15" s="678">
        <v>0</v>
      </c>
      <c r="N15" s="464"/>
      <c r="O15" s="211"/>
      <c r="P15" s="330"/>
      <c r="Q15" s="211"/>
      <c r="R15" s="342" t="str">
        <f t="shared" si="1"/>
        <v>Complete</v>
      </c>
      <c r="S15" s="211"/>
    </row>
    <row r="16" spans="1:19" ht="15.75" x14ac:dyDescent="0.25">
      <c r="A16" s="463" t="s">
        <v>696</v>
      </c>
      <c r="B16" s="463"/>
      <c r="C16" s="604" t="s">
        <v>693</v>
      </c>
      <c r="D16" s="463"/>
      <c r="E16" s="678">
        <v>0</v>
      </c>
      <c r="F16" s="488"/>
      <c r="G16" s="678">
        <v>0</v>
      </c>
      <c r="H16" s="488"/>
      <c r="I16" s="690">
        <f t="shared" si="0"/>
        <v>0</v>
      </c>
      <c r="J16" s="488"/>
      <c r="K16" s="694" t="s">
        <v>693</v>
      </c>
      <c r="L16" s="488"/>
      <c r="M16" s="678">
        <v>0</v>
      </c>
      <c r="N16" s="464"/>
      <c r="O16" s="211"/>
      <c r="P16" s="330"/>
      <c r="Q16" s="211"/>
      <c r="R16" s="342" t="str">
        <f t="shared" si="1"/>
        <v>Complete</v>
      </c>
      <c r="S16" s="211"/>
    </row>
    <row r="17" spans="1:19" ht="15.75" x14ac:dyDescent="0.25">
      <c r="A17" s="463" t="s">
        <v>697</v>
      </c>
      <c r="B17" s="463"/>
      <c r="C17" s="604" t="s">
        <v>693</v>
      </c>
      <c r="D17" s="463"/>
      <c r="E17" s="678">
        <v>0</v>
      </c>
      <c r="F17" s="488"/>
      <c r="G17" s="678">
        <v>0</v>
      </c>
      <c r="H17" s="488"/>
      <c r="I17" s="690">
        <f t="shared" si="0"/>
        <v>0</v>
      </c>
      <c r="J17" s="488"/>
      <c r="K17" s="694" t="s">
        <v>693</v>
      </c>
      <c r="L17" s="488"/>
      <c r="M17" s="678">
        <v>0</v>
      </c>
      <c r="N17" s="464"/>
      <c r="O17" s="211"/>
      <c r="P17" s="330"/>
      <c r="Q17" s="211"/>
      <c r="R17" s="342" t="str">
        <f t="shared" si="1"/>
        <v>Complete</v>
      </c>
      <c r="S17" s="211"/>
    </row>
    <row r="18" spans="1:19" ht="15.75" x14ac:dyDescent="0.25">
      <c r="A18" s="463" t="s">
        <v>698</v>
      </c>
      <c r="B18" s="463"/>
      <c r="C18" s="604" t="s">
        <v>693</v>
      </c>
      <c r="D18" s="463"/>
      <c r="E18" s="678">
        <v>0</v>
      </c>
      <c r="F18" s="488"/>
      <c r="G18" s="678">
        <v>0</v>
      </c>
      <c r="H18" s="488"/>
      <c r="I18" s="690">
        <f t="shared" si="0"/>
        <v>0</v>
      </c>
      <c r="J18" s="488"/>
      <c r="K18" s="694" t="s">
        <v>693</v>
      </c>
      <c r="L18" s="488"/>
      <c r="M18" s="678">
        <v>0</v>
      </c>
      <c r="N18" s="464"/>
      <c r="O18" s="211"/>
      <c r="P18" s="330"/>
      <c r="Q18" s="211"/>
      <c r="R18" s="342" t="str">
        <f t="shared" si="1"/>
        <v>Complete</v>
      </c>
      <c r="S18" s="211"/>
    </row>
    <row r="19" spans="1:19" ht="15.75" x14ac:dyDescent="0.25">
      <c r="A19" s="463" t="s">
        <v>699</v>
      </c>
      <c r="B19" s="463"/>
      <c r="C19" s="604" t="s">
        <v>693</v>
      </c>
      <c r="D19" s="463"/>
      <c r="E19" s="678">
        <v>0</v>
      </c>
      <c r="F19" s="488"/>
      <c r="G19" s="678">
        <v>0</v>
      </c>
      <c r="H19" s="488"/>
      <c r="I19" s="690">
        <f t="shared" si="0"/>
        <v>0</v>
      </c>
      <c r="J19" s="488"/>
      <c r="K19" s="694" t="s">
        <v>693</v>
      </c>
      <c r="L19" s="488"/>
      <c r="M19" s="678">
        <v>0</v>
      </c>
      <c r="N19" s="464"/>
      <c r="O19" s="211"/>
      <c r="P19" s="330"/>
      <c r="Q19" s="211"/>
      <c r="R19" s="342" t="str">
        <f t="shared" si="1"/>
        <v>Complete</v>
      </c>
      <c r="S19" s="211"/>
    </row>
    <row r="20" spans="1:19" ht="15.75" x14ac:dyDescent="0.25">
      <c r="A20" s="463" t="s">
        <v>700</v>
      </c>
      <c r="B20" s="463"/>
      <c r="C20" s="604" t="s">
        <v>693</v>
      </c>
      <c r="D20" s="463"/>
      <c r="E20" s="678">
        <v>0</v>
      </c>
      <c r="F20" s="488"/>
      <c r="G20" s="678">
        <v>0</v>
      </c>
      <c r="H20" s="488"/>
      <c r="I20" s="690">
        <f t="shared" si="0"/>
        <v>0</v>
      </c>
      <c r="J20" s="488"/>
      <c r="K20" s="694" t="s">
        <v>693</v>
      </c>
      <c r="L20" s="488"/>
      <c r="M20" s="678">
        <v>0</v>
      </c>
      <c r="N20" s="464"/>
      <c r="O20" s="211"/>
      <c r="P20" s="330"/>
      <c r="Q20" s="211"/>
      <c r="R20" s="342" t="str">
        <f t="shared" si="1"/>
        <v>Complete</v>
      </c>
      <c r="S20" s="211"/>
    </row>
    <row r="21" spans="1:19" ht="15.75" x14ac:dyDescent="0.25">
      <c r="A21" s="463" t="s">
        <v>701</v>
      </c>
      <c r="B21" s="463"/>
      <c r="C21" s="604" t="s">
        <v>693</v>
      </c>
      <c r="D21" s="463"/>
      <c r="E21" s="678">
        <v>0</v>
      </c>
      <c r="F21" s="488"/>
      <c r="G21" s="678">
        <v>0</v>
      </c>
      <c r="H21" s="488"/>
      <c r="I21" s="690">
        <f t="shared" si="0"/>
        <v>0</v>
      </c>
      <c r="J21" s="488"/>
      <c r="K21" s="694" t="s">
        <v>693</v>
      </c>
      <c r="L21" s="488"/>
      <c r="M21" s="678">
        <v>0</v>
      </c>
      <c r="N21" s="464"/>
      <c r="O21" s="211"/>
      <c r="P21" s="330"/>
      <c r="Q21" s="211"/>
      <c r="R21" s="342" t="str">
        <f t="shared" si="1"/>
        <v>Complete</v>
      </c>
      <c r="S21" s="211"/>
    </row>
    <row r="22" spans="1:19" ht="15.75" x14ac:dyDescent="0.25">
      <c r="A22" s="463" t="s">
        <v>702</v>
      </c>
      <c r="B22" s="463"/>
      <c r="C22" s="604" t="s">
        <v>693</v>
      </c>
      <c r="D22" s="463"/>
      <c r="E22" s="678">
        <v>0</v>
      </c>
      <c r="F22" s="488"/>
      <c r="G22" s="678">
        <v>0</v>
      </c>
      <c r="H22" s="488"/>
      <c r="I22" s="690">
        <f t="shared" si="0"/>
        <v>0</v>
      </c>
      <c r="J22" s="488"/>
      <c r="K22" s="694" t="s">
        <v>693</v>
      </c>
      <c r="L22" s="488"/>
      <c r="M22" s="678">
        <v>0</v>
      </c>
      <c r="N22" s="464"/>
      <c r="O22" s="211"/>
      <c r="P22" s="330"/>
      <c r="Q22" s="211"/>
      <c r="R22" s="342" t="str">
        <f t="shared" si="1"/>
        <v>Complete</v>
      </c>
      <c r="S22" s="211"/>
    </row>
    <row r="23" spans="1:19" ht="15.75" x14ac:dyDescent="0.25">
      <c r="A23" s="463" t="s">
        <v>703</v>
      </c>
      <c r="B23" s="463"/>
      <c r="C23" s="604" t="s">
        <v>693</v>
      </c>
      <c r="D23" s="463"/>
      <c r="E23" s="678">
        <v>0</v>
      </c>
      <c r="F23" s="488"/>
      <c r="G23" s="678">
        <v>0</v>
      </c>
      <c r="H23" s="488"/>
      <c r="I23" s="690">
        <f t="shared" si="0"/>
        <v>0</v>
      </c>
      <c r="J23" s="488"/>
      <c r="K23" s="694" t="s">
        <v>693</v>
      </c>
      <c r="L23" s="488"/>
      <c r="M23" s="678">
        <v>0</v>
      </c>
      <c r="N23" s="464"/>
      <c r="O23" s="211"/>
      <c r="P23" s="330"/>
      <c r="Q23" s="211"/>
      <c r="R23" s="342" t="str">
        <f t="shared" si="1"/>
        <v>Complete</v>
      </c>
      <c r="S23" s="211"/>
    </row>
    <row r="24" spans="1:19" ht="15.75" x14ac:dyDescent="0.25">
      <c r="A24" s="463" t="s">
        <v>704</v>
      </c>
      <c r="B24" s="463"/>
      <c r="C24" s="604" t="s">
        <v>693</v>
      </c>
      <c r="D24" s="463"/>
      <c r="E24" s="678">
        <v>0</v>
      </c>
      <c r="F24" s="488"/>
      <c r="G24" s="678">
        <v>0</v>
      </c>
      <c r="H24" s="488"/>
      <c r="I24" s="690">
        <f t="shared" si="0"/>
        <v>0</v>
      </c>
      <c r="J24" s="488"/>
      <c r="K24" s="694" t="s">
        <v>693</v>
      </c>
      <c r="L24" s="488"/>
      <c r="M24" s="678">
        <v>0</v>
      </c>
      <c r="N24" s="464"/>
      <c r="O24" s="211"/>
      <c r="P24" s="330"/>
      <c r="Q24" s="211"/>
      <c r="R24" s="342" t="str">
        <f t="shared" si="1"/>
        <v>Complete</v>
      </c>
      <c r="S24" s="211"/>
    </row>
    <row r="25" spans="1:19" ht="15.75" x14ac:dyDescent="0.25">
      <c r="A25" s="463" t="s">
        <v>495</v>
      </c>
      <c r="B25" s="463"/>
      <c r="C25" s="604" t="s">
        <v>693</v>
      </c>
      <c r="D25" s="463"/>
      <c r="E25" s="678">
        <v>0</v>
      </c>
      <c r="F25" s="488"/>
      <c r="G25" s="678">
        <v>0</v>
      </c>
      <c r="H25" s="488"/>
      <c r="I25" s="690">
        <f t="shared" si="0"/>
        <v>0</v>
      </c>
      <c r="J25" s="488"/>
      <c r="K25" s="694" t="s">
        <v>693</v>
      </c>
      <c r="L25" s="488"/>
      <c r="M25" s="678">
        <v>0</v>
      </c>
      <c r="N25" s="464"/>
      <c r="O25" s="211"/>
      <c r="P25" s="330"/>
      <c r="Q25" s="211"/>
      <c r="R25" s="342" t="str">
        <f t="shared" si="1"/>
        <v>Complete</v>
      </c>
      <c r="S25" s="211"/>
    </row>
    <row r="26" spans="1:19" ht="15.75" x14ac:dyDescent="0.25">
      <c r="A26" s="463" t="s">
        <v>496</v>
      </c>
      <c r="B26" s="463"/>
      <c r="C26" s="604" t="s">
        <v>693</v>
      </c>
      <c r="D26" s="463"/>
      <c r="E26" s="678">
        <v>0</v>
      </c>
      <c r="F26" s="488"/>
      <c r="G26" s="678">
        <v>0</v>
      </c>
      <c r="H26" s="488"/>
      <c r="I26" s="690">
        <f t="shared" si="0"/>
        <v>0</v>
      </c>
      <c r="J26" s="488"/>
      <c r="K26" s="694" t="s">
        <v>693</v>
      </c>
      <c r="L26" s="488"/>
      <c r="M26" s="678">
        <v>0</v>
      </c>
      <c r="N26" s="464"/>
      <c r="O26" s="211"/>
      <c r="P26" s="330"/>
      <c r="Q26" s="211"/>
      <c r="R26" s="342" t="str">
        <f t="shared" si="1"/>
        <v>Complete</v>
      </c>
      <c r="S26" s="211"/>
    </row>
    <row r="27" spans="1:19" ht="15.75" x14ac:dyDescent="0.25">
      <c r="A27" s="463" t="s">
        <v>497</v>
      </c>
      <c r="B27" s="463"/>
      <c r="C27" s="604" t="s">
        <v>693</v>
      </c>
      <c r="D27" s="463"/>
      <c r="E27" s="678">
        <v>0</v>
      </c>
      <c r="F27" s="488"/>
      <c r="G27" s="678">
        <v>0</v>
      </c>
      <c r="H27" s="488"/>
      <c r="I27" s="690">
        <f t="shared" si="0"/>
        <v>0</v>
      </c>
      <c r="J27" s="488"/>
      <c r="K27" s="694" t="s">
        <v>693</v>
      </c>
      <c r="L27" s="488"/>
      <c r="M27" s="678">
        <v>0</v>
      </c>
      <c r="N27" s="464"/>
      <c r="O27" s="211"/>
      <c r="P27" s="330"/>
      <c r="Q27" s="211"/>
      <c r="R27" s="342" t="str">
        <f t="shared" si="1"/>
        <v>Complete</v>
      </c>
      <c r="S27" s="211"/>
    </row>
    <row r="28" spans="1:19" ht="15.75" x14ac:dyDescent="0.25">
      <c r="A28" s="463" t="s">
        <v>523</v>
      </c>
      <c r="B28" s="463"/>
      <c r="C28" s="604" t="s">
        <v>693</v>
      </c>
      <c r="D28" s="463"/>
      <c r="E28" s="678">
        <v>0</v>
      </c>
      <c r="F28" s="488"/>
      <c r="G28" s="678">
        <v>0</v>
      </c>
      <c r="H28" s="488"/>
      <c r="I28" s="690">
        <f t="shared" si="0"/>
        <v>0</v>
      </c>
      <c r="J28" s="488"/>
      <c r="K28" s="694" t="s">
        <v>693</v>
      </c>
      <c r="L28" s="488"/>
      <c r="M28" s="678">
        <v>0</v>
      </c>
      <c r="N28" s="464"/>
      <c r="O28" s="211"/>
      <c r="P28" s="330"/>
      <c r="Q28" s="211"/>
      <c r="R28" s="342" t="str">
        <f t="shared" si="1"/>
        <v>Complete</v>
      </c>
      <c r="S28" s="211"/>
    </row>
    <row r="29" spans="1:19" ht="6" customHeight="1" thickBot="1" x14ac:dyDescent="0.25">
      <c r="A29" s="489"/>
      <c r="B29" s="489"/>
      <c r="C29" s="489"/>
      <c r="D29" s="489"/>
      <c r="E29" s="489"/>
      <c r="F29" s="489"/>
      <c r="G29" s="489"/>
      <c r="H29" s="489"/>
      <c r="I29" s="489"/>
      <c r="J29" s="489"/>
      <c r="K29" s="489"/>
      <c r="L29" s="489"/>
      <c r="M29" s="489"/>
      <c r="N29" s="490"/>
      <c r="O29" s="211"/>
      <c r="P29" s="211"/>
      <c r="Q29" s="211"/>
      <c r="R29" s="211"/>
      <c r="S29" s="211"/>
    </row>
    <row r="30" spans="1:19" ht="15.75" x14ac:dyDescent="0.2">
      <c r="A30" s="211"/>
      <c r="B30" s="211"/>
      <c r="C30" s="211"/>
      <c r="D30" s="211"/>
      <c r="E30" s="211"/>
      <c r="F30" s="211"/>
      <c r="G30" s="211"/>
      <c r="H30" s="211"/>
      <c r="I30" s="211"/>
      <c r="J30" s="211"/>
      <c r="K30" s="211"/>
      <c r="L30" s="211"/>
      <c r="M30" s="211"/>
      <c r="N30" s="211"/>
      <c r="O30" s="211"/>
      <c r="P30" s="211"/>
      <c r="Q30" s="211"/>
      <c r="R30" s="211"/>
      <c r="S30" s="211"/>
    </row>
    <row r="31" spans="1:19" ht="16.5" thickBot="1" x14ac:dyDescent="0.25">
      <c r="A31" s="211"/>
      <c r="B31" s="211"/>
      <c r="C31" s="211"/>
      <c r="D31" s="211"/>
      <c r="E31" s="211"/>
      <c r="F31" s="211"/>
      <c r="G31" s="211"/>
      <c r="H31" s="211"/>
      <c r="I31" s="211"/>
      <c r="J31" s="211"/>
      <c r="K31" s="211"/>
      <c r="L31" s="211"/>
      <c r="M31" s="211"/>
      <c r="N31" s="211"/>
      <c r="O31" s="211"/>
      <c r="P31" s="211"/>
      <c r="Q31" s="211"/>
      <c r="R31" s="211"/>
      <c r="S31" s="211"/>
    </row>
    <row r="32" spans="1:19" ht="29.25" customHeight="1" x14ac:dyDescent="0.25">
      <c r="A32" s="68" t="s">
        <v>705</v>
      </c>
      <c r="B32" s="474"/>
      <c r="C32" s="474"/>
      <c r="D32" s="474"/>
      <c r="E32" s="474"/>
      <c r="F32" s="474"/>
      <c r="G32" s="474"/>
      <c r="H32" s="474"/>
      <c r="I32" s="474"/>
      <c r="J32" s="474"/>
      <c r="K32" s="474"/>
      <c r="L32" s="474"/>
      <c r="M32" s="474"/>
      <c r="N32" s="475"/>
      <c r="O32" s="53"/>
      <c r="P32" s="476"/>
      <c r="Q32" s="53"/>
      <c r="R32" s="53"/>
      <c r="S32" s="53"/>
    </row>
    <row r="33" spans="1:19" ht="29.25" customHeight="1" x14ac:dyDescent="0.25">
      <c r="A33" s="439"/>
      <c r="B33" s="477"/>
      <c r="C33" s="349" t="s">
        <v>678</v>
      </c>
      <c r="D33" s="477"/>
      <c r="E33" s="349" t="s">
        <v>679</v>
      </c>
      <c r="F33" s="477"/>
      <c r="G33" s="349" t="s">
        <v>680</v>
      </c>
      <c r="H33" s="477"/>
      <c r="I33" s="349" t="s">
        <v>681</v>
      </c>
      <c r="J33" s="477"/>
      <c r="K33" s="349" t="s">
        <v>682</v>
      </c>
      <c r="L33" s="477"/>
      <c r="M33" s="349" t="s">
        <v>683</v>
      </c>
      <c r="N33" s="478"/>
      <c r="O33" s="53"/>
      <c r="P33" s="479"/>
      <c r="Q33" s="53"/>
      <c r="R33" s="53"/>
      <c r="S33" s="53"/>
    </row>
    <row r="34" spans="1:19" ht="76.5" customHeight="1" x14ac:dyDescent="0.25">
      <c r="A34" s="480"/>
      <c r="B34" s="480"/>
      <c r="C34" s="481" t="s">
        <v>684</v>
      </c>
      <c r="D34" s="481"/>
      <c r="E34" s="481" t="s">
        <v>685</v>
      </c>
      <c r="F34" s="481"/>
      <c r="G34" s="481" t="s">
        <v>686</v>
      </c>
      <c r="H34" s="481"/>
      <c r="I34" s="481" t="s">
        <v>687</v>
      </c>
      <c r="J34" s="481"/>
      <c r="K34" s="481" t="s">
        <v>688</v>
      </c>
      <c r="L34" s="481"/>
      <c r="M34" s="481" t="s">
        <v>689</v>
      </c>
      <c r="N34" s="482"/>
      <c r="O34" s="440"/>
      <c r="P34" s="483"/>
      <c r="Q34" s="440"/>
      <c r="R34" s="440"/>
      <c r="S34" s="440"/>
    </row>
    <row r="35" spans="1:19" ht="16.5" thickBot="1" x14ac:dyDescent="0.3">
      <c r="A35" s="378" t="s">
        <v>690</v>
      </c>
      <c r="B35" s="378"/>
      <c r="C35" s="75" t="s">
        <v>691</v>
      </c>
      <c r="D35" s="75"/>
      <c r="E35" s="75" t="str">
        <f>"'000"</f>
        <v>'000</v>
      </c>
      <c r="F35" s="75"/>
      <c r="G35" s="75" t="str">
        <f>"'000"</f>
        <v>'000</v>
      </c>
      <c r="H35" s="75"/>
      <c r="I35" s="75" t="str">
        <f>"'000"</f>
        <v>'000</v>
      </c>
      <c r="J35" s="75"/>
      <c r="K35" s="75" t="s">
        <v>691</v>
      </c>
      <c r="L35" s="75"/>
      <c r="M35" s="75" t="str">
        <f>"'000"</f>
        <v>'000</v>
      </c>
      <c r="N35" s="189"/>
      <c r="O35" s="440"/>
      <c r="P35" s="118" t="s">
        <v>676</v>
      </c>
      <c r="Q35" s="440"/>
      <c r="R35" s="440"/>
      <c r="S35" s="440"/>
    </row>
    <row r="36" spans="1:19" ht="6" customHeight="1" thickBot="1" x14ac:dyDescent="0.3">
      <c r="A36" s="484"/>
      <c r="B36" s="484"/>
      <c r="C36" s="485"/>
      <c r="D36" s="485"/>
      <c r="E36" s="485"/>
      <c r="F36" s="485"/>
      <c r="G36" s="485"/>
      <c r="H36" s="485"/>
      <c r="I36" s="485"/>
      <c r="J36" s="485"/>
      <c r="K36" s="485"/>
      <c r="L36" s="485"/>
      <c r="M36" s="485"/>
      <c r="N36" s="486"/>
      <c r="O36" s="211"/>
      <c r="P36" s="487"/>
      <c r="Q36" s="440"/>
      <c r="R36" s="440"/>
      <c r="S36" s="440"/>
    </row>
    <row r="37" spans="1:19" ht="15.75" x14ac:dyDescent="0.25">
      <c r="A37" s="463" t="s">
        <v>692</v>
      </c>
      <c r="B37" s="463"/>
      <c r="C37" s="604" t="s">
        <v>693</v>
      </c>
      <c r="D37" s="463"/>
      <c r="E37" s="678">
        <v>0</v>
      </c>
      <c r="F37" s="488"/>
      <c r="G37" s="678">
        <v>0</v>
      </c>
      <c r="H37" s="488"/>
      <c r="I37" s="690">
        <f>SUM(E37:H37)</f>
        <v>0</v>
      </c>
      <c r="J37" s="488"/>
      <c r="K37" s="694" t="s">
        <v>693</v>
      </c>
      <c r="L37" s="488"/>
      <c r="M37" s="678">
        <v>0</v>
      </c>
      <c r="N37" s="464"/>
      <c r="O37" s="211"/>
      <c r="P37" s="329"/>
      <c r="Q37" s="211"/>
      <c r="R37" s="342" t="str">
        <f>IF(OR($G$3="No",C37="Select"),"Complete",IF(OR(C37="", AND(OR(C37="Contract",C37="Estimate"),OR(E37=0,E37="",G37="")),AND(K37="Select",M37&lt;0),AND(OR(K37="Contract",K37="Estimate"),M37=0)),"Incomplete","Complete"))</f>
        <v>Complete</v>
      </c>
      <c r="S37" s="211"/>
    </row>
    <row r="38" spans="1:19" ht="15.75" x14ac:dyDescent="0.25">
      <c r="A38" s="463" t="s">
        <v>694</v>
      </c>
      <c r="B38" s="463"/>
      <c r="C38" s="604" t="s">
        <v>693</v>
      </c>
      <c r="D38" s="463"/>
      <c r="E38" s="678">
        <v>0</v>
      </c>
      <c r="F38" s="488"/>
      <c r="G38" s="678">
        <v>0</v>
      </c>
      <c r="H38" s="488"/>
      <c r="I38" s="690">
        <f t="shared" ref="I38:I52" si="2">SUM(E38:H38)</f>
        <v>0</v>
      </c>
      <c r="J38" s="488"/>
      <c r="K38" s="694" t="s">
        <v>693</v>
      </c>
      <c r="L38" s="488"/>
      <c r="M38" s="678">
        <v>0</v>
      </c>
      <c r="N38" s="464"/>
      <c r="O38" s="211"/>
      <c r="P38" s="330"/>
      <c r="Q38" s="211"/>
      <c r="R38" s="342" t="str">
        <f t="shared" ref="R38:R52" si="3">IF(OR($G$3="No",C38="Select"),"Complete",IF(OR(C38="", AND(OR(C38="Contract",C38="Estimate"),OR(E38=0,E38="",G38="")),AND(K38="Select",M38&lt;0),AND(OR(K38="Contract",K38="Estimate"),M38=0)),"Incomplete","Complete"))</f>
        <v>Complete</v>
      </c>
      <c r="S38" s="211"/>
    </row>
    <row r="39" spans="1:19" ht="15.75" x14ac:dyDescent="0.25">
      <c r="A39" s="463" t="s">
        <v>695</v>
      </c>
      <c r="B39" s="463"/>
      <c r="C39" s="604" t="s">
        <v>693</v>
      </c>
      <c r="D39" s="463"/>
      <c r="E39" s="678">
        <v>0</v>
      </c>
      <c r="F39" s="488"/>
      <c r="G39" s="678">
        <v>0</v>
      </c>
      <c r="H39" s="488"/>
      <c r="I39" s="690">
        <f t="shared" si="2"/>
        <v>0</v>
      </c>
      <c r="J39" s="488"/>
      <c r="K39" s="694" t="s">
        <v>693</v>
      </c>
      <c r="L39" s="488"/>
      <c r="M39" s="678">
        <v>0</v>
      </c>
      <c r="N39" s="464"/>
      <c r="O39" s="211"/>
      <c r="P39" s="330"/>
      <c r="Q39" s="211"/>
      <c r="R39" s="342" t="str">
        <f t="shared" si="3"/>
        <v>Complete</v>
      </c>
      <c r="S39" s="211"/>
    </row>
    <row r="40" spans="1:19" ht="15.75" x14ac:dyDescent="0.25">
      <c r="A40" s="463" t="s">
        <v>696</v>
      </c>
      <c r="B40" s="463"/>
      <c r="C40" s="604" t="s">
        <v>693</v>
      </c>
      <c r="D40" s="463"/>
      <c r="E40" s="678">
        <v>0</v>
      </c>
      <c r="F40" s="488"/>
      <c r="G40" s="678">
        <v>0</v>
      </c>
      <c r="H40" s="488"/>
      <c r="I40" s="690">
        <f t="shared" si="2"/>
        <v>0</v>
      </c>
      <c r="J40" s="488"/>
      <c r="K40" s="694" t="s">
        <v>693</v>
      </c>
      <c r="L40" s="488"/>
      <c r="M40" s="678">
        <v>0</v>
      </c>
      <c r="N40" s="464"/>
      <c r="O40" s="211"/>
      <c r="P40" s="330"/>
      <c r="Q40" s="211"/>
      <c r="R40" s="342" t="str">
        <f t="shared" si="3"/>
        <v>Complete</v>
      </c>
      <c r="S40" s="211"/>
    </row>
    <row r="41" spans="1:19" ht="15.75" x14ac:dyDescent="0.25">
      <c r="A41" s="463" t="s">
        <v>697</v>
      </c>
      <c r="B41" s="463"/>
      <c r="C41" s="604" t="s">
        <v>693</v>
      </c>
      <c r="D41" s="463"/>
      <c r="E41" s="678">
        <v>0</v>
      </c>
      <c r="F41" s="488"/>
      <c r="G41" s="678">
        <v>0</v>
      </c>
      <c r="H41" s="488"/>
      <c r="I41" s="690">
        <f t="shared" si="2"/>
        <v>0</v>
      </c>
      <c r="J41" s="488"/>
      <c r="K41" s="694" t="s">
        <v>693</v>
      </c>
      <c r="L41" s="488"/>
      <c r="M41" s="678">
        <v>0</v>
      </c>
      <c r="N41" s="464"/>
      <c r="O41" s="211"/>
      <c r="P41" s="330"/>
      <c r="Q41" s="211"/>
      <c r="R41" s="342" t="str">
        <f t="shared" si="3"/>
        <v>Complete</v>
      </c>
      <c r="S41" s="211"/>
    </row>
    <row r="42" spans="1:19" ht="15.75" x14ac:dyDescent="0.25">
      <c r="A42" s="463" t="s">
        <v>698</v>
      </c>
      <c r="B42" s="463"/>
      <c r="C42" s="604" t="s">
        <v>693</v>
      </c>
      <c r="D42" s="463"/>
      <c r="E42" s="678">
        <v>0</v>
      </c>
      <c r="F42" s="488"/>
      <c r="G42" s="678">
        <v>0</v>
      </c>
      <c r="H42" s="488"/>
      <c r="I42" s="690">
        <f t="shared" si="2"/>
        <v>0</v>
      </c>
      <c r="J42" s="488"/>
      <c r="K42" s="694" t="s">
        <v>693</v>
      </c>
      <c r="L42" s="488"/>
      <c r="M42" s="678">
        <v>0</v>
      </c>
      <c r="N42" s="464"/>
      <c r="O42" s="211"/>
      <c r="P42" s="330"/>
      <c r="Q42" s="211"/>
      <c r="R42" s="342" t="str">
        <f t="shared" si="3"/>
        <v>Complete</v>
      </c>
      <c r="S42" s="211"/>
    </row>
    <row r="43" spans="1:19" ht="15.75" x14ac:dyDescent="0.25">
      <c r="A43" s="463" t="s">
        <v>699</v>
      </c>
      <c r="B43" s="463"/>
      <c r="C43" s="604" t="s">
        <v>693</v>
      </c>
      <c r="D43" s="463"/>
      <c r="E43" s="678">
        <v>0</v>
      </c>
      <c r="F43" s="488"/>
      <c r="G43" s="678">
        <v>0</v>
      </c>
      <c r="H43" s="488"/>
      <c r="I43" s="690">
        <f t="shared" si="2"/>
        <v>0</v>
      </c>
      <c r="J43" s="488"/>
      <c r="K43" s="694" t="s">
        <v>693</v>
      </c>
      <c r="L43" s="488"/>
      <c r="M43" s="678">
        <v>0</v>
      </c>
      <c r="N43" s="464"/>
      <c r="O43" s="211"/>
      <c r="P43" s="330"/>
      <c r="Q43" s="211"/>
      <c r="R43" s="342" t="str">
        <f t="shared" si="3"/>
        <v>Complete</v>
      </c>
      <c r="S43" s="211"/>
    </row>
    <row r="44" spans="1:19" ht="15.75" x14ac:dyDescent="0.25">
      <c r="A44" s="463" t="s">
        <v>700</v>
      </c>
      <c r="B44" s="463"/>
      <c r="C44" s="604" t="s">
        <v>693</v>
      </c>
      <c r="D44" s="463"/>
      <c r="E44" s="678">
        <v>0</v>
      </c>
      <c r="F44" s="488"/>
      <c r="G44" s="678">
        <v>0</v>
      </c>
      <c r="H44" s="488"/>
      <c r="I44" s="690">
        <f t="shared" si="2"/>
        <v>0</v>
      </c>
      <c r="J44" s="488"/>
      <c r="K44" s="694" t="s">
        <v>693</v>
      </c>
      <c r="L44" s="488"/>
      <c r="M44" s="678">
        <v>0</v>
      </c>
      <c r="N44" s="464"/>
      <c r="O44" s="211"/>
      <c r="P44" s="330"/>
      <c r="Q44" s="211"/>
      <c r="R44" s="342" t="str">
        <f t="shared" si="3"/>
        <v>Complete</v>
      </c>
      <c r="S44" s="211"/>
    </row>
    <row r="45" spans="1:19" ht="15.75" x14ac:dyDescent="0.25">
      <c r="A45" s="463" t="s">
        <v>701</v>
      </c>
      <c r="B45" s="463"/>
      <c r="C45" s="604" t="s">
        <v>693</v>
      </c>
      <c r="D45" s="463"/>
      <c r="E45" s="678">
        <v>0</v>
      </c>
      <c r="F45" s="488"/>
      <c r="G45" s="678">
        <v>0</v>
      </c>
      <c r="H45" s="488"/>
      <c r="I45" s="690">
        <f t="shared" si="2"/>
        <v>0</v>
      </c>
      <c r="J45" s="488"/>
      <c r="K45" s="694" t="s">
        <v>693</v>
      </c>
      <c r="L45" s="488"/>
      <c r="M45" s="678">
        <v>0</v>
      </c>
      <c r="N45" s="464"/>
      <c r="O45" s="211"/>
      <c r="P45" s="330"/>
      <c r="Q45" s="211"/>
      <c r="R45" s="342" t="str">
        <f t="shared" si="3"/>
        <v>Complete</v>
      </c>
      <c r="S45" s="211"/>
    </row>
    <row r="46" spans="1:19" ht="15.75" x14ac:dyDescent="0.25">
      <c r="A46" s="463" t="s">
        <v>702</v>
      </c>
      <c r="B46" s="463"/>
      <c r="C46" s="604" t="s">
        <v>693</v>
      </c>
      <c r="D46" s="463"/>
      <c r="E46" s="678">
        <v>0</v>
      </c>
      <c r="F46" s="488"/>
      <c r="G46" s="678">
        <v>0</v>
      </c>
      <c r="H46" s="488"/>
      <c r="I46" s="690">
        <f t="shared" si="2"/>
        <v>0</v>
      </c>
      <c r="J46" s="488"/>
      <c r="K46" s="694" t="s">
        <v>693</v>
      </c>
      <c r="L46" s="488"/>
      <c r="M46" s="678">
        <v>0</v>
      </c>
      <c r="N46" s="464"/>
      <c r="O46" s="211"/>
      <c r="P46" s="330"/>
      <c r="Q46" s="211"/>
      <c r="R46" s="342" t="str">
        <f t="shared" si="3"/>
        <v>Complete</v>
      </c>
      <c r="S46" s="211"/>
    </row>
    <row r="47" spans="1:19" ht="15.75" x14ac:dyDescent="0.25">
      <c r="A47" s="463" t="s">
        <v>703</v>
      </c>
      <c r="B47" s="463"/>
      <c r="C47" s="604" t="s">
        <v>693</v>
      </c>
      <c r="D47" s="463"/>
      <c r="E47" s="678">
        <v>0</v>
      </c>
      <c r="F47" s="488"/>
      <c r="G47" s="678">
        <v>0</v>
      </c>
      <c r="H47" s="488"/>
      <c r="I47" s="690">
        <f t="shared" si="2"/>
        <v>0</v>
      </c>
      <c r="J47" s="488"/>
      <c r="K47" s="694" t="s">
        <v>693</v>
      </c>
      <c r="L47" s="488"/>
      <c r="M47" s="678">
        <v>0</v>
      </c>
      <c r="N47" s="464"/>
      <c r="O47" s="211"/>
      <c r="P47" s="330"/>
      <c r="Q47" s="211"/>
      <c r="R47" s="342" t="str">
        <f t="shared" si="3"/>
        <v>Complete</v>
      </c>
      <c r="S47" s="211"/>
    </row>
    <row r="48" spans="1:19" ht="15.75" x14ac:dyDescent="0.25">
      <c r="A48" s="463" t="s">
        <v>704</v>
      </c>
      <c r="B48" s="463"/>
      <c r="C48" s="604" t="s">
        <v>693</v>
      </c>
      <c r="D48" s="463"/>
      <c r="E48" s="678">
        <v>0</v>
      </c>
      <c r="F48" s="488"/>
      <c r="G48" s="678">
        <v>0</v>
      </c>
      <c r="H48" s="488"/>
      <c r="I48" s="690">
        <f t="shared" si="2"/>
        <v>0</v>
      </c>
      <c r="J48" s="488"/>
      <c r="K48" s="694" t="s">
        <v>693</v>
      </c>
      <c r="L48" s="488"/>
      <c r="M48" s="678">
        <v>0</v>
      </c>
      <c r="N48" s="464"/>
      <c r="O48" s="211"/>
      <c r="P48" s="330"/>
      <c r="Q48" s="211"/>
      <c r="R48" s="342" t="str">
        <f t="shared" si="3"/>
        <v>Complete</v>
      </c>
      <c r="S48" s="211"/>
    </row>
    <row r="49" spans="1:19" ht="15.75" x14ac:dyDescent="0.25">
      <c r="A49" s="463" t="s">
        <v>495</v>
      </c>
      <c r="B49" s="463"/>
      <c r="C49" s="604" t="s">
        <v>693</v>
      </c>
      <c r="D49" s="463"/>
      <c r="E49" s="678">
        <v>0</v>
      </c>
      <c r="F49" s="488"/>
      <c r="G49" s="678">
        <v>0</v>
      </c>
      <c r="H49" s="488"/>
      <c r="I49" s="690">
        <f t="shared" si="2"/>
        <v>0</v>
      </c>
      <c r="J49" s="488"/>
      <c r="K49" s="694" t="s">
        <v>693</v>
      </c>
      <c r="L49" s="488"/>
      <c r="M49" s="678">
        <v>0</v>
      </c>
      <c r="N49" s="464"/>
      <c r="O49" s="211"/>
      <c r="P49" s="330"/>
      <c r="Q49" s="211"/>
      <c r="R49" s="342" t="str">
        <f t="shared" si="3"/>
        <v>Complete</v>
      </c>
      <c r="S49" s="211"/>
    </row>
    <row r="50" spans="1:19" ht="15.75" x14ac:dyDescent="0.25">
      <c r="A50" s="463" t="s">
        <v>496</v>
      </c>
      <c r="B50" s="463"/>
      <c r="C50" s="604" t="s">
        <v>693</v>
      </c>
      <c r="D50" s="463"/>
      <c r="E50" s="678">
        <v>0</v>
      </c>
      <c r="F50" s="488"/>
      <c r="G50" s="678">
        <v>0</v>
      </c>
      <c r="H50" s="488"/>
      <c r="I50" s="690">
        <f t="shared" si="2"/>
        <v>0</v>
      </c>
      <c r="J50" s="488"/>
      <c r="K50" s="694" t="s">
        <v>693</v>
      </c>
      <c r="L50" s="488"/>
      <c r="M50" s="678">
        <v>0</v>
      </c>
      <c r="N50" s="464"/>
      <c r="O50" s="211"/>
      <c r="P50" s="330"/>
      <c r="Q50" s="211"/>
      <c r="R50" s="342" t="str">
        <f t="shared" si="3"/>
        <v>Complete</v>
      </c>
      <c r="S50" s="211"/>
    </row>
    <row r="51" spans="1:19" ht="15.75" x14ac:dyDescent="0.25">
      <c r="A51" s="463" t="s">
        <v>497</v>
      </c>
      <c r="B51" s="463"/>
      <c r="C51" s="604" t="s">
        <v>693</v>
      </c>
      <c r="D51" s="463"/>
      <c r="E51" s="678">
        <v>0</v>
      </c>
      <c r="F51" s="488"/>
      <c r="G51" s="678">
        <v>0</v>
      </c>
      <c r="H51" s="488"/>
      <c r="I51" s="690">
        <f t="shared" si="2"/>
        <v>0</v>
      </c>
      <c r="J51" s="488"/>
      <c r="K51" s="694" t="s">
        <v>693</v>
      </c>
      <c r="L51" s="488"/>
      <c r="M51" s="678">
        <v>0</v>
      </c>
      <c r="N51" s="464"/>
      <c r="O51" s="211"/>
      <c r="P51" s="330"/>
      <c r="Q51" s="211"/>
      <c r="R51" s="342" t="str">
        <f t="shared" si="3"/>
        <v>Complete</v>
      </c>
      <c r="S51" s="211"/>
    </row>
    <row r="52" spans="1:19" ht="15.75" x14ac:dyDescent="0.25">
      <c r="A52" s="463" t="s">
        <v>523</v>
      </c>
      <c r="B52" s="463"/>
      <c r="C52" s="604" t="s">
        <v>693</v>
      </c>
      <c r="D52" s="463"/>
      <c r="E52" s="678">
        <v>0</v>
      </c>
      <c r="F52" s="488"/>
      <c r="G52" s="678">
        <v>0</v>
      </c>
      <c r="H52" s="488"/>
      <c r="I52" s="690">
        <f t="shared" si="2"/>
        <v>0</v>
      </c>
      <c r="J52" s="488"/>
      <c r="K52" s="694" t="s">
        <v>693</v>
      </c>
      <c r="L52" s="488"/>
      <c r="M52" s="678">
        <v>0</v>
      </c>
      <c r="N52" s="464"/>
      <c r="O52" s="211"/>
      <c r="P52" s="330"/>
      <c r="Q52" s="211"/>
      <c r="R52" s="342" t="str">
        <f t="shared" si="3"/>
        <v>Complete</v>
      </c>
      <c r="S52" s="211"/>
    </row>
    <row r="53" spans="1:19" ht="6" customHeight="1" thickBot="1" x14ac:dyDescent="0.25">
      <c r="A53" s="489"/>
      <c r="B53" s="489"/>
      <c r="C53" s="489"/>
      <c r="D53" s="489"/>
      <c r="E53" s="489"/>
      <c r="F53" s="489"/>
      <c r="G53" s="489"/>
      <c r="H53" s="489"/>
      <c r="I53" s="489"/>
      <c r="J53" s="489"/>
      <c r="K53" s="489"/>
      <c r="L53" s="489"/>
      <c r="M53" s="489"/>
      <c r="N53" s="490"/>
      <c r="O53" s="211"/>
      <c r="P53" s="211"/>
      <c r="Q53" s="211"/>
      <c r="R53" s="211"/>
      <c r="S53" s="211"/>
    </row>
    <row r="54" spans="1:19" ht="15.75" x14ac:dyDescent="0.2">
      <c r="A54" s="211"/>
      <c r="B54" s="211"/>
      <c r="C54" s="211"/>
      <c r="D54" s="211"/>
      <c r="E54" s="211"/>
      <c r="F54" s="211"/>
      <c r="G54" s="211"/>
      <c r="H54" s="211"/>
      <c r="I54" s="211"/>
      <c r="J54" s="211"/>
      <c r="K54" s="211"/>
      <c r="L54" s="211"/>
      <c r="M54" s="211"/>
      <c r="N54" s="211"/>
      <c r="O54" s="211"/>
      <c r="P54" s="211"/>
      <c r="Q54" s="211"/>
      <c r="R54" s="211"/>
      <c r="S54" s="211"/>
    </row>
    <row r="55" spans="1:19" ht="15.75" x14ac:dyDescent="0.2">
      <c r="A55" s="427" t="s">
        <v>661</v>
      </c>
      <c r="B55" s="211"/>
      <c r="C55" s="211"/>
      <c r="D55" s="211"/>
      <c r="E55" s="211"/>
      <c r="F55" s="211"/>
      <c r="G55" s="211"/>
      <c r="H55" s="211"/>
      <c r="I55" s="211"/>
      <c r="J55" s="211"/>
      <c r="K55" s="211"/>
      <c r="L55" s="211"/>
      <c r="M55" s="211"/>
      <c r="N55" s="211"/>
      <c r="O55" s="211"/>
      <c r="P55" s="211"/>
      <c r="Q55" s="211"/>
      <c r="R55" s="211"/>
      <c r="S55" s="211"/>
    </row>
    <row r="56" spans="1:19" ht="15.75" x14ac:dyDescent="0.2">
      <c r="A56" s="211"/>
      <c r="B56" s="211"/>
      <c r="C56" s="211"/>
      <c r="D56" s="211"/>
      <c r="E56" s="211"/>
      <c r="F56" s="211"/>
      <c r="G56" s="211"/>
      <c r="H56" s="211"/>
      <c r="I56" s="211"/>
      <c r="J56" s="211"/>
      <c r="K56" s="211"/>
      <c r="L56" s="211"/>
      <c r="M56" s="211"/>
      <c r="N56" s="211"/>
      <c r="O56" s="211"/>
      <c r="P56" s="211"/>
      <c r="Q56" s="211"/>
      <c r="R56" s="211"/>
      <c r="S56" s="211"/>
    </row>
    <row r="57" spans="1:19" ht="15.75" x14ac:dyDescent="0.2">
      <c r="A57" s="211"/>
      <c r="B57" s="211"/>
      <c r="C57" s="211"/>
      <c r="D57" s="211"/>
      <c r="E57" s="211"/>
      <c r="F57" s="211"/>
      <c r="G57" s="211"/>
      <c r="H57" s="211"/>
      <c r="I57" s="211"/>
      <c r="J57" s="211"/>
      <c r="K57" s="211"/>
      <c r="L57" s="211"/>
      <c r="M57" s="211"/>
      <c r="N57" s="211"/>
      <c r="O57" s="211"/>
      <c r="P57" s="211"/>
      <c r="Q57" s="211"/>
      <c r="R57" s="211"/>
      <c r="S57" s="211"/>
    </row>
    <row r="58" spans="1:19" ht="15.75" x14ac:dyDescent="0.2">
      <c r="A58" s="211"/>
      <c r="B58" s="211"/>
      <c r="C58" s="211"/>
      <c r="D58" s="211"/>
      <c r="E58" s="211"/>
      <c r="F58" s="211"/>
      <c r="G58" s="211"/>
      <c r="H58" s="211"/>
      <c r="I58" s="211"/>
      <c r="J58" s="211"/>
      <c r="K58" s="211"/>
      <c r="L58" s="211"/>
      <c r="M58" s="211"/>
      <c r="N58" s="211"/>
      <c r="O58" s="211"/>
      <c r="P58" s="211"/>
      <c r="Q58" s="211"/>
      <c r="R58" s="211"/>
      <c r="S58" s="211"/>
    </row>
    <row r="59" spans="1:19" ht="15.75" x14ac:dyDescent="0.2">
      <c r="A59" s="211"/>
      <c r="B59" s="211"/>
      <c r="C59" s="211"/>
      <c r="D59" s="211"/>
      <c r="E59" s="211"/>
      <c r="F59" s="211"/>
      <c r="G59" s="211"/>
      <c r="H59" s="211"/>
      <c r="I59" s="211"/>
      <c r="J59" s="211"/>
      <c r="K59" s="211"/>
      <c r="L59" s="211"/>
      <c r="M59" s="211"/>
      <c r="N59" s="211"/>
      <c r="O59" s="211"/>
      <c r="P59" s="211"/>
      <c r="Q59" s="211"/>
      <c r="R59" s="211"/>
      <c r="S59" s="211"/>
    </row>
    <row r="60" spans="1:19" ht="15.75" x14ac:dyDescent="0.2">
      <c r="A60" s="211"/>
      <c r="B60" s="211"/>
      <c r="C60" s="211"/>
      <c r="D60" s="211"/>
      <c r="E60" s="211"/>
      <c r="F60" s="211"/>
      <c r="G60" s="211"/>
      <c r="H60" s="211"/>
      <c r="I60" s="211"/>
      <c r="J60" s="211"/>
      <c r="K60" s="211"/>
      <c r="L60" s="211"/>
      <c r="M60" s="211"/>
      <c r="N60" s="211"/>
      <c r="O60" s="211"/>
      <c r="P60" s="211"/>
      <c r="Q60" s="211"/>
      <c r="R60" s="211"/>
      <c r="S60" s="211"/>
    </row>
    <row r="61" spans="1:19" ht="15.75" x14ac:dyDescent="0.2">
      <c r="A61" s="211"/>
      <c r="B61" s="211"/>
      <c r="C61" s="211"/>
      <c r="D61" s="211"/>
      <c r="E61" s="211"/>
      <c r="F61" s="211"/>
      <c r="G61" s="211"/>
      <c r="H61" s="211"/>
      <c r="I61" s="211"/>
      <c r="J61" s="211"/>
      <c r="K61" s="211"/>
      <c r="L61" s="211"/>
      <c r="M61" s="211"/>
      <c r="N61" s="211"/>
      <c r="O61" s="211"/>
      <c r="P61" s="211"/>
      <c r="Q61" s="211"/>
      <c r="R61" s="211"/>
      <c r="S61" s="211"/>
    </row>
    <row r="62" spans="1:19" ht="15.75" x14ac:dyDescent="0.2">
      <c r="A62" s="211"/>
      <c r="B62" s="211"/>
      <c r="C62" s="211"/>
      <c r="D62" s="211"/>
      <c r="E62" s="211"/>
      <c r="F62" s="211"/>
      <c r="G62" s="211"/>
      <c r="H62" s="211"/>
      <c r="I62" s="211"/>
      <c r="J62" s="211"/>
      <c r="K62" s="211"/>
      <c r="L62" s="211"/>
      <c r="M62" s="211"/>
      <c r="N62" s="211"/>
      <c r="O62" s="211"/>
      <c r="P62" s="211"/>
      <c r="Q62" s="211"/>
      <c r="R62" s="211"/>
      <c r="S62" s="211"/>
    </row>
    <row r="63" spans="1:19" ht="15.75" x14ac:dyDescent="0.2">
      <c r="A63" s="211"/>
      <c r="B63" s="211"/>
      <c r="C63" s="211"/>
      <c r="D63" s="211"/>
      <c r="E63" s="211"/>
      <c r="F63" s="211"/>
      <c r="G63" s="211"/>
      <c r="H63" s="211"/>
      <c r="I63" s="211"/>
      <c r="J63" s="211"/>
      <c r="K63" s="211"/>
      <c r="L63" s="211"/>
      <c r="M63" s="211"/>
      <c r="N63" s="211"/>
      <c r="O63" s="211"/>
      <c r="P63" s="211"/>
      <c r="Q63" s="211"/>
      <c r="R63" s="211"/>
      <c r="S63" s="211"/>
    </row>
    <row r="64" spans="1:19" ht="15.75" x14ac:dyDescent="0.2">
      <c r="A64" s="211"/>
      <c r="B64" s="211"/>
      <c r="C64" s="211"/>
      <c r="D64" s="211"/>
      <c r="E64" s="211"/>
      <c r="F64" s="211"/>
      <c r="G64" s="211"/>
      <c r="H64" s="211"/>
      <c r="I64" s="211"/>
      <c r="J64" s="211"/>
      <c r="K64" s="211"/>
      <c r="L64" s="211"/>
      <c r="M64" s="211"/>
      <c r="N64" s="211"/>
      <c r="O64" s="211"/>
      <c r="P64" s="211"/>
      <c r="Q64" s="211"/>
      <c r="R64" s="211"/>
      <c r="S64" s="211"/>
    </row>
    <row r="65" spans="1:19" ht="15.75" x14ac:dyDescent="0.2">
      <c r="A65" s="211"/>
      <c r="B65" s="211"/>
      <c r="C65" s="211"/>
      <c r="D65" s="211"/>
      <c r="E65" s="211"/>
      <c r="F65" s="211"/>
      <c r="G65" s="211"/>
      <c r="H65" s="211"/>
      <c r="I65" s="211"/>
      <c r="J65" s="211"/>
      <c r="K65" s="211"/>
      <c r="L65" s="211"/>
      <c r="M65" s="211"/>
      <c r="N65" s="211"/>
      <c r="O65" s="211"/>
      <c r="P65" s="211"/>
      <c r="Q65" s="211"/>
      <c r="R65" s="211"/>
      <c r="S65" s="211"/>
    </row>
    <row r="66" spans="1:19" ht="15.75" x14ac:dyDescent="0.2">
      <c r="A66" s="211"/>
      <c r="B66" s="211"/>
      <c r="C66" s="211"/>
      <c r="D66" s="211"/>
      <c r="E66" s="211"/>
      <c r="F66" s="211"/>
      <c r="G66" s="211"/>
      <c r="H66" s="211"/>
      <c r="I66" s="211"/>
      <c r="J66" s="211"/>
      <c r="K66" s="211"/>
      <c r="L66" s="211"/>
      <c r="M66" s="211"/>
      <c r="N66" s="211"/>
      <c r="O66" s="211"/>
      <c r="P66" s="211"/>
      <c r="Q66" s="211"/>
      <c r="R66" s="211"/>
      <c r="S66" s="211"/>
    </row>
    <row r="67" spans="1:19" ht="15.75" x14ac:dyDescent="0.2">
      <c r="A67" s="211"/>
      <c r="B67" s="211"/>
      <c r="C67" s="211"/>
      <c r="D67" s="211"/>
      <c r="E67" s="211"/>
      <c r="F67" s="211"/>
      <c r="G67" s="211"/>
      <c r="H67" s="211"/>
      <c r="I67" s="211"/>
      <c r="J67" s="211"/>
      <c r="K67" s="211"/>
      <c r="L67" s="211"/>
      <c r="M67" s="211"/>
      <c r="N67" s="211"/>
      <c r="O67" s="211"/>
      <c r="P67" s="211"/>
      <c r="Q67" s="211"/>
      <c r="R67" s="211"/>
      <c r="S67" s="211"/>
    </row>
    <row r="68" spans="1:19" ht="15.75" x14ac:dyDescent="0.2">
      <c r="A68" s="211"/>
      <c r="B68" s="211"/>
      <c r="C68" s="211"/>
      <c r="D68" s="211"/>
      <c r="E68" s="211"/>
      <c r="F68" s="211"/>
      <c r="G68" s="211"/>
      <c r="H68" s="211"/>
      <c r="I68" s="211"/>
      <c r="J68" s="211"/>
      <c r="K68" s="211"/>
      <c r="L68" s="211"/>
      <c r="M68" s="211"/>
      <c r="N68" s="211"/>
      <c r="O68" s="211"/>
      <c r="P68" s="211"/>
      <c r="Q68" s="211"/>
      <c r="R68" s="211"/>
      <c r="S68" s="211"/>
    </row>
    <row r="69" spans="1:19" ht="15.75" x14ac:dyDescent="0.2">
      <c r="A69" s="211"/>
      <c r="B69" s="211"/>
      <c r="C69" s="211"/>
      <c r="D69" s="211"/>
      <c r="E69" s="211"/>
      <c r="F69" s="211"/>
      <c r="G69" s="211"/>
      <c r="H69" s="211"/>
      <c r="I69" s="211"/>
      <c r="J69" s="211"/>
      <c r="K69" s="211"/>
      <c r="L69" s="211"/>
      <c r="M69" s="211"/>
      <c r="N69" s="211"/>
      <c r="O69" s="211"/>
      <c r="P69" s="211"/>
      <c r="Q69" s="211"/>
      <c r="R69" s="211"/>
      <c r="S69" s="211"/>
    </row>
    <row r="70" spans="1:19" ht="15.75" x14ac:dyDescent="0.2">
      <c r="A70" s="211"/>
      <c r="B70" s="211"/>
      <c r="C70" s="211"/>
      <c r="D70" s="211"/>
      <c r="E70" s="211"/>
      <c r="F70" s="211"/>
      <c r="G70" s="211"/>
      <c r="H70" s="211"/>
      <c r="I70" s="211"/>
      <c r="J70" s="211"/>
      <c r="K70" s="211"/>
      <c r="L70" s="211"/>
      <c r="M70" s="211"/>
      <c r="N70" s="211"/>
      <c r="O70" s="211"/>
      <c r="P70" s="211"/>
      <c r="Q70" s="211"/>
      <c r="R70" s="211"/>
      <c r="S70" s="211"/>
    </row>
    <row r="71" spans="1:19" ht="15.75" x14ac:dyDescent="0.2">
      <c r="A71" s="211"/>
      <c r="B71" s="211"/>
      <c r="C71" s="211"/>
      <c r="D71" s="211"/>
      <c r="E71" s="211"/>
      <c r="F71" s="211"/>
      <c r="G71" s="211"/>
      <c r="H71" s="211"/>
      <c r="I71" s="211"/>
      <c r="J71" s="211"/>
      <c r="K71" s="211"/>
      <c r="L71" s="211"/>
      <c r="M71" s="211"/>
      <c r="N71" s="211"/>
      <c r="O71" s="211"/>
      <c r="P71" s="211"/>
      <c r="Q71" s="211"/>
      <c r="R71" s="211"/>
      <c r="S71" s="211"/>
    </row>
    <row r="72" spans="1:19" ht="15.75" x14ac:dyDescent="0.2">
      <c r="A72" s="211"/>
      <c r="B72" s="211"/>
      <c r="C72" s="211"/>
      <c r="D72" s="211"/>
      <c r="E72" s="211"/>
      <c r="F72" s="211"/>
      <c r="G72" s="211"/>
      <c r="H72" s="211"/>
      <c r="I72" s="211"/>
      <c r="J72" s="211"/>
      <c r="K72" s="211"/>
      <c r="L72" s="211"/>
      <c r="M72" s="211"/>
      <c r="N72" s="211"/>
      <c r="O72" s="211"/>
      <c r="P72" s="211"/>
      <c r="Q72" s="211"/>
      <c r="R72" s="211"/>
      <c r="S72" s="211"/>
    </row>
    <row r="73" spans="1:19" ht="15.75" x14ac:dyDescent="0.2">
      <c r="A73" s="211"/>
      <c r="B73" s="211"/>
      <c r="C73" s="211"/>
      <c r="D73" s="211"/>
      <c r="E73" s="211"/>
      <c r="F73" s="211"/>
      <c r="G73" s="211"/>
      <c r="H73" s="211"/>
      <c r="I73" s="211"/>
      <c r="J73" s="211"/>
      <c r="K73" s="211"/>
      <c r="L73" s="211"/>
      <c r="M73" s="211"/>
      <c r="N73" s="211"/>
      <c r="O73" s="211"/>
      <c r="P73" s="211"/>
      <c r="Q73" s="211"/>
      <c r="R73" s="211"/>
      <c r="S73" s="211"/>
    </row>
    <row r="74" spans="1:19" ht="15.75" x14ac:dyDescent="0.2">
      <c r="A74" s="211"/>
      <c r="B74" s="211"/>
      <c r="C74" s="211"/>
      <c r="D74" s="211"/>
      <c r="E74" s="211"/>
      <c r="F74" s="211"/>
      <c r="G74" s="211"/>
      <c r="H74" s="211"/>
      <c r="I74" s="211"/>
      <c r="J74" s="211"/>
      <c r="K74" s="211"/>
      <c r="L74" s="211"/>
      <c r="M74" s="211"/>
      <c r="N74" s="211"/>
      <c r="O74" s="211"/>
      <c r="P74" s="211"/>
      <c r="Q74" s="211"/>
      <c r="R74" s="211"/>
      <c r="S74" s="211"/>
    </row>
    <row r="75" spans="1:19" ht="15.75" x14ac:dyDescent="0.2">
      <c r="A75" s="211"/>
      <c r="B75" s="211"/>
      <c r="C75" s="211"/>
      <c r="D75" s="211"/>
      <c r="E75" s="211"/>
      <c r="F75" s="211"/>
      <c r="G75" s="211"/>
      <c r="H75" s="211"/>
      <c r="I75" s="211"/>
      <c r="J75" s="211"/>
      <c r="K75" s="211"/>
      <c r="L75" s="211"/>
      <c r="M75" s="211"/>
      <c r="N75" s="211"/>
      <c r="O75" s="211"/>
      <c r="P75" s="211"/>
      <c r="Q75" s="211"/>
      <c r="R75" s="211"/>
      <c r="S75" s="211"/>
    </row>
    <row r="76" spans="1:19" ht="15.75" x14ac:dyDescent="0.2">
      <c r="A76" s="211"/>
      <c r="B76" s="211"/>
      <c r="C76" s="211"/>
      <c r="D76" s="211"/>
      <c r="E76" s="211"/>
      <c r="F76" s="211"/>
      <c r="G76" s="211"/>
      <c r="H76" s="211"/>
      <c r="I76" s="211"/>
      <c r="J76" s="211"/>
      <c r="K76" s="211"/>
      <c r="L76" s="211"/>
      <c r="M76" s="211"/>
      <c r="N76" s="211"/>
      <c r="O76" s="211"/>
      <c r="P76" s="211"/>
      <c r="Q76" s="211"/>
      <c r="R76" s="211"/>
      <c r="S76" s="211"/>
    </row>
    <row r="77" spans="1:19" ht="15.75" x14ac:dyDescent="0.2">
      <c r="A77" s="211"/>
      <c r="B77" s="211"/>
      <c r="C77" s="211"/>
      <c r="D77" s="211"/>
      <c r="E77" s="211"/>
      <c r="F77" s="211"/>
      <c r="G77" s="211"/>
      <c r="H77" s="211"/>
      <c r="I77" s="211"/>
      <c r="J77" s="211"/>
      <c r="K77" s="211"/>
      <c r="L77" s="211"/>
      <c r="M77" s="211"/>
      <c r="N77" s="211"/>
      <c r="O77" s="211"/>
      <c r="P77" s="211"/>
      <c r="Q77" s="211"/>
      <c r="R77" s="211"/>
      <c r="S77" s="211"/>
    </row>
    <row r="78" spans="1:19" ht="15.75" x14ac:dyDescent="0.2">
      <c r="A78" s="211"/>
      <c r="B78" s="211"/>
      <c r="C78" s="211"/>
      <c r="D78" s="211"/>
      <c r="E78" s="211"/>
      <c r="F78" s="211"/>
      <c r="G78" s="211"/>
      <c r="H78" s="211"/>
      <c r="I78" s="211"/>
      <c r="J78" s="211"/>
      <c r="K78" s="211"/>
      <c r="L78" s="211"/>
      <c r="M78" s="211"/>
      <c r="N78" s="211"/>
      <c r="O78" s="211"/>
      <c r="P78" s="211"/>
      <c r="Q78" s="211"/>
      <c r="R78" s="211"/>
      <c r="S78" s="211"/>
    </row>
    <row r="79" spans="1:19" ht="15.75" x14ac:dyDescent="0.2">
      <c r="A79" s="211"/>
      <c r="B79" s="211"/>
      <c r="C79" s="211"/>
      <c r="D79" s="211"/>
      <c r="E79" s="211"/>
      <c r="F79" s="211"/>
      <c r="G79" s="211"/>
      <c r="H79" s="211"/>
      <c r="I79" s="211"/>
      <c r="J79" s="211"/>
      <c r="K79" s="211"/>
      <c r="L79" s="211"/>
      <c r="M79" s="211"/>
      <c r="N79" s="211"/>
      <c r="O79" s="211"/>
      <c r="P79" s="211"/>
      <c r="Q79" s="211"/>
      <c r="R79" s="211"/>
      <c r="S79" s="211"/>
    </row>
    <row r="80" spans="1:19" ht="15.75" x14ac:dyDescent="0.2">
      <c r="A80" s="211"/>
      <c r="B80" s="211"/>
      <c r="C80" s="211"/>
      <c r="D80" s="211"/>
      <c r="E80" s="211"/>
      <c r="F80" s="211"/>
      <c r="G80" s="211"/>
      <c r="H80" s="211"/>
      <c r="I80" s="211"/>
      <c r="J80" s="211"/>
      <c r="K80" s="211"/>
      <c r="L80" s="211"/>
      <c r="M80" s="211"/>
      <c r="N80" s="211"/>
      <c r="O80" s="211"/>
      <c r="P80" s="211"/>
      <c r="Q80" s="211"/>
      <c r="R80" s="211"/>
      <c r="S80" s="211"/>
    </row>
    <row r="81" spans="1:19" ht="15.75" x14ac:dyDescent="0.2">
      <c r="A81" s="211"/>
      <c r="B81" s="211"/>
      <c r="C81" s="211"/>
      <c r="D81" s="211"/>
      <c r="E81" s="211"/>
      <c r="F81" s="211"/>
      <c r="G81" s="211"/>
      <c r="H81" s="211"/>
      <c r="I81" s="211"/>
      <c r="J81" s="211"/>
      <c r="K81" s="211"/>
      <c r="L81" s="211"/>
      <c r="M81" s="211"/>
      <c r="N81" s="211"/>
      <c r="O81" s="211"/>
      <c r="P81" s="211"/>
      <c r="Q81" s="211"/>
      <c r="R81" s="211"/>
      <c r="S81" s="211"/>
    </row>
    <row r="82" spans="1:19" ht="15.75" x14ac:dyDescent="0.2">
      <c r="A82" s="211"/>
      <c r="B82" s="211"/>
      <c r="C82" s="211"/>
      <c r="D82" s="211"/>
      <c r="E82" s="211"/>
      <c r="F82" s="211"/>
      <c r="G82" s="211"/>
      <c r="H82" s="211"/>
      <c r="I82" s="211"/>
      <c r="J82" s="211"/>
      <c r="K82" s="211"/>
      <c r="L82" s="211"/>
      <c r="M82" s="211"/>
      <c r="N82" s="211"/>
      <c r="O82" s="211"/>
      <c r="P82" s="211"/>
      <c r="Q82" s="211"/>
      <c r="R82" s="211"/>
      <c r="S82" s="211"/>
    </row>
    <row r="83" spans="1:19" ht="15.75" x14ac:dyDescent="0.2">
      <c r="A83" s="211"/>
      <c r="B83" s="211"/>
      <c r="C83" s="211"/>
      <c r="D83" s="211"/>
      <c r="E83" s="211"/>
      <c r="F83" s="211"/>
      <c r="G83" s="211"/>
      <c r="H83" s="211"/>
      <c r="I83" s="211"/>
      <c r="J83" s="211"/>
      <c r="K83" s="211"/>
      <c r="L83" s="211"/>
      <c r="M83" s="211"/>
      <c r="N83" s="211"/>
      <c r="O83" s="211"/>
      <c r="P83" s="211"/>
      <c r="Q83" s="211"/>
      <c r="R83" s="211"/>
      <c r="S83" s="211"/>
    </row>
    <row r="84" spans="1:19" ht="15.75" x14ac:dyDescent="0.2">
      <c r="A84" s="211"/>
      <c r="B84" s="211"/>
      <c r="C84" s="211"/>
      <c r="D84" s="211"/>
      <c r="E84" s="211"/>
      <c r="F84" s="211"/>
      <c r="G84" s="211"/>
      <c r="H84" s="211"/>
      <c r="I84" s="211"/>
      <c r="J84" s="211"/>
      <c r="K84" s="211"/>
      <c r="L84" s="211"/>
      <c r="M84" s="211"/>
      <c r="N84" s="211"/>
      <c r="O84" s="211"/>
      <c r="P84" s="211"/>
      <c r="Q84" s="211"/>
      <c r="R84" s="211"/>
      <c r="S84" s="211"/>
    </row>
    <row r="85" spans="1:19" ht="15.75" x14ac:dyDescent="0.2">
      <c r="A85" s="211"/>
      <c r="B85" s="211"/>
      <c r="C85" s="211"/>
      <c r="D85" s="211"/>
      <c r="E85" s="211"/>
      <c r="F85" s="211"/>
      <c r="G85" s="211"/>
      <c r="H85" s="211"/>
      <c r="I85" s="211"/>
      <c r="J85" s="211"/>
      <c r="K85" s="211"/>
      <c r="L85" s="211"/>
      <c r="M85" s="211"/>
      <c r="N85" s="211"/>
      <c r="O85" s="211"/>
      <c r="P85" s="211"/>
      <c r="Q85" s="211"/>
      <c r="R85" s="211"/>
      <c r="S85" s="211"/>
    </row>
    <row r="86" spans="1:19" ht="15.75" x14ac:dyDescent="0.2">
      <c r="A86" s="211"/>
      <c r="B86" s="211"/>
      <c r="C86" s="211"/>
      <c r="D86" s="211"/>
      <c r="E86" s="211"/>
      <c r="F86" s="211"/>
      <c r="G86" s="211"/>
      <c r="H86" s="211"/>
      <c r="I86" s="211"/>
      <c r="J86" s="211"/>
      <c r="K86" s="211"/>
      <c r="L86" s="211"/>
      <c r="M86" s="211"/>
      <c r="N86" s="211"/>
      <c r="O86" s="211"/>
      <c r="P86" s="211"/>
      <c r="Q86" s="211"/>
      <c r="R86" s="211"/>
      <c r="S86" s="211"/>
    </row>
    <row r="87" spans="1:19" ht="15.75" x14ac:dyDescent="0.2">
      <c r="A87" s="211"/>
      <c r="B87" s="211"/>
      <c r="C87" s="211"/>
      <c r="D87" s="211"/>
      <c r="E87" s="211"/>
      <c r="F87" s="211"/>
      <c r="G87" s="211"/>
      <c r="H87" s="211"/>
      <c r="I87" s="211"/>
      <c r="J87" s="211"/>
      <c r="K87" s="211"/>
      <c r="L87" s="211"/>
      <c r="M87" s="211"/>
      <c r="N87" s="211"/>
      <c r="O87" s="211"/>
      <c r="P87" s="211"/>
      <c r="Q87" s="211"/>
      <c r="R87" s="211"/>
      <c r="S87" s="211"/>
    </row>
    <row r="88" spans="1:19" ht="15.75" x14ac:dyDescent="0.2">
      <c r="A88" s="211"/>
      <c r="B88" s="211"/>
      <c r="C88" s="211"/>
      <c r="D88" s="211"/>
      <c r="E88" s="211"/>
      <c r="F88" s="211"/>
      <c r="G88" s="211"/>
      <c r="H88" s="211"/>
      <c r="I88" s="211"/>
      <c r="J88" s="211"/>
      <c r="K88" s="211"/>
      <c r="L88" s="211"/>
      <c r="M88" s="211"/>
      <c r="N88" s="211"/>
      <c r="O88" s="211"/>
      <c r="P88" s="211"/>
      <c r="Q88" s="211"/>
      <c r="R88" s="211"/>
      <c r="S88" s="211"/>
    </row>
    <row r="89" spans="1:19" ht="15.75" x14ac:dyDescent="0.2">
      <c r="A89" s="211"/>
      <c r="B89" s="211"/>
      <c r="C89" s="211"/>
      <c r="D89" s="211"/>
      <c r="E89" s="211"/>
      <c r="F89" s="211"/>
      <c r="G89" s="211"/>
      <c r="H89" s="211"/>
      <c r="I89" s="211"/>
      <c r="J89" s="211"/>
      <c r="K89" s="211"/>
      <c r="L89" s="211"/>
      <c r="M89" s="211"/>
      <c r="N89" s="211"/>
      <c r="O89" s="211"/>
      <c r="P89" s="211"/>
      <c r="Q89" s="211"/>
      <c r="R89" s="211"/>
      <c r="S89" s="211"/>
    </row>
    <row r="90" spans="1:19" ht="15.75" x14ac:dyDescent="0.2">
      <c r="A90" s="211"/>
      <c r="B90" s="211"/>
      <c r="C90" s="211"/>
      <c r="D90" s="211"/>
      <c r="E90" s="211"/>
      <c r="F90" s="211"/>
      <c r="G90" s="211"/>
      <c r="H90" s="211"/>
      <c r="I90" s="211"/>
      <c r="J90" s="211"/>
      <c r="K90" s="211"/>
      <c r="L90" s="211"/>
      <c r="M90" s="211"/>
      <c r="N90" s="211"/>
      <c r="O90" s="211"/>
      <c r="P90" s="211"/>
      <c r="Q90" s="211"/>
      <c r="R90" s="211"/>
      <c r="S90" s="211"/>
    </row>
    <row r="91" spans="1:19" ht="15.75" x14ac:dyDescent="0.2">
      <c r="A91" s="211"/>
      <c r="B91" s="211"/>
      <c r="C91" s="211"/>
      <c r="D91" s="211"/>
      <c r="E91" s="211"/>
      <c r="F91" s="211"/>
      <c r="G91" s="211"/>
      <c r="H91" s="211"/>
      <c r="I91" s="211"/>
      <c r="J91" s="211"/>
      <c r="K91" s="211"/>
      <c r="L91" s="211"/>
      <c r="M91" s="211"/>
      <c r="N91" s="211"/>
      <c r="O91" s="211"/>
      <c r="P91" s="211"/>
      <c r="Q91" s="211"/>
      <c r="R91" s="211"/>
      <c r="S91" s="211"/>
    </row>
    <row r="92" spans="1:19" ht="15.75" x14ac:dyDescent="0.2">
      <c r="A92" s="211"/>
      <c r="B92" s="211"/>
      <c r="C92" s="211"/>
      <c r="D92" s="211"/>
      <c r="E92" s="211"/>
      <c r="F92" s="211"/>
      <c r="G92" s="211"/>
      <c r="H92" s="211"/>
      <c r="I92" s="211"/>
      <c r="J92" s="211"/>
      <c r="K92" s="211"/>
      <c r="L92" s="211"/>
      <c r="M92" s="211"/>
      <c r="N92" s="211"/>
      <c r="O92" s="211"/>
      <c r="P92" s="211"/>
      <c r="Q92" s="211"/>
      <c r="R92" s="211"/>
      <c r="S92" s="211"/>
    </row>
    <row r="93" spans="1:19" ht="15.75" x14ac:dyDescent="0.2">
      <c r="A93" s="211"/>
      <c r="B93" s="211"/>
      <c r="C93" s="211"/>
      <c r="D93" s="211"/>
      <c r="E93" s="211"/>
      <c r="F93" s="211"/>
      <c r="G93" s="211"/>
      <c r="H93" s="211"/>
      <c r="I93" s="211"/>
      <c r="J93" s="211"/>
      <c r="K93" s="211"/>
      <c r="L93" s="211"/>
      <c r="M93" s="211"/>
      <c r="N93" s="211"/>
      <c r="O93" s="211"/>
      <c r="P93" s="211"/>
      <c r="Q93" s="211"/>
      <c r="R93" s="211"/>
      <c r="S93" s="211"/>
    </row>
    <row r="94" spans="1:19" ht="15.75" x14ac:dyDescent="0.2">
      <c r="A94" s="211"/>
      <c r="B94" s="211"/>
      <c r="C94" s="211"/>
      <c r="D94" s="211"/>
      <c r="E94" s="211"/>
      <c r="F94" s="211"/>
      <c r="G94" s="211"/>
      <c r="H94" s="211"/>
      <c r="I94" s="211"/>
      <c r="J94" s="211"/>
      <c r="K94" s="211"/>
      <c r="L94" s="211"/>
      <c r="M94" s="211"/>
      <c r="N94" s="211"/>
      <c r="O94" s="211"/>
      <c r="P94" s="211"/>
      <c r="Q94" s="211"/>
      <c r="R94" s="211"/>
      <c r="S94" s="211"/>
    </row>
    <row r="95" spans="1:19" ht="15.75" x14ac:dyDescent="0.2">
      <c r="A95" s="211"/>
      <c r="B95" s="211"/>
      <c r="C95" s="211"/>
      <c r="D95" s="211"/>
      <c r="E95" s="211"/>
      <c r="F95" s="211"/>
      <c r="G95" s="211"/>
      <c r="H95" s="211"/>
      <c r="I95" s="211"/>
      <c r="J95" s="211"/>
      <c r="K95" s="211"/>
      <c r="L95" s="211"/>
      <c r="M95" s="211"/>
      <c r="N95" s="211"/>
      <c r="O95" s="211"/>
      <c r="P95" s="211"/>
      <c r="Q95" s="211"/>
      <c r="R95" s="211"/>
      <c r="S95" s="211"/>
    </row>
    <row r="96" spans="1:19" ht="15.75" x14ac:dyDescent="0.2">
      <c r="A96" s="211"/>
      <c r="B96" s="211"/>
      <c r="C96" s="211"/>
      <c r="D96" s="211"/>
      <c r="E96" s="211"/>
      <c r="F96" s="211"/>
      <c r="G96" s="211"/>
      <c r="H96" s="211"/>
      <c r="I96" s="211"/>
      <c r="J96" s="211"/>
      <c r="K96" s="211"/>
      <c r="L96" s="211"/>
      <c r="M96" s="211"/>
      <c r="N96" s="211"/>
      <c r="O96" s="211"/>
      <c r="P96" s="211"/>
      <c r="Q96" s="211"/>
      <c r="R96" s="211"/>
      <c r="S96" s="211"/>
    </row>
  </sheetData>
  <sheetProtection algorithmName="SHA-512" hashValue="HOjUZF2sjMMHkK6qVgnkD6fdZAPsoZTUJjULKDm0HxcmPjPv6q7LwuJSE3bO4St5yA1ksw9jBjEtSJv52T6VrQ==" saltValue="WSqNyNwLD3LYJI+tO/Q7Ew==" spinCount="100000" sheet="1" objects="1" scenarios="1"/>
  <protectedRanges>
    <protectedRange sqref="E37:E52 M37:M52 E13:E28 G13:G28 M13:M28" name="Range1_2_2"/>
    <protectedRange sqref="G37:G52" name="Range1_2_5"/>
    <protectedRange sqref="G3" name="Range1_1"/>
  </protectedRanges>
  <mergeCells count="1">
    <mergeCell ref="A4:M4"/>
  </mergeCells>
  <conditionalFormatting sqref="C13:C28">
    <cfRule type="cellIs" dxfId="345" priority="98" operator="equal">
      <formula>"Incomplete"</formula>
    </cfRule>
    <cfRule type="cellIs" dxfId="344" priority="97" operator="equal">
      <formula>"Complete"</formula>
    </cfRule>
    <cfRule type="cellIs" dxfId="343" priority="96" operator="equal">
      <formula>"N/A"</formula>
    </cfRule>
    <cfRule type="cellIs" dxfId="342" priority="95" operator="equal">
      <formula>"May be incomplete"</formula>
    </cfRule>
  </conditionalFormatting>
  <conditionalFormatting sqref="C37:C52">
    <cfRule type="cellIs" dxfId="341" priority="82" operator="equal">
      <formula>"Incomplete"</formula>
    </cfRule>
    <cfRule type="cellIs" dxfId="340" priority="80" operator="equal">
      <formula>"N/A"</formula>
    </cfRule>
    <cfRule type="cellIs" dxfId="339" priority="81" operator="equal">
      <formula>"Complete"</formula>
    </cfRule>
    <cfRule type="cellIs" dxfId="338" priority="79" operator="equal">
      <formula>"May be incomplete"</formula>
    </cfRule>
  </conditionalFormatting>
  <conditionalFormatting sqref="E13:E28">
    <cfRule type="cellIs" dxfId="337" priority="45" operator="equal">
      <formula>"May be incomplete"</formula>
    </cfRule>
    <cfRule type="cellIs" dxfId="336" priority="46" operator="equal">
      <formula>"N/A"</formula>
    </cfRule>
    <cfRule type="cellIs" dxfId="335" priority="47" operator="equal">
      <formula>"Complete"</formula>
    </cfRule>
    <cfRule type="cellIs" dxfId="334" priority="48" operator="equal">
      <formula>"Incomplete"</formula>
    </cfRule>
  </conditionalFormatting>
  <conditionalFormatting sqref="E37:E52">
    <cfRule type="cellIs" dxfId="333" priority="28" operator="equal">
      <formula>"Incomplete"</formula>
    </cfRule>
    <cfRule type="cellIs" dxfId="332" priority="25" operator="equal">
      <formula>"May be incomplete"</formula>
    </cfRule>
    <cfRule type="cellIs" dxfId="331" priority="26" operator="equal">
      <formula>"N/A"</formula>
    </cfRule>
    <cfRule type="cellIs" dxfId="330" priority="27" operator="equal">
      <formula>"Complete"</formula>
    </cfRule>
  </conditionalFormatting>
  <conditionalFormatting sqref="G3">
    <cfRule type="cellIs" dxfId="329" priority="14" operator="equal">
      <formula>"N/A"</formula>
    </cfRule>
    <cfRule type="cellIs" dxfId="328" priority="13" operator="equal">
      <formula>"May be incomplete"</formula>
    </cfRule>
    <cfRule type="cellIs" dxfId="327" priority="15" operator="equal">
      <formula>"Complete"</formula>
    </cfRule>
    <cfRule type="cellIs" dxfId="326" priority="16" operator="equal">
      <formula>"Incomplete"</formula>
    </cfRule>
  </conditionalFormatting>
  <conditionalFormatting sqref="G13:G28">
    <cfRule type="cellIs" dxfId="325" priority="8" operator="equal">
      <formula>"N/A"</formula>
    </cfRule>
    <cfRule type="cellIs" dxfId="324" priority="7" operator="equal">
      <formula>"May be incomplete"</formula>
    </cfRule>
    <cfRule type="cellIs" dxfId="323" priority="9" operator="equal">
      <formula>"Complete"</formula>
    </cfRule>
    <cfRule type="cellIs" dxfId="322" priority="10" operator="equal">
      <formula>"Incomplete"</formula>
    </cfRule>
  </conditionalFormatting>
  <conditionalFormatting sqref="G37:G52">
    <cfRule type="cellIs" dxfId="321" priority="21" operator="equal">
      <formula>"May be incomplete"</formula>
    </cfRule>
    <cfRule type="cellIs" dxfId="320" priority="22" operator="equal">
      <formula>"N/A"</formula>
    </cfRule>
    <cfRule type="cellIs" dxfId="319" priority="23" operator="equal">
      <formula>"Complete"</formula>
    </cfRule>
    <cfRule type="cellIs" dxfId="318" priority="24" operator="equal">
      <formula>"Incomplete"</formula>
    </cfRule>
  </conditionalFormatting>
  <conditionalFormatting sqref="I13:I28">
    <cfRule type="cellIs" dxfId="317" priority="109" operator="equal">
      <formula>"Complete"</formula>
    </cfRule>
    <cfRule type="cellIs" dxfId="316" priority="108" operator="equal">
      <formula>"N/A"</formula>
    </cfRule>
    <cfRule type="cellIs" dxfId="315" priority="107" operator="equal">
      <formula>"May be incomplete"</formula>
    </cfRule>
    <cfRule type="cellIs" dxfId="314" priority="110" operator="equal">
      <formula>"Incomplete"</formula>
    </cfRule>
  </conditionalFormatting>
  <conditionalFormatting sqref="I37:I52">
    <cfRule type="cellIs" dxfId="313" priority="75" operator="equal">
      <formula>"May be incomplete"</formula>
    </cfRule>
    <cfRule type="cellIs" dxfId="312" priority="78" operator="equal">
      <formula>"Incomplete"</formula>
    </cfRule>
    <cfRule type="cellIs" dxfId="311" priority="77" operator="equal">
      <formula>"Complete"</formula>
    </cfRule>
    <cfRule type="cellIs" dxfId="310" priority="76" operator="equal">
      <formula>"N/A"</formula>
    </cfRule>
  </conditionalFormatting>
  <conditionalFormatting sqref="K13:K28">
    <cfRule type="cellIs" dxfId="309" priority="94" operator="equal">
      <formula>"Incomplete"</formula>
    </cfRule>
    <cfRule type="cellIs" dxfId="308" priority="92" operator="equal">
      <formula>"N/A"</formula>
    </cfRule>
    <cfRule type="cellIs" dxfId="307" priority="91" operator="equal">
      <formula>"May be incomplete"</formula>
    </cfRule>
    <cfRule type="cellIs" dxfId="306" priority="93" operator="equal">
      <formula>"Complete"</formula>
    </cfRule>
  </conditionalFormatting>
  <conditionalFormatting sqref="K37:K52">
    <cfRule type="cellIs" dxfId="305" priority="73" operator="equal">
      <formula>"Complete"</formula>
    </cfRule>
    <cfRule type="cellIs" dxfId="304" priority="72" operator="equal">
      <formula>"N/A"</formula>
    </cfRule>
    <cfRule type="cellIs" dxfId="303" priority="71" operator="equal">
      <formula>"May be incomplete"</formula>
    </cfRule>
    <cfRule type="cellIs" dxfId="302" priority="74" operator="equal">
      <formula>"Incomplete"</formula>
    </cfRule>
  </conditionalFormatting>
  <conditionalFormatting sqref="M13:M28">
    <cfRule type="cellIs" dxfId="301" priority="6" operator="equal">
      <formula>"Incomplete"</formula>
    </cfRule>
    <cfRule type="cellIs" dxfId="300" priority="5" operator="equal">
      <formula>"Complete"</formula>
    </cfRule>
    <cfRule type="cellIs" dxfId="299" priority="4" operator="equal">
      <formula>"N/A"</formula>
    </cfRule>
    <cfRule type="cellIs" dxfId="298" priority="3" operator="equal">
      <formula>"May be incomplete"</formula>
    </cfRule>
  </conditionalFormatting>
  <conditionalFormatting sqref="M37:M52">
    <cfRule type="cellIs" dxfId="297" priority="17" operator="equal">
      <formula>"May be incomplete"</formula>
    </cfRule>
    <cfRule type="cellIs" dxfId="296" priority="20" operator="equal">
      <formula>"Incomplete"</formula>
    </cfRule>
    <cfRule type="cellIs" dxfId="295" priority="18" operator="equal">
      <formula>"N/A"</formula>
    </cfRule>
    <cfRule type="cellIs" dxfId="294" priority="19" operator="equal">
      <formula>"Complete"</formula>
    </cfRule>
  </conditionalFormatting>
  <conditionalFormatting sqref="R7">
    <cfRule type="cellIs" dxfId="293" priority="58" operator="equal">
      <formula>"Incomplete"</formula>
    </cfRule>
    <cfRule type="cellIs" dxfId="292" priority="57" operator="equal">
      <formula>"Complete"</formula>
    </cfRule>
  </conditionalFormatting>
  <conditionalFormatting sqref="R13:R28">
    <cfRule type="cellIs" dxfId="291" priority="56" operator="equal">
      <formula>"Incomplete"</formula>
    </cfRule>
    <cfRule type="cellIs" dxfId="290" priority="55" operator="equal">
      <formula>"Complete"</formula>
    </cfRule>
  </conditionalFormatting>
  <conditionalFormatting sqref="R37:R52">
    <cfRule type="cellIs" dxfId="289" priority="2" operator="equal">
      <formula>"Incomplete"</formula>
    </cfRule>
    <cfRule type="cellIs" dxfId="288" priority="1" operator="equal">
      <formula>"Complete"</formula>
    </cfRule>
  </conditionalFormatting>
  <dataValidations count="4">
    <dataValidation allowBlank="1" showErrorMessage="1" sqref="K10 E10 K34 M10 C34 C10 E34 M34 G3" xr:uid="{00000000-0002-0000-1F00-000000000000}"/>
    <dataValidation type="list" allowBlank="1" showInputMessage="1" showErrorMessage="1" sqref="C37:C52 K13:K28 C13:C28 K37:K52" xr:uid="{00000000-0002-0000-1F00-000001000000}">
      <formula1>"Select, Contract, Estimate"</formula1>
    </dataValidation>
    <dataValidation type="custom" allowBlank="1" showErrorMessage="1" error="Cell must be negative" sqref="E37:E52 M37:M52 M13:M28 E13:E28" xr:uid="{00000000-0002-0000-1F00-000002000000}">
      <formula1>E13&lt;0.0000000001</formula1>
    </dataValidation>
    <dataValidation type="custom" allowBlank="1" showErrorMessage="1" error="Cell must be positive" sqref="G37:G52 G13:G28" xr:uid="{00000000-0002-0000-1F00-000003000000}">
      <formula1>G13&gt;-0.0000000001</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0070C0"/>
  </sheetPr>
  <dimension ref="A1:AG139"/>
  <sheetViews>
    <sheetView workbookViewId="0"/>
  </sheetViews>
  <sheetFormatPr defaultColWidth="0" defaultRowHeight="14.25" zeroHeight="1" x14ac:dyDescent="0.2"/>
  <cols>
    <col min="1" max="1" width="34.5" customWidth="1"/>
    <col min="2" max="2" width="1.375" customWidth="1"/>
    <col min="3" max="3" width="18.625" customWidth="1"/>
    <col min="4" max="4" width="1.375" customWidth="1"/>
    <col min="5" max="5" width="18.875" customWidth="1"/>
    <col min="6" max="6" width="1.375" customWidth="1"/>
    <col min="7" max="7" width="18.875" customWidth="1"/>
    <col min="8" max="8" width="1.625" customWidth="1"/>
    <col min="9" max="9" width="18.625" customWidth="1"/>
    <col min="10" max="10" width="2.125" customWidth="1"/>
    <col min="11" max="11" width="18.625" customWidth="1"/>
    <col min="12" max="12" width="1.125" customWidth="1"/>
    <col min="13" max="13" width="18.625" customWidth="1"/>
    <col min="14" max="14" width="1.125" customWidth="1"/>
    <col min="15" max="15" width="19.125" customWidth="1"/>
    <col min="16" max="16" width="1.125" customWidth="1"/>
    <col min="17" max="17" width="18.875" customWidth="1"/>
    <col min="18" max="18" width="1.625" customWidth="1"/>
    <col min="19" max="19" width="19" customWidth="1"/>
    <col min="20" max="20" width="1.375" customWidth="1"/>
    <col min="21" max="21" width="18.625" customWidth="1"/>
    <col min="22" max="22" width="1.375" customWidth="1"/>
    <col min="23" max="23" width="18.875" customWidth="1"/>
    <col min="24" max="24" width="1" customWidth="1"/>
    <col min="25" max="25" width="8.375" bestFit="1" customWidth="1"/>
    <col min="26" max="26" width="2.125" customWidth="1"/>
    <col min="27" max="27" width="5.625" customWidth="1"/>
    <col min="28" max="28" width="116.625" customWidth="1"/>
    <col min="29" max="29" width="1.375" customWidth="1"/>
    <col min="30" max="32" width="8.125" customWidth="1"/>
    <col min="33" max="33" width="8.125" hidden="1"/>
  </cols>
  <sheetData>
    <row r="1" spans="1:32" ht="15.75" x14ac:dyDescent="0.25">
      <c r="A1" s="59">
        <v>1</v>
      </c>
      <c r="B1" s="59"/>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1:32" ht="32.25" customHeight="1" x14ac:dyDescent="0.25">
      <c r="A2" s="60"/>
      <c r="B2" s="60"/>
      <c r="C2" s="60"/>
      <c r="D2" s="60"/>
      <c r="E2" s="52" t="s">
        <v>81</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1:32" ht="21.6" customHeight="1" x14ac:dyDescent="0.25">
      <c r="A3" s="96" t="s">
        <v>638</v>
      </c>
      <c r="B3" s="491"/>
      <c r="C3" s="211"/>
      <c r="D3" s="211"/>
      <c r="E3" s="688" t="str">
        <f>IF(Control!$E$6="Biannual", "No","Yes")</f>
        <v>Yes</v>
      </c>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row>
    <row r="4" spans="1:32" ht="48.75" customHeight="1" x14ac:dyDescent="0.25">
      <c r="A4" s="886" t="str">
        <f>Index!D103</f>
        <v>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v>
      </c>
      <c r="B4" s="886"/>
      <c r="C4" s="886"/>
      <c r="D4" s="886"/>
      <c r="E4" s="886"/>
      <c r="F4" s="886"/>
      <c r="G4" s="886"/>
      <c r="H4" s="886"/>
      <c r="I4" s="886"/>
      <c r="J4" s="886"/>
      <c r="K4" s="886"/>
      <c r="L4" s="886"/>
      <c r="M4" s="886"/>
      <c r="N4" s="886"/>
      <c r="O4" s="886"/>
      <c r="P4" s="53"/>
      <c r="Q4" s="53"/>
      <c r="R4" s="53"/>
      <c r="S4" s="53"/>
      <c r="T4" s="53"/>
      <c r="U4" s="53"/>
      <c r="V4" s="53"/>
      <c r="W4" s="53"/>
      <c r="X4" s="53"/>
      <c r="Y4" s="53"/>
      <c r="Z4" s="53"/>
      <c r="AA4" s="53"/>
      <c r="AB4" s="53"/>
      <c r="AC4" s="53"/>
      <c r="AD4" s="53"/>
      <c r="AE4" s="53"/>
      <c r="AF4" s="53"/>
    </row>
    <row r="5" spans="1:32" ht="13.5" customHeight="1" x14ac:dyDescent="0.25">
      <c r="A5" s="492"/>
      <c r="B5" s="492"/>
      <c r="C5" s="492"/>
      <c r="D5" s="492"/>
      <c r="E5" s="492"/>
      <c r="F5" s="492"/>
      <c r="G5" s="492"/>
      <c r="H5" s="492"/>
      <c r="I5" s="492"/>
      <c r="J5" s="492"/>
      <c r="K5" s="492"/>
      <c r="L5" s="492"/>
      <c r="M5" s="492"/>
      <c r="N5" s="53"/>
      <c r="O5" s="53"/>
      <c r="P5" s="53"/>
      <c r="Q5" s="53"/>
      <c r="R5" s="53"/>
      <c r="S5" s="53"/>
      <c r="T5" s="53"/>
      <c r="U5" s="53"/>
      <c r="V5" s="53"/>
      <c r="W5" s="53"/>
      <c r="X5" s="53"/>
      <c r="Y5" s="53"/>
      <c r="Z5" s="53"/>
      <c r="AA5" s="53"/>
      <c r="AB5" s="53"/>
      <c r="AC5" s="53"/>
      <c r="AD5" s="53"/>
      <c r="AE5" s="53"/>
      <c r="AF5" s="53"/>
    </row>
    <row r="6" spans="1:32" ht="15.75" x14ac:dyDescent="0.25">
      <c r="A6" s="448"/>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row>
    <row r="7" spans="1:32" ht="16.5" thickBot="1" x14ac:dyDescent="0.3">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342" t="str">
        <f>IF(E3="No","Complete",IF(COUNTIF(AD14:AD34,"Incomplete")&gt;0,"Incomplete","Complete"))</f>
        <v>Complete</v>
      </c>
      <c r="AE7" s="53"/>
      <c r="AF7" s="53"/>
    </row>
    <row r="8" spans="1:32" ht="15.75" x14ac:dyDescent="0.25">
      <c r="A8" s="353" t="s">
        <v>706</v>
      </c>
      <c r="B8" s="493"/>
      <c r="C8" s="493"/>
      <c r="D8" s="493"/>
      <c r="E8" s="493"/>
      <c r="F8" s="493"/>
      <c r="G8" s="493"/>
      <c r="H8" s="493"/>
      <c r="I8" s="493"/>
      <c r="J8" s="493"/>
      <c r="K8" s="493"/>
      <c r="L8" s="493"/>
      <c r="M8" s="493"/>
      <c r="N8" s="493"/>
      <c r="O8" s="493"/>
      <c r="P8" s="493"/>
      <c r="Q8" s="493"/>
      <c r="R8" s="493"/>
      <c r="S8" s="493"/>
      <c r="T8" s="493"/>
      <c r="U8" s="493"/>
      <c r="V8" s="493"/>
      <c r="W8" s="493"/>
      <c r="X8" s="493"/>
      <c r="Y8" s="493"/>
      <c r="Z8" s="494"/>
      <c r="AA8" s="53"/>
      <c r="AB8" s="476"/>
      <c r="AC8" s="53"/>
      <c r="AD8" s="53"/>
      <c r="AE8" s="53"/>
      <c r="AF8" s="53"/>
    </row>
    <row r="9" spans="1:32" ht="15.75" x14ac:dyDescent="0.25">
      <c r="A9" s="357"/>
      <c r="B9" s="495"/>
      <c r="C9" s="349" t="s">
        <v>678</v>
      </c>
      <c r="D9" s="349"/>
      <c r="E9" s="349" t="s">
        <v>679</v>
      </c>
      <c r="F9" s="349"/>
      <c r="G9" s="349" t="s">
        <v>680</v>
      </c>
      <c r="H9" s="349"/>
      <c r="I9" s="349" t="s">
        <v>681</v>
      </c>
      <c r="J9" s="349"/>
      <c r="K9" s="349" t="s">
        <v>682</v>
      </c>
      <c r="L9" s="349"/>
      <c r="M9" s="349" t="s">
        <v>683</v>
      </c>
      <c r="N9" s="349"/>
      <c r="O9" s="349" t="s">
        <v>707</v>
      </c>
      <c r="P9" s="349"/>
      <c r="Q9" s="349" t="s">
        <v>708</v>
      </c>
      <c r="R9" s="349"/>
      <c r="S9" s="349" t="s">
        <v>709</v>
      </c>
      <c r="T9" s="349"/>
      <c r="U9" s="349" t="s">
        <v>710</v>
      </c>
      <c r="V9" s="349"/>
      <c r="W9" s="349" t="s">
        <v>711</v>
      </c>
      <c r="X9" s="349"/>
      <c r="Y9" s="349" t="s">
        <v>712</v>
      </c>
      <c r="Z9" s="496"/>
      <c r="AA9" s="53"/>
      <c r="AB9" s="479"/>
      <c r="AC9" s="53"/>
      <c r="AD9" s="53"/>
      <c r="AE9" s="53"/>
      <c r="AF9" s="53"/>
    </row>
    <row r="10" spans="1:32" ht="78.75" x14ac:dyDescent="0.25">
      <c r="A10" s="497"/>
      <c r="B10" s="480"/>
      <c r="C10" s="481" t="s">
        <v>713</v>
      </c>
      <c r="D10" s="481"/>
      <c r="E10" s="481" t="s">
        <v>714</v>
      </c>
      <c r="F10" s="481"/>
      <c r="G10" s="481" t="s">
        <v>715</v>
      </c>
      <c r="H10" s="481"/>
      <c r="I10" s="481" t="s">
        <v>716</v>
      </c>
      <c r="J10" s="481"/>
      <c r="K10" s="481" t="s">
        <v>717</v>
      </c>
      <c r="L10" s="481"/>
      <c r="M10" s="481" t="s">
        <v>718</v>
      </c>
      <c r="N10" s="481"/>
      <c r="O10" s="481" t="s">
        <v>719</v>
      </c>
      <c r="P10" s="481"/>
      <c r="Q10" s="481" t="s">
        <v>720</v>
      </c>
      <c r="R10" s="481"/>
      <c r="S10" s="481" t="s">
        <v>721</v>
      </c>
      <c r="T10" s="481"/>
      <c r="U10" s="481" t="s">
        <v>722</v>
      </c>
      <c r="V10" s="481"/>
      <c r="W10" s="481" t="s">
        <v>723</v>
      </c>
      <c r="X10" s="481"/>
      <c r="Y10" s="481" t="s">
        <v>724</v>
      </c>
      <c r="Z10" s="482"/>
      <c r="AA10" s="53"/>
      <c r="AB10" s="483"/>
      <c r="AC10" s="53"/>
      <c r="AD10" s="53"/>
      <c r="AE10" s="53"/>
      <c r="AF10" s="53"/>
    </row>
    <row r="11" spans="1:32" ht="15.75" x14ac:dyDescent="0.25">
      <c r="A11" s="497"/>
      <c r="B11" s="480"/>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2"/>
      <c r="AA11" s="53"/>
      <c r="AB11" s="483"/>
      <c r="AC11" s="53"/>
      <c r="AD11" s="53"/>
      <c r="AE11" s="53"/>
      <c r="AF11" s="53"/>
    </row>
    <row r="12" spans="1:32" ht="16.5" thickBot="1" x14ac:dyDescent="0.3">
      <c r="A12" s="377" t="s">
        <v>690</v>
      </c>
      <c r="B12" s="378"/>
      <c r="C12" s="75" t="str">
        <f>"'000"</f>
        <v>'000</v>
      </c>
      <c r="D12" s="75"/>
      <c r="E12" s="75" t="str">
        <f>"'000"</f>
        <v>'000</v>
      </c>
      <c r="F12" s="75"/>
      <c r="G12" s="75" t="str">
        <f>"'000"</f>
        <v>'000</v>
      </c>
      <c r="H12" s="75"/>
      <c r="I12" s="75" t="str">
        <f>"'000"</f>
        <v>'000</v>
      </c>
      <c r="J12" s="75"/>
      <c r="K12" s="75" t="str">
        <f>"'000"</f>
        <v>'000</v>
      </c>
      <c r="L12" s="75"/>
      <c r="M12" s="75" t="str">
        <f>"'000"</f>
        <v>'000</v>
      </c>
      <c r="N12" s="75"/>
      <c r="O12" s="75" t="str">
        <f>"'000"</f>
        <v>'000</v>
      </c>
      <c r="P12" s="75"/>
      <c r="Q12" s="75" t="str">
        <f>"'000"</f>
        <v>'000</v>
      </c>
      <c r="R12" s="75"/>
      <c r="S12" s="75" t="str">
        <f>"'000"</f>
        <v>'000</v>
      </c>
      <c r="T12" s="75"/>
      <c r="U12" s="75" t="str">
        <f>"'000"</f>
        <v>'000</v>
      </c>
      <c r="V12" s="75"/>
      <c r="W12" s="75" t="str">
        <f>"'000"</f>
        <v>'000</v>
      </c>
      <c r="X12" s="75"/>
      <c r="Y12" s="75" t="s">
        <v>508</v>
      </c>
      <c r="Z12" s="189"/>
      <c r="AA12" s="53"/>
      <c r="AB12" s="118" t="s">
        <v>676</v>
      </c>
      <c r="AC12" s="53"/>
      <c r="AD12" s="53"/>
      <c r="AE12" s="53"/>
      <c r="AF12" s="53"/>
    </row>
    <row r="13" spans="1:32" ht="16.5" thickBot="1" x14ac:dyDescent="0.3">
      <c r="A13" s="498"/>
      <c r="B13" s="484"/>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6"/>
      <c r="AA13" s="53"/>
      <c r="AB13" s="487"/>
      <c r="AC13" s="53"/>
      <c r="AD13" s="53"/>
      <c r="AE13" s="53"/>
      <c r="AF13" s="53"/>
    </row>
    <row r="14" spans="1:32" ht="15.75" x14ac:dyDescent="0.25">
      <c r="A14" s="463" t="s">
        <v>692</v>
      </c>
      <c r="B14" s="463"/>
      <c r="C14" s="678">
        <v>0</v>
      </c>
      <c r="D14" s="488"/>
      <c r="E14" s="678">
        <v>0</v>
      </c>
      <c r="F14" s="488"/>
      <c r="G14" s="678">
        <v>0</v>
      </c>
      <c r="H14" s="488"/>
      <c r="I14" s="678">
        <v>0</v>
      </c>
      <c r="J14" s="488"/>
      <c r="K14" s="690">
        <f>SUM(C14:I14)</f>
        <v>0</v>
      </c>
      <c r="L14" s="488"/>
      <c r="M14" s="678">
        <v>0</v>
      </c>
      <c r="N14" s="488"/>
      <c r="O14" s="678">
        <v>0</v>
      </c>
      <c r="P14" s="488">
        <v>0</v>
      </c>
      <c r="Q14" s="690">
        <f t="shared" ref="Q14:Q29" si="0">SUM(M14:P14)</f>
        <v>0</v>
      </c>
      <c r="R14" s="488"/>
      <c r="S14" s="678">
        <v>0</v>
      </c>
      <c r="T14" s="488"/>
      <c r="U14" s="678">
        <v>0</v>
      </c>
      <c r="V14" s="488"/>
      <c r="W14" s="690">
        <f t="shared" ref="W14:W29" si="1">SUM(S14:V14)</f>
        <v>0</v>
      </c>
      <c r="X14" s="463"/>
      <c r="Y14" s="695" t="str">
        <f t="shared" ref="Y14:Y30" si="2">IF(W14=0,"",(W14/K14)*-1)</f>
        <v/>
      </c>
      <c r="Z14" s="464"/>
      <c r="AA14" s="53"/>
      <c r="AB14" s="332"/>
      <c r="AC14" s="53"/>
      <c r="AD14" s="342" t="str">
        <f>IF(OR(C14="",E14="",G14="",I14="",M14="",O14="",S14="",U14=""),"Incomplete","Complete")</f>
        <v>Complete</v>
      </c>
      <c r="AE14" s="53"/>
      <c r="AF14" s="53"/>
    </row>
    <row r="15" spans="1:32" ht="15.75" x14ac:dyDescent="0.25">
      <c r="A15" s="463" t="s">
        <v>694</v>
      </c>
      <c r="B15" s="463"/>
      <c r="C15" s="678">
        <v>0</v>
      </c>
      <c r="D15" s="488"/>
      <c r="E15" s="678">
        <v>0</v>
      </c>
      <c r="F15" s="488"/>
      <c r="G15" s="678">
        <v>0</v>
      </c>
      <c r="H15" s="488"/>
      <c r="I15" s="678">
        <v>0</v>
      </c>
      <c r="J15" s="488"/>
      <c r="K15" s="690">
        <f t="shared" ref="K15:K29" si="3">SUM(C15:I15)</f>
        <v>0</v>
      </c>
      <c r="L15" s="488"/>
      <c r="M15" s="678">
        <v>0</v>
      </c>
      <c r="N15" s="488"/>
      <c r="O15" s="678">
        <v>0</v>
      </c>
      <c r="P15" s="488"/>
      <c r="Q15" s="690">
        <f>SUM(M15:P15)</f>
        <v>0</v>
      </c>
      <c r="R15" s="488"/>
      <c r="S15" s="678">
        <v>0</v>
      </c>
      <c r="T15" s="488"/>
      <c r="U15" s="678">
        <v>0</v>
      </c>
      <c r="V15" s="488"/>
      <c r="W15" s="690">
        <f t="shared" si="1"/>
        <v>0</v>
      </c>
      <c r="X15" s="463"/>
      <c r="Y15" s="695" t="str">
        <f t="shared" si="2"/>
        <v/>
      </c>
      <c r="Z15" s="464"/>
      <c r="AA15" s="211"/>
      <c r="AB15" s="330"/>
      <c r="AC15" s="211"/>
      <c r="AD15" s="342" t="str">
        <f t="shared" ref="AD15:AD25" si="4">IF(OR(C15="",E15="",G15="",I15="",M15="",O15="",S15="",U15=""),"Incomplete","Complete")</f>
        <v>Complete</v>
      </c>
      <c r="AE15" s="211"/>
      <c r="AF15" s="211"/>
    </row>
    <row r="16" spans="1:32" ht="15.75" x14ac:dyDescent="0.25">
      <c r="A16" s="463" t="s">
        <v>695</v>
      </c>
      <c r="B16" s="463"/>
      <c r="C16" s="678">
        <v>0</v>
      </c>
      <c r="D16" s="488"/>
      <c r="E16" s="678">
        <v>0</v>
      </c>
      <c r="F16" s="488"/>
      <c r="G16" s="678">
        <v>0</v>
      </c>
      <c r="H16" s="488"/>
      <c r="I16" s="678">
        <v>0</v>
      </c>
      <c r="J16" s="488"/>
      <c r="K16" s="690">
        <f t="shared" si="3"/>
        <v>0</v>
      </c>
      <c r="L16" s="488"/>
      <c r="M16" s="678">
        <v>0</v>
      </c>
      <c r="N16" s="488"/>
      <c r="O16" s="678">
        <v>0</v>
      </c>
      <c r="P16" s="488"/>
      <c r="Q16" s="690">
        <f t="shared" si="0"/>
        <v>0</v>
      </c>
      <c r="R16" s="488"/>
      <c r="S16" s="678">
        <v>0</v>
      </c>
      <c r="T16" s="488"/>
      <c r="U16" s="678">
        <v>0</v>
      </c>
      <c r="V16" s="488"/>
      <c r="W16" s="690">
        <f t="shared" si="1"/>
        <v>0</v>
      </c>
      <c r="X16" s="463"/>
      <c r="Y16" s="695" t="str">
        <f t="shared" si="2"/>
        <v/>
      </c>
      <c r="Z16" s="464"/>
      <c r="AA16" s="211"/>
      <c r="AB16" s="330"/>
      <c r="AC16" s="211"/>
      <c r="AD16" s="342" t="str">
        <f t="shared" si="4"/>
        <v>Complete</v>
      </c>
      <c r="AE16" s="211"/>
      <c r="AF16" s="211"/>
    </row>
    <row r="17" spans="1:32" ht="15.75" x14ac:dyDescent="0.25">
      <c r="A17" s="463" t="s">
        <v>696</v>
      </c>
      <c r="B17" s="463"/>
      <c r="C17" s="678">
        <v>0</v>
      </c>
      <c r="D17" s="488"/>
      <c r="E17" s="678">
        <v>0</v>
      </c>
      <c r="F17" s="488"/>
      <c r="G17" s="678">
        <v>0</v>
      </c>
      <c r="H17" s="488"/>
      <c r="I17" s="678">
        <v>0</v>
      </c>
      <c r="J17" s="488"/>
      <c r="K17" s="690">
        <f t="shared" si="3"/>
        <v>0</v>
      </c>
      <c r="L17" s="488"/>
      <c r="M17" s="678">
        <v>0</v>
      </c>
      <c r="N17" s="488"/>
      <c r="O17" s="678">
        <v>0</v>
      </c>
      <c r="P17" s="488"/>
      <c r="Q17" s="690">
        <f t="shared" si="0"/>
        <v>0</v>
      </c>
      <c r="R17" s="488"/>
      <c r="S17" s="678">
        <v>0</v>
      </c>
      <c r="T17" s="488"/>
      <c r="U17" s="678">
        <v>0</v>
      </c>
      <c r="V17" s="488"/>
      <c r="W17" s="690">
        <f t="shared" si="1"/>
        <v>0</v>
      </c>
      <c r="X17" s="463"/>
      <c r="Y17" s="695" t="str">
        <f t="shared" si="2"/>
        <v/>
      </c>
      <c r="Z17" s="464"/>
      <c r="AA17" s="211"/>
      <c r="AB17" s="330"/>
      <c r="AC17" s="211"/>
      <c r="AD17" s="342" t="str">
        <f t="shared" si="4"/>
        <v>Complete</v>
      </c>
      <c r="AE17" s="211"/>
      <c r="AF17" s="211"/>
    </row>
    <row r="18" spans="1:32" ht="15.75" x14ac:dyDescent="0.25">
      <c r="A18" s="463" t="s">
        <v>697</v>
      </c>
      <c r="B18" s="463"/>
      <c r="C18" s="678">
        <v>0</v>
      </c>
      <c r="D18" s="488"/>
      <c r="E18" s="678">
        <v>0</v>
      </c>
      <c r="F18" s="488"/>
      <c r="G18" s="678">
        <v>0</v>
      </c>
      <c r="H18" s="488"/>
      <c r="I18" s="678">
        <v>0</v>
      </c>
      <c r="J18" s="488"/>
      <c r="K18" s="690">
        <f t="shared" si="3"/>
        <v>0</v>
      </c>
      <c r="L18" s="488"/>
      <c r="M18" s="678">
        <v>0</v>
      </c>
      <c r="N18" s="488"/>
      <c r="O18" s="678">
        <v>0</v>
      </c>
      <c r="P18" s="488"/>
      <c r="Q18" s="690">
        <f t="shared" si="0"/>
        <v>0</v>
      </c>
      <c r="R18" s="488"/>
      <c r="S18" s="678">
        <v>0</v>
      </c>
      <c r="T18" s="488"/>
      <c r="U18" s="678">
        <v>0</v>
      </c>
      <c r="V18" s="488"/>
      <c r="W18" s="690">
        <f t="shared" si="1"/>
        <v>0</v>
      </c>
      <c r="X18" s="463"/>
      <c r="Y18" s="695" t="str">
        <f t="shared" si="2"/>
        <v/>
      </c>
      <c r="Z18" s="464"/>
      <c r="AA18" s="211"/>
      <c r="AB18" s="330"/>
      <c r="AC18" s="211"/>
      <c r="AD18" s="342" t="str">
        <f t="shared" si="4"/>
        <v>Complete</v>
      </c>
      <c r="AE18" s="211"/>
      <c r="AF18" s="211"/>
    </row>
    <row r="19" spans="1:32" ht="15.75" x14ac:dyDescent="0.25">
      <c r="A19" s="463" t="s">
        <v>698</v>
      </c>
      <c r="B19" s="463"/>
      <c r="C19" s="678">
        <v>0</v>
      </c>
      <c r="D19" s="488"/>
      <c r="E19" s="678">
        <v>0</v>
      </c>
      <c r="F19" s="488"/>
      <c r="G19" s="678">
        <v>0</v>
      </c>
      <c r="H19" s="488"/>
      <c r="I19" s="678">
        <v>0</v>
      </c>
      <c r="J19" s="488"/>
      <c r="K19" s="690">
        <f t="shared" si="3"/>
        <v>0</v>
      </c>
      <c r="L19" s="488"/>
      <c r="M19" s="678">
        <v>0</v>
      </c>
      <c r="N19" s="488"/>
      <c r="O19" s="678">
        <v>0</v>
      </c>
      <c r="P19" s="488"/>
      <c r="Q19" s="690">
        <f t="shared" si="0"/>
        <v>0</v>
      </c>
      <c r="R19" s="488"/>
      <c r="S19" s="678">
        <v>0</v>
      </c>
      <c r="T19" s="488"/>
      <c r="U19" s="678">
        <v>0</v>
      </c>
      <c r="V19" s="488"/>
      <c r="W19" s="690">
        <f t="shared" si="1"/>
        <v>0</v>
      </c>
      <c r="X19" s="463"/>
      <c r="Y19" s="695" t="str">
        <f t="shared" si="2"/>
        <v/>
      </c>
      <c r="Z19" s="464"/>
      <c r="AA19" s="211"/>
      <c r="AB19" s="330"/>
      <c r="AC19" s="211"/>
      <c r="AD19" s="342" t="str">
        <f t="shared" si="4"/>
        <v>Complete</v>
      </c>
      <c r="AE19" s="211"/>
      <c r="AF19" s="211"/>
    </row>
    <row r="20" spans="1:32" ht="15.75" x14ac:dyDescent="0.25">
      <c r="A20" s="463" t="s">
        <v>699</v>
      </c>
      <c r="B20" s="463"/>
      <c r="C20" s="678">
        <v>0</v>
      </c>
      <c r="D20" s="488"/>
      <c r="E20" s="678">
        <v>0</v>
      </c>
      <c r="F20" s="488"/>
      <c r="G20" s="678">
        <v>0</v>
      </c>
      <c r="H20" s="488"/>
      <c r="I20" s="678">
        <v>0</v>
      </c>
      <c r="J20" s="488"/>
      <c r="K20" s="690">
        <f t="shared" si="3"/>
        <v>0</v>
      </c>
      <c r="L20" s="488"/>
      <c r="M20" s="678">
        <v>0</v>
      </c>
      <c r="N20" s="488"/>
      <c r="O20" s="678">
        <v>0</v>
      </c>
      <c r="P20" s="488"/>
      <c r="Q20" s="690">
        <f t="shared" si="0"/>
        <v>0</v>
      </c>
      <c r="R20" s="488"/>
      <c r="S20" s="678">
        <v>0</v>
      </c>
      <c r="T20" s="488"/>
      <c r="U20" s="678">
        <v>0</v>
      </c>
      <c r="V20" s="488"/>
      <c r="W20" s="690">
        <f t="shared" si="1"/>
        <v>0</v>
      </c>
      <c r="X20" s="463"/>
      <c r="Y20" s="695" t="str">
        <f t="shared" si="2"/>
        <v/>
      </c>
      <c r="Z20" s="464"/>
      <c r="AA20" s="211"/>
      <c r="AB20" s="330"/>
      <c r="AC20" s="211"/>
      <c r="AD20" s="342" t="str">
        <f t="shared" si="4"/>
        <v>Complete</v>
      </c>
      <c r="AE20" s="211"/>
      <c r="AF20" s="211"/>
    </row>
    <row r="21" spans="1:32" ht="15.75" x14ac:dyDescent="0.25">
      <c r="A21" s="463" t="s">
        <v>700</v>
      </c>
      <c r="B21" s="463"/>
      <c r="C21" s="678">
        <v>0</v>
      </c>
      <c r="D21" s="488"/>
      <c r="E21" s="678">
        <v>0</v>
      </c>
      <c r="F21" s="488"/>
      <c r="G21" s="678">
        <v>0</v>
      </c>
      <c r="H21" s="488"/>
      <c r="I21" s="678">
        <v>0</v>
      </c>
      <c r="J21" s="488"/>
      <c r="K21" s="690">
        <f t="shared" si="3"/>
        <v>0</v>
      </c>
      <c r="L21" s="488"/>
      <c r="M21" s="678">
        <v>0</v>
      </c>
      <c r="N21" s="488"/>
      <c r="O21" s="678">
        <v>0</v>
      </c>
      <c r="P21" s="488"/>
      <c r="Q21" s="690">
        <f t="shared" si="0"/>
        <v>0</v>
      </c>
      <c r="R21" s="488"/>
      <c r="S21" s="678">
        <v>0</v>
      </c>
      <c r="T21" s="488"/>
      <c r="U21" s="678">
        <v>0</v>
      </c>
      <c r="V21" s="488"/>
      <c r="W21" s="690">
        <f t="shared" si="1"/>
        <v>0</v>
      </c>
      <c r="X21" s="463"/>
      <c r="Y21" s="695" t="str">
        <f t="shared" si="2"/>
        <v/>
      </c>
      <c r="Z21" s="464"/>
      <c r="AA21" s="211"/>
      <c r="AB21" s="330"/>
      <c r="AC21" s="211"/>
      <c r="AD21" s="342" t="str">
        <f t="shared" si="4"/>
        <v>Complete</v>
      </c>
      <c r="AE21" s="211"/>
      <c r="AF21" s="211"/>
    </row>
    <row r="22" spans="1:32" ht="15.75" x14ac:dyDescent="0.25">
      <c r="A22" s="463" t="s">
        <v>701</v>
      </c>
      <c r="B22" s="463"/>
      <c r="C22" s="678">
        <v>0</v>
      </c>
      <c r="D22" s="488"/>
      <c r="E22" s="678">
        <v>0</v>
      </c>
      <c r="F22" s="488"/>
      <c r="G22" s="678">
        <v>0</v>
      </c>
      <c r="H22" s="488"/>
      <c r="I22" s="678">
        <v>0</v>
      </c>
      <c r="J22" s="488"/>
      <c r="K22" s="690">
        <f t="shared" si="3"/>
        <v>0</v>
      </c>
      <c r="L22" s="488"/>
      <c r="M22" s="678">
        <v>0</v>
      </c>
      <c r="N22" s="488"/>
      <c r="O22" s="678">
        <v>0</v>
      </c>
      <c r="P22" s="488"/>
      <c r="Q22" s="690">
        <f t="shared" si="0"/>
        <v>0</v>
      </c>
      <c r="R22" s="488"/>
      <c r="S22" s="678">
        <v>0</v>
      </c>
      <c r="T22" s="488"/>
      <c r="U22" s="678">
        <v>0</v>
      </c>
      <c r="V22" s="488"/>
      <c r="W22" s="690">
        <f t="shared" si="1"/>
        <v>0</v>
      </c>
      <c r="X22" s="463"/>
      <c r="Y22" s="695" t="str">
        <f t="shared" si="2"/>
        <v/>
      </c>
      <c r="Z22" s="464"/>
      <c r="AA22" s="211"/>
      <c r="AB22" s="330"/>
      <c r="AC22" s="211"/>
      <c r="AD22" s="342" t="str">
        <f t="shared" si="4"/>
        <v>Complete</v>
      </c>
      <c r="AE22" s="211"/>
      <c r="AF22" s="211"/>
    </row>
    <row r="23" spans="1:32" ht="15.75" x14ac:dyDescent="0.25">
      <c r="A23" s="463" t="s">
        <v>702</v>
      </c>
      <c r="B23" s="463"/>
      <c r="C23" s="678">
        <v>0</v>
      </c>
      <c r="D23" s="488"/>
      <c r="E23" s="678">
        <v>0</v>
      </c>
      <c r="F23" s="488"/>
      <c r="G23" s="678">
        <v>0</v>
      </c>
      <c r="H23" s="488"/>
      <c r="I23" s="678">
        <v>0</v>
      </c>
      <c r="J23" s="488"/>
      <c r="K23" s="690">
        <f t="shared" si="3"/>
        <v>0</v>
      </c>
      <c r="L23" s="488"/>
      <c r="M23" s="678">
        <v>0</v>
      </c>
      <c r="N23" s="488"/>
      <c r="O23" s="678">
        <v>0</v>
      </c>
      <c r="P23" s="488"/>
      <c r="Q23" s="690">
        <f t="shared" si="0"/>
        <v>0</v>
      </c>
      <c r="R23" s="488"/>
      <c r="S23" s="678">
        <v>0</v>
      </c>
      <c r="T23" s="488"/>
      <c r="U23" s="678">
        <v>0</v>
      </c>
      <c r="V23" s="488"/>
      <c r="W23" s="690">
        <f t="shared" si="1"/>
        <v>0</v>
      </c>
      <c r="X23" s="463"/>
      <c r="Y23" s="695" t="str">
        <f t="shared" si="2"/>
        <v/>
      </c>
      <c r="Z23" s="464"/>
      <c r="AA23" s="211"/>
      <c r="AB23" s="330"/>
      <c r="AC23" s="211"/>
      <c r="AD23" s="342" t="str">
        <f t="shared" si="4"/>
        <v>Complete</v>
      </c>
      <c r="AE23" s="211"/>
      <c r="AF23" s="211"/>
    </row>
    <row r="24" spans="1:32" ht="15.75" x14ac:dyDescent="0.25">
      <c r="A24" s="463" t="s">
        <v>703</v>
      </c>
      <c r="B24" s="463"/>
      <c r="C24" s="678">
        <v>0</v>
      </c>
      <c r="D24" s="488"/>
      <c r="E24" s="678">
        <v>0</v>
      </c>
      <c r="F24" s="488"/>
      <c r="G24" s="678">
        <v>0</v>
      </c>
      <c r="H24" s="488"/>
      <c r="I24" s="678">
        <v>0</v>
      </c>
      <c r="J24" s="488"/>
      <c r="K24" s="690">
        <f t="shared" si="3"/>
        <v>0</v>
      </c>
      <c r="L24" s="488"/>
      <c r="M24" s="678">
        <v>0</v>
      </c>
      <c r="N24" s="488"/>
      <c r="O24" s="678">
        <v>0</v>
      </c>
      <c r="P24" s="488"/>
      <c r="Q24" s="690">
        <f t="shared" si="0"/>
        <v>0</v>
      </c>
      <c r="R24" s="488"/>
      <c r="S24" s="678">
        <v>0</v>
      </c>
      <c r="T24" s="488"/>
      <c r="U24" s="678">
        <v>0</v>
      </c>
      <c r="V24" s="488"/>
      <c r="W24" s="690">
        <f t="shared" si="1"/>
        <v>0</v>
      </c>
      <c r="X24" s="463"/>
      <c r="Y24" s="695" t="str">
        <f t="shared" si="2"/>
        <v/>
      </c>
      <c r="Z24" s="464"/>
      <c r="AA24" s="211"/>
      <c r="AB24" s="330"/>
      <c r="AC24" s="211"/>
      <c r="AD24" s="342" t="str">
        <f t="shared" si="4"/>
        <v>Complete</v>
      </c>
      <c r="AE24" s="211"/>
      <c r="AF24" s="211"/>
    </row>
    <row r="25" spans="1:32" ht="15.75" x14ac:dyDescent="0.25">
      <c r="A25" s="463" t="s">
        <v>704</v>
      </c>
      <c r="B25" s="463"/>
      <c r="C25" s="678">
        <v>0</v>
      </c>
      <c r="D25" s="488"/>
      <c r="E25" s="678">
        <v>0</v>
      </c>
      <c r="F25" s="488"/>
      <c r="G25" s="678">
        <v>0</v>
      </c>
      <c r="H25" s="488"/>
      <c r="I25" s="678">
        <v>0</v>
      </c>
      <c r="J25" s="488"/>
      <c r="K25" s="690">
        <f t="shared" si="3"/>
        <v>0</v>
      </c>
      <c r="L25" s="488"/>
      <c r="M25" s="678">
        <v>0</v>
      </c>
      <c r="N25" s="488"/>
      <c r="O25" s="678">
        <v>0</v>
      </c>
      <c r="P25" s="488"/>
      <c r="Q25" s="690">
        <f t="shared" si="0"/>
        <v>0</v>
      </c>
      <c r="R25" s="488"/>
      <c r="S25" s="678">
        <v>0</v>
      </c>
      <c r="T25" s="488"/>
      <c r="U25" s="678">
        <v>0</v>
      </c>
      <c r="V25" s="488"/>
      <c r="W25" s="690">
        <f t="shared" si="1"/>
        <v>0</v>
      </c>
      <c r="X25" s="463"/>
      <c r="Y25" s="695" t="str">
        <f t="shared" si="2"/>
        <v/>
      </c>
      <c r="Z25" s="464"/>
      <c r="AA25" s="211"/>
      <c r="AB25" s="330"/>
      <c r="AC25" s="211"/>
      <c r="AD25" s="342" t="str">
        <f t="shared" si="4"/>
        <v>Complete</v>
      </c>
      <c r="AE25" s="211"/>
      <c r="AF25" s="211"/>
    </row>
    <row r="26" spans="1:32" ht="15.75" x14ac:dyDescent="0.25">
      <c r="A26" s="463" t="s">
        <v>495</v>
      </c>
      <c r="B26" s="463"/>
      <c r="C26" s="678">
        <v>0</v>
      </c>
      <c r="D26" s="488"/>
      <c r="E26" s="678">
        <v>0</v>
      </c>
      <c r="F26" s="488"/>
      <c r="G26" s="678">
        <v>0</v>
      </c>
      <c r="H26" s="488"/>
      <c r="I26" s="678">
        <v>0</v>
      </c>
      <c r="J26" s="488"/>
      <c r="K26" s="690">
        <f t="shared" si="3"/>
        <v>0</v>
      </c>
      <c r="L26" s="488"/>
      <c r="M26" s="678">
        <v>0</v>
      </c>
      <c r="N26" s="488"/>
      <c r="O26" s="678">
        <v>0</v>
      </c>
      <c r="P26" s="488"/>
      <c r="Q26" s="690">
        <f t="shared" si="0"/>
        <v>0</v>
      </c>
      <c r="R26" s="488"/>
      <c r="S26" s="678">
        <v>0</v>
      </c>
      <c r="T26" s="488"/>
      <c r="U26" s="678">
        <v>0</v>
      </c>
      <c r="V26" s="488"/>
      <c r="W26" s="690">
        <f t="shared" si="1"/>
        <v>0</v>
      </c>
      <c r="X26" s="463"/>
      <c r="Y26" s="695" t="str">
        <f t="shared" si="2"/>
        <v/>
      </c>
      <c r="Z26" s="464"/>
      <c r="AA26" s="211"/>
      <c r="AB26" s="330"/>
      <c r="AC26" s="211"/>
      <c r="AD26" s="342" t="str">
        <f>IF(OR(C26="",E26="",G26="",I26="",M26="",O26="",S26="",U26=""),"Incomplete","Complete")</f>
        <v>Complete</v>
      </c>
      <c r="AE26" s="211"/>
      <c r="AF26" s="211"/>
    </row>
    <row r="27" spans="1:32" ht="15.75" x14ac:dyDescent="0.25">
      <c r="A27" s="463" t="s">
        <v>496</v>
      </c>
      <c r="B27" s="463"/>
      <c r="C27" s="678">
        <v>0</v>
      </c>
      <c r="D27" s="488"/>
      <c r="E27" s="678">
        <v>0</v>
      </c>
      <c r="F27" s="488"/>
      <c r="G27" s="678">
        <v>0</v>
      </c>
      <c r="H27" s="488"/>
      <c r="I27" s="678">
        <v>0</v>
      </c>
      <c r="J27" s="488"/>
      <c r="K27" s="690">
        <f t="shared" si="3"/>
        <v>0</v>
      </c>
      <c r="L27" s="488"/>
      <c r="M27" s="678">
        <v>0</v>
      </c>
      <c r="N27" s="488"/>
      <c r="O27" s="678">
        <v>0</v>
      </c>
      <c r="P27" s="488"/>
      <c r="Q27" s="690">
        <f t="shared" si="0"/>
        <v>0</v>
      </c>
      <c r="R27" s="488"/>
      <c r="S27" s="678">
        <v>0</v>
      </c>
      <c r="T27" s="488"/>
      <c r="U27" s="678">
        <v>0</v>
      </c>
      <c r="V27" s="488"/>
      <c r="W27" s="690">
        <f t="shared" si="1"/>
        <v>0</v>
      </c>
      <c r="X27" s="463"/>
      <c r="Y27" s="695" t="str">
        <f t="shared" si="2"/>
        <v/>
      </c>
      <c r="Z27" s="464"/>
      <c r="AA27" s="211"/>
      <c r="AB27" s="330"/>
      <c r="AC27" s="211"/>
      <c r="AD27" s="342" t="str">
        <f t="shared" ref="AD27:AD28" si="5">IF(OR(C27="",E27="",G27="",I27="",M27="",O27="",S27="",U27=""),"Incomplete","Complete")</f>
        <v>Complete</v>
      </c>
      <c r="AE27" s="211"/>
      <c r="AF27" s="211"/>
    </row>
    <row r="28" spans="1:32" ht="15.75" x14ac:dyDescent="0.25">
      <c r="A28" s="463" t="s">
        <v>497</v>
      </c>
      <c r="B28" s="463"/>
      <c r="C28" s="678">
        <v>0</v>
      </c>
      <c r="D28" s="488"/>
      <c r="E28" s="678">
        <v>0</v>
      </c>
      <c r="F28" s="488"/>
      <c r="G28" s="678">
        <v>0</v>
      </c>
      <c r="H28" s="488"/>
      <c r="I28" s="678">
        <v>0</v>
      </c>
      <c r="J28" s="488"/>
      <c r="K28" s="690">
        <f t="shared" si="3"/>
        <v>0</v>
      </c>
      <c r="L28" s="488"/>
      <c r="M28" s="678">
        <v>0</v>
      </c>
      <c r="N28" s="488"/>
      <c r="O28" s="678">
        <v>0</v>
      </c>
      <c r="P28" s="488"/>
      <c r="Q28" s="690">
        <f t="shared" si="0"/>
        <v>0</v>
      </c>
      <c r="R28" s="488"/>
      <c r="S28" s="678">
        <v>0</v>
      </c>
      <c r="T28" s="488"/>
      <c r="U28" s="678">
        <v>0</v>
      </c>
      <c r="V28" s="488"/>
      <c r="W28" s="690">
        <f t="shared" si="1"/>
        <v>0</v>
      </c>
      <c r="X28" s="463"/>
      <c r="Y28" s="695" t="str">
        <f t="shared" si="2"/>
        <v/>
      </c>
      <c r="Z28" s="464"/>
      <c r="AA28" s="211"/>
      <c r="AB28" s="330"/>
      <c r="AC28" s="211"/>
      <c r="AD28" s="342" t="str">
        <f t="shared" si="5"/>
        <v>Complete</v>
      </c>
      <c r="AE28" s="211"/>
      <c r="AF28" s="211"/>
    </row>
    <row r="29" spans="1:32" ht="15.75" x14ac:dyDescent="0.25">
      <c r="A29" s="463" t="s">
        <v>523</v>
      </c>
      <c r="B29" s="463"/>
      <c r="C29" s="678">
        <v>0</v>
      </c>
      <c r="D29" s="488"/>
      <c r="E29" s="678">
        <v>0</v>
      </c>
      <c r="F29" s="488"/>
      <c r="G29" s="678">
        <v>0</v>
      </c>
      <c r="H29" s="488"/>
      <c r="I29" s="678">
        <v>0</v>
      </c>
      <c r="J29" s="488"/>
      <c r="K29" s="690">
        <f t="shared" si="3"/>
        <v>0</v>
      </c>
      <c r="L29" s="488"/>
      <c r="M29" s="678">
        <v>0</v>
      </c>
      <c r="N29" s="488"/>
      <c r="O29" s="678">
        <v>0</v>
      </c>
      <c r="P29" s="488"/>
      <c r="Q29" s="690">
        <f t="shared" si="0"/>
        <v>0</v>
      </c>
      <c r="R29" s="488"/>
      <c r="S29" s="678">
        <v>0</v>
      </c>
      <c r="T29" s="488"/>
      <c r="U29" s="678">
        <v>0</v>
      </c>
      <c r="V29" s="488"/>
      <c r="W29" s="690">
        <f t="shared" si="1"/>
        <v>0</v>
      </c>
      <c r="X29" s="463"/>
      <c r="Y29" s="695" t="str">
        <f t="shared" si="2"/>
        <v/>
      </c>
      <c r="Z29" s="464"/>
      <c r="AA29" s="211"/>
      <c r="AB29" s="330"/>
      <c r="AC29" s="211"/>
      <c r="AD29" s="342" t="str">
        <f>IF(OR(C29="",E29="",G29="",I29="",M29="",O29="",S29="",U29=""),"Incomplete","Complete")</f>
        <v>Complete</v>
      </c>
      <c r="AE29" s="211"/>
      <c r="AF29" s="211"/>
    </row>
    <row r="30" spans="1:32" ht="16.5" thickBot="1" x14ac:dyDescent="0.3">
      <c r="A30" s="499" t="s">
        <v>209</v>
      </c>
      <c r="B30" s="500"/>
      <c r="C30" s="690">
        <f>SUM(C14:C29)</f>
        <v>0</v>
      </c>
      <c r="D30" s="501"/>
      <c r="E30" s="690">
        <f>SUM(E14:E29)</f>
        <v>0</v>
      </c>
      <c r="F30" s="501"/>
      <c r="G30" s="690">
        <f>SUM(G14:G29)</f>
        <v>0</v>
      </c>
      <c r="H30" s="488"/>
      <c r="I30" s="690">
        <f>SUM(I14:I29)</f>
        <v>0</v>
      </c>
      <c r="J30" s="488"/>
      <c r="K30" s="690">
        <f>SUM(K14:K29)</f>
        <v>0</v>
      </c>
      <c r="L30" s="488"/>
      <c r="M30" s="690">
        <f>SUM(M14:M29)</f>
        <v>0</v>
      </c>
      <c r="N30" s="501"/>
      <c r="O30" s="690">
        <f>SUM(O14:O29)</f>
        <v>0</v>
      </c>
      <c r="P30" s="501"/>
      <c r="Q30" s="690">
        <f>SUM(Q14:Q29)</f>
        <v>0</v>
      </c>
      <c r="R30" s="488"/>
      <c r="S30" s="690">
        <f>SUM(S14:S29)</f>
        <v>0</v>
      </c>
      <c r="T30" s="488"/>
      <c r="U30" s="690">
        <f>SUM(U14:U29)</f>
        <v>0</v>
      </c>
      <c r="V30" s="488"/>
      <c r="W30" s="690">
        <f>SUM(W14:W29)</f>
        <v>0</v>
      </c>
      <c r="X30" s="463"/>
      <c r="Y30" s="696" t="str">
        <f t="shared" si="2"/>
        <v/>
      </c>
      <c r="Z30" s="464"/>
      <c r="AA30" s="211"/>
      <c r="AB30" s="331"/>
      <c r="AC30" s="211"/>
      <c r="AD30" s="342"/>
      <c r="AE30" s="211"/>
      <c r="AF30" s="211"/>
    </row>
    <row r="31" spans="1:32" ht="16.5" thickBot="1" x14ac:dyDescent="0.25">
      <c r="A31" s="502"/>
      <c r="B31" s="489"/>
      <c r="C31" s="503"/>
      <c r="D31" s="503"/>
      <c r="E31" s="489"/>
      <c r="F31" s="489"/>
      <c r="G31" s="489"/>
      <c r="H31" s="489"/>
      <c r="I31" s="489"/>
      <c r="J31" s="489"/>
      <c r="K31" s="489"/>
      <c r="L31" s="489"/>
      <c r="M31" s="489"/>
      <c r="N31" s="489"/>
      <c r="O31" s="489"/>
      <c r="P31" s="489"/>
      <c r="Q31" s="489"/>
      <c r="R31" s="489"/>
      <c r="S31" s="489"/>
      <c r="T31" s="489"/>
      <c r="U31" s="489"/>
      <c r="V31" s="489"/>
      <c r="W31" s="489"/>
      <c r="X31" s="489"/>
      <c r="Y31" s="489"/>
      <c r="Z31" s="490"/>
      <c r="AA31" s="211"/>
      <c r="AB31" s="327"/>
      <c r="AC31" s="211"/>
      <c r="AD31" s="211"/>
      <c r="AE31" s="211"/>
      <c r="AF31" s="211"/>
    </row>
    <row r="32" spans="1:32" ht="15.75" x14ac:dyDescent="0.2">
      <c r="A32" s="211"/>
      <c r="B32" s="158"/>
      <c r="C32" s="327"/>
      <c r="D32" s="211"/>
      <c r="E32" s="327"/>
      <c r="F32" s="211"/>
      <c r="G32" s="327"/>
      <c r="H32" s="211"/>
      <c r="I32" s="327"/>
      <c r="J32" s="211"/>
      <c r="K32" s="327"/>
      <c r="L32" s="211"/>
      <c r="M32" s="327"/>
      <c r="N32" s="211"/>
      <c r="O32" s="327"/>
      <c r="P32" s="211"/>
      <c r="Q32" s="327"/>
      <c r="R32" s="211"/>
      <c r="S32" s="211"/>
      <c r="T32" s="211"/>
      <c r="U32" s="211"/>
      <c r="V32" s="211"/>
      <c r="W32" s="211"/>
      <c r="X32" s="211"/>
      <c r="Y32" s="211"/>
      <c r="Z32" s="211"/>
      <c r="AA32" s="211"/>
      <c r="AB32" s="211"/>
      <c r="AC32" s="211"/>
      <c r="AD32" s="211"/>
      <c r="AE32" s="211"/>
      <c r="AF32" s="211"/>
    </row>
    <row r="33" spans="1:32" ht="16.5" thickBot="1" x14ac:dyDescent="0.25">
      <c r="A33" s="697"/>
      <c r="B33" s="698"/>
      <c r="C33" s="699"/>
      <c r="D33" s="699"/>
      <c r="E33" s="698"/>
      <c r="F33" s="698"/>
      <c r="G33" s="698"/>
      <c r="H33" s="698"/>
      <c r="I33" s="698"/>
      <c r="J33" s="698"/>
      <c r="K33" s="698"/>
      <c r="L33" s="698"/>
      <c r="M33" s="698"/>
      <c r="N33" s="698"/>
      <c r="O33" s="698"/>
      <c r="P33" s="698"/>
      <c r="Q33" s="698"/>
      <c r="R33" s="698"/>
      <c r="S33" s="698"/>
      <c r="T33" s="698"/>
      <c r="U33" s="698"/>
      <c r="V33" s="698"/>
      <c r="W33" s="698"/>
      <c r="X33" s="698"/>
      <c r="Y33" s="698"/>
      <c r="Z33" s="700"/>
      <c r="AA33" s="211"/>
      <c r="AB33" s="327"/>
      <c r="AC33" s="211"/>
      <c r="AD33" s="211"/>
      <c r="AE33" s="211"/>
      <c r="AF33" s="211"/>
    </row>
    <row r="34" spans="1:32" ht="16.5" thickBot="1" x14ac:dyDescent="0.3">
      <c r="A34" s="504" t="s">
        <v>725</v>
      </c>
      <c r="B34" s="505"/>
      <c r="C34" s="678">
        <v>0</v>
      </c>
      <c r="D34" s="505"/>
      <c r="E34" s="678">
        <v>0</v>
      </c>
      <c r="F34" s="505"/>
      <c r="G34" s="678">
        <v>0</v>
      </c>
      <c r="H34" s="505"/>
      <c r="I34" s="678">
        <v>0</v>
      </c>
      <c r="J34" s="505"/>
      <c r="K34" s="690">
        <f>SUM(C34:I34)</f>
        <v>0</v>
      </c>
      <c r="L34" s="505"/>
      <c r="M34" s="678">
        <v>0</v>
      </c>
      <c r="N34" s="505"/>
      <c r="O34" s="678">
        <v>0</v>
      </c>
      <c r="P34" s="505"/>
      <c r="Q34" s="690">
        <f>SUM(M34:P34)</f>
        <v>0</v>
      </c>
      <c r="R34" s="505"/>
      <c r="S34" s="678">
        <v>0</v>
      </c>
      <c r="T34" s="505"/>
      <c r="U34" s="678">
        <v>0</v>
      </c>
      <c r="V34" s="505"/>
      <c r="W34" s="690">
        <f>SUM(S34:V34)</f>
        <v>0</v>
      </c>
      <c r="X34" s="505"/>
      <c r="Y34" s="696" t="str">
        <f t="shared" ref="Y34" si="6">IF(W34=0,"",(W34/K34)*-1)</f>
        <v/>
      </c>
      <c r="Z34" s="506"/>
      <c r="AA34" s="211"/>
      <c r="AB34" s="192"/>
      <c r="AC34" s="211"/>
      <c r="AD34" s="342" t="str">
        <f>IF(OR(C34="",E34="",G34="",I34="",M34="",O34="",S34="",U34=""),"Incomplete","Complete")</f>
        <v>Complete</v>
      </c>
      <c r="AE34" s="211"/>
      <c r="AF34" s="211"/>
    </row>
    <row r="35" spans="1:32" ht="16.5" thickBot="1" x14ac:dyDescent="0.25">
      <c r="A35" s="504"/>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6"/>
      <c r="AA35" s="211"/>
      <c r="AB35" s="327"/>
      <c r="AC35" s="211"/>
      <c r="AD35" s="211"/>
      <c r="AE35" s="211"/>
      <c r="AF35" s="211"/>
    </row>
    <row r="36" spans="1:32" ht="48" thickBot="1" x14ac:dyDescent="0.3">
      <c r="A36" s="504"/>
      <c r="B36" s="505"/>
      <c r="C36" s="505"/>
      <c r="D36" s="505"/>
      <c r="E36" s="505"/>
      <c r="F36" s="505"/>
      <c r="G36" s="505"/>
      <c r="H36" s="505"/>
      <c r="I36" s="507" t="s">
        <v>726</v>
      </c>
      <c r="J36" s="505"/>
      <c r="K36" s="690">
        <f>SUM(K30:K34)</f>
        <v>0</v>
      </c>
      <c r="L36" s="505"/>
      <c r="M36" s="505"/>
      <c r="N36" s="505"/>
      <c r="O36" s="328" t="s">
        <v>727</v>
      </c>
      <c r="P36" s="505"/>
      <c r="Q36" s="690">
        <f>SUM(Q30:Q34)</f>
        <v>0</v>
      </c>
      <c r="R36" s="505"/>
      <c r="S36" s="505"/>
      <c r="T36" s="505"/>
      <c r="U36" s="328" t="s">
        <v>728</v>
      </c>
      <c r="V36" s="505"/>
      <c r="W36" s="690">
        <f>SUM(W30:W34)</f>
        <v>0</v>
      </c>
      <c r="X36" s="505"/>
      <c r="Y36" s="696" t="str">
        <f t="shared" ref="Y36" si="7">IF(W36=0,"",(W36/K36)*-1)</f>
        <v/>
      </c>
      <c r="Z36" s="506"/>
      <c r="AA36" s="211"/>
      <c r="AB36" s="192"/>
      <c r="AC36" s="211"/>
      <c r="AD36" s="211"/>
      <c r="AE36" s="211"/>
      <c r="AF36" s="211"/>
    </row>
    <row r="37" spans="1:32" ht="16.5" thickBot="1" x14ac:dyDescent="0.25">
      <c r="A37" s="504"/>
      <c r="B37" s="505"/>
      <c r="C37" s="505"/>
      <c r="D37" s="505"/>
      <c r="E37" s="505"/>
      <c r="F37" s="505"/>
      <c r="G37" s="505"/>
      <c r="H37" s="505"/>
      <c r="I37" s="505"/>
      <c r="J37" s="505"/>
      <c r="K37" s="505"/>
      <c r="L37" s="505"/>
      <c r="M37" s="505"/>
      <c r="N37" s="505"/>
      <c r="O37" s="505"/>
      <c r="P37" s="505"/>
      <c r="Q37" s="505"/>
      <c r="R37" s="505"/>
      <c r="S37" s="505"/>
      <c r="T37" s="505"/>
      <c r="U37" s="328"/>
      <c r="V37" s="505"/>
      <c r="W37" s="505"/>
      <c r="X37" s="505"/>
      <c r="Y37" s="505"/>
      <c r="Z37" s="506"/>
      <c r="AA37" s="211"/>
      <c r="AB37" s="211"/>
      <c r="AC37" s="211"/>
      <c r="AD37" s="211"/>
      <c r="AE37" s="211"/>
      <c r="AF37" s="211"/>
    </row>
    <row r="38" spans="1:32" ht="32.25" thickBot="1" x14ac:dyDescent="0.3">
      <c r="A38" s="504"/>
      <c r="B38" s="505"/>
      <c r="C38" s="505"/>
      <c r="D38" s="505"/>
      <c r="E38" s="505"/>
      <c r="F38" s="505"/>
      <c r="G38" s="505"/>
      <c r="H38" s="505"/>
      <c r="I38" s="505"/>
      <c r="J38" s="505"/>
      <c r="K38" s="505"/>
      <c r="L38" s="505"/>
      <c r="M38" s="505"/>
      <c r="N38" s="505"/>
      <c r="O38" s="505"/>
      <c r="P38" s="505"/>
      <c r="Q38" s="505"/>
      <c r="R38" s="505"/>
      <c r="S38" s="505"/>
      <c r="T38" s="505"/>
      <c r="U38" s="328" t="s">
        <v>726</v>
      </c>
      <c r="V38" s="505"/>
      <c r="W38" s="690">
        <f>K36</f>
        <v>0</v>
      </c>
      <c r="X38" s="505"/>
      <c r="Y38" s="505"/>
      <c r="Z38" s="506"/>
      <c r="AA38" s="211"/>
      <c r="AB38" s="192"/>
      <c r="AC38" s="211"/>
      <c r="AD38" s="211"/>
      <c r="AE38" s="211"/>
      <c r="AF38" s="211"/>
    </row>
    <row r="39" spans="1:32" ht="16.5" thickBot="1" x14ac:dyDescent="0.25">
      <c r="A39" s="504"/>
      <c r="B39" s="505"/>
      <c r="C39" s="505"/>
      <c r="D39" s="505"/>
      <c r="E39" s="505"/>
      <c r="F39" s="505"/>
      <c r="G39" s="505"/>
      <c r="H39" s="505"/>
      <c r="I39" s="505"/>
      <c r="J39" s="505"/>
      <c r="K39" s="505"/>
      <c r="L39" s="505"/>
      <c r="M39" s="505"/>
      <c r="N39" s="505"/>
      <c r="O39" s="505"/>
      <c r="P39" s="505"/>
      <c r="Q39" s="505"/>
      <c r="R39" s="505"/>
      <c r="S39" s="505"/>
      <c r="T39" s="505"/>
      <c r="U39" s="328"/>
      <c r="V39" s="505"/>
      <c r="W39" s="505"/>
      <c r="X39" s="505"/>
      <c r="Y39" s="505"/>
      <c r="Z39" s="506"/>
      <c r="AA39" s="211"/>
      <c r="AB39" s="211"/>
      <c r="AC39" s="211"/>
      <c r="AD39" s="211"/>
      <c r="AE39" s="211"/>
      <c r="AF39" s="211"/>
    </row>
    <row r="40" spans="1:32" ht="48" thickBot="1" x14ac:dyDescent="0.3">
      <c r="A40" s="504"/>
      <c r="B40" s="505"/>
      <c r="C40" s="505"/>
      <c r="D40" s="505"/>
      <c r="E40" s="505"/>
      <c r="F40" s="505"/>
      <c r="G40" s="505"/>
      <c r="H40" s="505"/>
      <c r="I40" s="505"/>
      <c r="J40" s="505"/>
      <c r="K40" s="505"/>
      <c r="L40" s="505"/>
      <c r="M40" s="505"/>
      <c r="N40" s="505"/>
      <c r="O40" s="505"/>
      <c r="P40" s="505"/>
      <c r="Q40" s="505"/>
      <c r="R40" s="505"/>
      <c r="S40" s="505"/>
      <c r="T40" s="505"/>
      <c r="U40" s="328" t="s">
        <v>729</v>
      </c>
      <c r="V40" s="505"/>
      <c r="W40" s="690">
        <f>W38+W36</f>
        <v>0</v>
      </c>
      <c r="X40" s="505"/>
      <c r="Y40" s="505"/>
      <c r="Z40" s="506"/>
      <c r="AA40" s="211"/>
      <c r="AB40" s="192"/>
      <c r="AC40" s="211"/>
      <c r="AD40" s="211"/>
      <c r="AE40" s="211"/>
      <c r="AF40" s="211"/>
    </row>
    <row r="41" spans="1:32" ht="16.5" thickBot="1" x14ac:dyDescent="0.25">
      <c r="A41" s="504"/>
      <c r="B41" s="505"/>
      <c r="C41" s="505"/>
      <c r="D41" s="505"/>
      <c r="E41" s="505"/>
      <c r="F41" s="505"/>
      <c r="G41" s="505"/>
      <c r="H41" s="505"/>
      <c r="I41" s="505"/>
      <c r="J41" s="505"/>
      <c r="K41" s="505"/>
      <c r="L41" s="505"/>
      <c r="M41" s="505"/>
      <c r="N41" s="505"/>
      <c r="O41" s="505"/>
      <c r="P41" s="505"/>
      <c r="Q41" s="505"/>
      <c r="R41" s="505"/>
      <c r="S41" s="505"/>
      <c r="T41" s="505"/>
      <c r="U41" s="328"/>
      <c r="V41" s="505"/>
      <c r="W41" s="505"/>
      <c r="X41" s="505"/>
      <c r="Y41" s="505"/>
      <c r="Z41" s="506"/>
      <c r="AA41" s="211"/>
      <c r="AB41" s="211"/>
      <c r="AC41" s="211"/>
      <c r="AD41" s="211"/>
      <c r="AE41" s="211"/>
      <c r="AF41" s="211"/>
    </row>
    <row r="42" spans="1:32" ht="79.5" thickBot="1" x14ac:dyDescent="0.3">
      <c r="A42" s="504"/>
      <c r="B42" s="505"/>
      <c r="C42" s="505"/>
      <c r="D42" s="505"/>
      <c r="E42" s="505"/>
      <c r="F42" s="505"/>
      <c r="G42" s="505"/>
      <c r="H42" s="505"/>
      <c r="I42" s="505"/>
      <c r="J42" s="505"/>
      <c r="K42" s="505"/>
      <c r="L42" s="505"/>
      <c r="M42" s="505"/>
      <c r="N42" s="505"/>
      <c r="O42" s="505"/>
      <c r="P42" s="505"/>
      <c r="Q42" s="505"/>
      <c r="R42" s="505"/>
      <c r="S42" s="505"/>
      <c r="T42" s="505"/>
      <c r="U42" s="328" t="s">
        <v>730</v>
      </c>
      <c r="V42" s="505"/>
      <c r="W42" s="695" t="str">
        <f>IF(K36=0,"",W36/K36*-1)</f>
        <v/>
      </c>
      <c r="X42" s="505"/>
      <c r="Y42" s="505"/>
      <c r="Z42" s="506"/>
      <c r="AA42" s="211"/>
      <c r="AB42" s="192"/>
      <c r="AC42" s="211"/>
      <c r="AD42" s="211"/>
      <c r="AE42" s="211"/>
      <c r="AF42" s="211"/>
    </row>
    <row r="43" spans="1:32" ht="16.5" thickBot="1" x14ac:dyDescent="0.25">
      <c r="A43" s="504"/>
      <c r="B43" s="505"/>
      <c r="C43" s="505"/>
      <c r="D43" s="505"/>
      <c r="E43" s="505"/>
      <c r="F43" s="505"/>
      <c r="G43" s="505"/>
      <c r="H43" s="505"/>
      <c r="I43" s="505"/>
      <c r="J43" s="505"/>
      <c r="K43" s="505"/>
      <c r="L43" s="505"/>
      <c r="M43" s="505"/>
      <c r="N43" s="505"/>
      <c r="O43" s="505"/>
      <c r="P43" s="505"/>
      <c r="Q43" s="505"/>
      <c r="R43" s="505"/>
      <c r="S43" s="505"/>
      <c r="T43" s="505"/>
      <c r="U43" s="328"/>
      <c r="V43" s="505"/>
      <c r="W43" s="505"/>
      <c r="X43" s="505"/>
      <c r="Y43" s="505"/>
      <c r="Z43" s="506"/>
      <c r="AA43" s="211"/>
      <c r="AB43" s="211"/>
      <c r="AC43" s="211"/>
      <c r="AD43" s="211"/>
      <c r="AE43" s="211"/>
      <c r="AF43" s="211"/>
    </row>
    <row r="44" spans="1:32" ht="79.5" thickBot="1" x14ac:dyDescent="0.3">
      <c r="A44" s="504"/>
      <c r="B44" s="505"/>
      <c r="C44" s="505"/>
      <c r="D44" s="505"/>
      <c r="E44" s="505"/>
      <c r="F44" s="505"/>
      <c r="G44" s="505"/>
      <c r="H44" s="505"/>
      <c r="I44" s="505"/>
      <c r="J44" s="505"/>
      <c r="K44" s="505"/>
      <c r="L44" s="505"/>
      <c r="M44" s="505"/>
      <c r="N44" s="505"/>
      <c r="O44" s="505"/>
      <c r="P44" s="505"/>
      <c r="Q44" s="505"/>
      <c r="R44" s="505"/>
      <c r="S44" s="505"/>
      <c r="T44" s="505"/>
      <c r="U44" s="328" t="s">
        <v>731</v>
      </c>
      <c r="V44" s="505"/>
      <c r="W44" s="690">
        <f>SUM(K36:Q36)</f>
        <v>0</v>
      </c>
      <c r="X44" s="505"/>
      <c r="Y44" s="505"/>
      <c r="Z44" s="506"/>
      <c r="AA44" s="211"/>
      <c r="AB44" s="192"/>
      <c r="AC44" s="211"/>
      <c r="AD44" s="211"/>
      <c r="AE44" s="211"/>
      <c r="AF44" s="211"/>
    </row>
    <row r="45" spans="1:32" ht="15.75" x14ac:dyDescent="0.2">
      <c r="A45" s="504"/>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6"/>
      <c r="AA45" s="211"/>
      <c r="AB45" s="211"/>
      <c r="AC45" s="211"/>
      <c r="AD45" s="211"/>
      <c r="AE45" s="211"/>
      <c r="AF45" s="211"/>
    </row>
    <row r="46" spans="1:32" ht="141.75" x14ac:dyDescent="0.2">
      <c r="A46" s="504"/>
      <c r="B46" s="505"/>
      <c r="C46" s="505"/>
      <c r="D46" s="505"/>
      <c r="E46" s="505"/>
      <c r="F46" s="505"/>
      <c r="G46" s="505"/>
      <c r="H46" s="505"/>
      <c r="I46" s="505"/>
      <c r="J46" s="505"/>
      <c r="K46" s="328" t="s">
        <v>732</v>
      </c>
      <c r="L46" s="505"/>
      <c r="M46" s="877"/>
      <c r="N46" s="878"/>
      <c r="O46" s="878"/>
      <c r="P46" s="878"/>
      <c r="Q46" s="878"/>
      <c r="R46" s="878"/>
      <c r="S46" s="878"/>
      <c r="T46" s="878"/>
      <c r="U46" s="878"/>
      <c r="V46" s="878"/>
      <c r="W46" s="878"/>
      <c r="X46" s="879"/>
      <c r="Y46" s="505"/>
      <c r="Z46" s="506"/>
      <c r="AA46" s="211"/>
      <c r="AB46" s="211"/>
      <c r="AC46" s="211"/>
      <c r="AD46" s="211"/>
      <c r="AE46" s="211"/>
      <c r="AF46" s="211"/>
    </row>
    <row r="47" spans="1:32" ht="15.75" x14ac:dyDescent="0.2">
      <c r="A47" s="504"/>
      <c r="B47" s="505"/>
      <c r="C47" s="505"/>
      <c r="D47" s="505"/>
      <c r="E47" s="505"/>
      <c r="F47" s="505"/>
      <c r="G47" s="505"/>
      <c r="H47" s="505"/>
      <c r="I47" s="505"/>
      <c r="J47" s="505"/>
      <c r="K47" s="328"/>
      <c r="L47" s="505"/>
      <c r="M47" s="880"/>
      <c r="N47" s="881"/>
      <c r="O47" s="881"/>
      <c r="P47" s="881"/>
      <c r="Q47" s="881"/>
      <c r="R47" s="881"/>
      <c r="S47" s="881"/>
      <c r="T47" s="881"/>
      <c r="U47" s="881"/>
      <c r="V47" s="881"/>
      <c r="W47" s="881"/>
      <c r="X47" s="882"/>
      <c r="Y47" s="505"/>
      <c r="Z47" s="506"/>
      <c r="AA47" s="211"/>
      <c r="AB47" s="211"/>
      <c r="AC47" s="211"/>
      <c r="AD47" s="211"/>
      <c r="AE47" s="211"/>
      <c r="AF47" s="211"/>
    </row>
    <row r="48" spans="1:32" ht="15.75" x14ac:dyDescent="0.2">
      <c r="A48" s="504"/>
      <c r="B48" s="505"/>
      <c r="C48" s="505"/>
      <c r="D48" s="505"/>
      <c r="E48" s="505"/>
      <c r="F48" s="505"/>
      <c r="G48" s="505"/>
      <c r="H48" s="505"/>
      <c r="I48" s="505"/>
      <c r="J48" s="505"/>
      <c r="K48" s="328"/>
      <c r="L48" s="505"/>
      <c r="M48" s="880"/>
      <c r="N48" s="881"/>
      <c r="O48" s="881"/>
      <c r="P48" s="881"/>
      <c r="Q48" s="881"/>
      <c r="R48" s="881"/>
      <c r="S48" s="881"/>
      <c r="T48" s="881"/>
      <c r="U48" s="881"/>
      <c r="V48" s="881"/>
      <c r="W48" s="881"/>
      <c r="X48" s="882"/>
      <c r="Y48" s="505"/>
      <c r="Z48" s="506"/>
      <c r="AA48" s="211"/>
      <c r="AB48" s="211"/>
      <c r="AC48" s="211"/>
      <c r="AD48" s="211"/>
      <c r="AE48" s="211"/>
      <c r="AF48" s="211"/>
    </row>
    <row r="49" spans="1:32" ht="15.75" x14ac:dyDescent="0.2">
      <c r="A49" s="504"/>
      <c r="B49" s="505"/>
      <c r="C49" s="505"/>
      <c r="D49" s="505"/>
      <c r="E49" s="505"/>
      <c r="F49" s="505"/>
      <c r="G49" s="505"/>
      <c r="H49" s="505"/>
      <c r="I49" s="505"/>
      <c r="J49" s="505"/>
      <c r="K49" s="328"/>
      <c r="L49" s="505"/>
      <c r="M49" s="883"/>
      <c r="N49" s="884"/>
      <c r="O49" s="884"/>
      <c r="P49" s="884"/>
      <c r="Q49" s="884"/>
      <c r="R49" s="884"/>
      <c r="S49" s="884"/>
      <c r="T49" s="884"/>
      <c r="U49" s="884"/>
      <c r="V49" s="884"/>
      <c r="W49" s="884"/>
      <c r="X49" s="885"/>
      <c r="Y49" s="505"/>
      <c r="Z49" s="506"/>
      <c r="AA49" s="211"/>
      <c r="AB49" s="211"/>
      <c r="AC49" s="211"/>
      <c r="AD49" s="211"/>
      <c r="AE49" s="211"/>
      <c r="AF49" s="211"/>
    </row>
    <row r="50" spans="1:32" ht="15.75" x14ac:dyDescent="0.2">
      <c r="A50" s="504"/>
      <c r="B50" s="505"/>
      <c r="C50" s="505"/>
      <c r="D50" s="505"/>
      <c r="E50" s="505"/>
      <c r="F50" s="505"/>
      <c r="G50" s="505"/>
      <c r="H50" s="505"/>
      <c r="I50" s="505"/>
      <c r="J50" s="505"/>
      <c r="K50" s="328"/>
      <c r="L50" s="505"/>
      <c r="M50" s="505"/>
      <c r="N50" s="505"/>
      <c r="O50" s="505"/>
      <c r="P50" s="505"/>
      <c r="Q50" s="505"/>
      <c r="R50" s="505"/>
      <c r="S50" s="505"/>
      <c r="T50" s="505"/>
      <c r="U50" s="505"/>
      <c r="V50" s="505"/>
      <c r="W50" s="505"/>
      <c r="X50" s="505"/>
      <c r="Y50" s="505"/>
      <c r="Z50" s="506"/>
      <c r="AA50" s="211"/>
      <c r="AB50" s="211"/>
      <c r="AC50" s="211"/>
      <c r="AD50" s="211"/>
      <c r="AE50" s="211"/>
      <c r="AF50" s="211"/>
    </row>
    <row r="51" spans="1:32" ht="126" x14ac:dyDescent="0.2">
      <c r="A51" s="504"/>
      <c r="B51" s="505"/>
      <c r="C51" s="505"/>
      <c r="D51" s="505"/>
      <c r="E51" s="505"/>
      <c r="F51" s="505"/>
      <c r="G51" s="505"/>
      <c r="H51" s="505"/>
      <c r="I51" s="505"/>
      <c r="J51" s="505"/>
      <c r="K51" s="328" t="s">
        <v>733</v>
      </c>
      <c r="L51" s="505"/>
      <c r="M51" s="877"/>
      <c r="N51" s="878"/>
      <c r="O51" s="878"/>
      <c r="P51" s="878"/>
      <c r="Q51" s="878"/>
      <c r="R51" s="878"/>
      <c r="S51" s="878"/>
      <c r="T51" s="878"/>
      <c r="U51" s="878"/>
      <c r="V51" s="878"/>
      <c r="W51" s="878"/>
      <c r="X51" s="879"/>
      <c r="Y51" s="505"/>
      <c r="Z51" s="506"/>
      <c r="AA51" s="211"/>
      <c r="AB51" s="211"/>
      <c r="AC51" s="211"/>
      <c r="AD51" s="211"/>
      <c r="AE51" s="211"/>
      <c r="AF51" s="211"/>
    </row>
    <row r="52" spans="1:32" ht="15.75" x14ac:dyDescent="0.2">
      <c r="A52" s="504"/>
      <c r="B52" s="505"/>
      <c r="C52" s="505"/>
      <c r="D52" s="505"/>
      <c r="E52" s="505"/>
      <c r="F52" s="505"/>
      <c r="G52" s="505"/>
      <c r="H52" s="505"/>
      <c r="I52" s="505"/>
      <c r="J52" s="505"/>
      <c r="K52" s="328"/>
      <c r="L52" s="505"/>
      <c r="M52" s="880"/>
      <c r="N52" s="881"/>
      <c r="O52" s="881"/>
      <c r="P52" s="881"/>
      <c r="Q52" s="881"/>
      <c r="R52" s="881"/>
      <c r="S52" s="881"/>
      <c r="T52" s="881"/>
      <c r="U52" s="881"/>
      <c r="V52" s="881"/>
      <c r="W52" s="881"/>
      <c r="X52" s="882"/>
      <c r="Y52" s="505"/>
      <c r="Z52" s="506"/>
      <c r="AA52" s="211"/>
      <c r="AB52" s="211"/>
      <c r="AC52" s="211"/>
      <c r="AD52" s="211"/>
      <c r="AE52" s="211"/>
      <c r="AF52" s="211"/>
    </row>
    <row r="53" spans="1:32" ht="15.75" x14ac:dyDescent="0.2">
      <c r="A53" s="504"/>
      <c r="B53" s="505"/>
      <c r="C53" s="505"/>
      <c r="D53" s="505"/>
      <c r="E53" s="505"/>
      <c r="F53" s="505"/>
      <c r="G53" s="505"/>
      <c r="H53" s="505"/>
      <c r="I53" s="505"/>
      <c r="J53" s="505"/>
      <c r="K53" s="328"/>
      <c r="L53" s="505"/>
      <c r="M53" s="880"/>
      <c r="N53" s="881"/>
      <c r="O53" s="881"/>
      <c r="P53" s="881"/>
      <c r="Q53" s="881"/>
      <c r="R53" s="881"/>
      <c r="S53" s="881"/>
      <c r="T53" s="881"/>
      <c r="U53" s="881"/>
      <c r="V53" s="881"/>
      <c r="W53" s="881"/>
      <c r="X53" s="882"/>
      <c r="Y53" s="505"/>
      <c r="Z53" s="506"/>
      <c r="AA53" s="211"/>
      <c r="AB53" s="211"/>
      <c r="AC53" s="211"/>
      <c r="AD53" s="211"/>
      <c r="AE53" s="211"/>
      <c r="AF53" s="211"/>
    </row>
    <row r="54" spans="1:32" ht="15.75" x14ac:dyDescent="0.2">
      <c r="A54" s="504"/>
      <c r="B54" s="505"/>
      <c r="C54" s="505"/>
      <c r="D54" s="505"/>
      <c r="E54" s="505"/>
      <c r="F54" s="505"/>
      <c r="G54" s="505"/>
      <c r="H54" s="505"/>
      <c r="I54" s="505"/>
      <c r="J54" s="505"/>
      <c r="K54" s="328"/>
      <c r="L54" s="505"/>
      <c r="M54" s="883"/>
      <c r="N54" s="884"/>
      <c r="O54" s="884"/>
      <c r="P54" s="884"/>
      <c r="Q54" s="884"/>
      <c r="R54" s="884"/>
      <c r="S54" s="884"/>
      <c r="T54" s="884"/>
      <c r="U54" s="884"/>
      <c r="V54" s="884"/>
      <c r="W54" s="884"/>
      <c r="X54" s="885"/>
      <c r="Y54" s="505"/>
      <c r="Z54" s="506"/>
      <c r="AA54" s="211"/>
      <c r="AB54" s="211"/>
      <c r="AC54" s="211"/>
      <c r="AD54" s="211"/>
      <c r="AE54" s="211"/>
      <c r="AF54" s="211"/>
    </row>
    <row r="55" spans="1:32" ht="15.75" x14ac:dyDescent="0.2">
      <c r="A55" s="504"/>
      <c r="B55" s="505"/>
      <c r="C55" s="505"/>
      <c r="D55" s="505"/>
      <c r="E55" s="505"/>
      <c r="F55" s="505"/>
      <c r="G55" s="505"/>
      <c r="H55" s="505"/>
      <c r="I55" s="505"/>
      <c r="J55" s="505"/>
      <c r="K55" s="328"/>
      <c r="L55" s="505"/>
      <c r="M55" s="505"/>
      <c r="N55" s="505"/>
      <c r="O55" s="505"/>
      <c r="P55" s="505"/>
      <c r="Q55" s="505"/>
      <c r="R55" s="505"/>
      <c r="S55" s="505"/>
      <c r="T55" s="505"/>
      <c r="U55" s="505"/>
      <c r="V55" s="505"/>
      <c r="W55" s="505"/>
      <c r="X55" s="505"/>
      <c r="Y55" s="505"/>
      <c r="Z55" s="506"/>
      <c r="AA55" s="211"/>
      <c r="AB55" s="211"/>
      <c r="AC55" s="211"/>
      <c r="AD55" s="211"/>
      <c r="AE55" s="211"/>
      <c r="AF55" s="211"/>
    </row>
    <row r="56" spans="1:32" ht="47.25" x14ac:dyDescent="0.2">
      <c r="A56" s="504"/>
      <c r="B56" s="505"/>
      <c r="C56" s="505"/>
      <c r="D56" s="505"/>
      <c r="E56" s="505"/>
      <c r="F56" s="505"/>
      <c r="G56" s="505"/>
      <c r="H56" s="505"/>
      <c r="I56" s="505"/>
      <c r="J56" s="505"/>
      <c r="K56" s="328" t="s">
        <v>734</v>
      </c>
      <c r="L56" s="505"/>
      <c r="M56" s="877"/>
      <c r="N56" s="878"/>
      <c r="O56" s="878"/>
      <c r="P56" s="878"/>
      <c r="Q56" s="878"/>
      <c r="R56" s="878"/>
      <c r="S56" s="878"/>
      <c r="T56" s="878"/>
      <c r="U56" s="878"/>
      <c r="V56" s="878"/>
      <c r="W56" s="878"/>
      <c r="X56" s="879"/>
      <c r="Y56" s="505"/>
      <c r="Z56" s="506"/>
      <c r="AA56" s="211"/>
      <c r="AB56" s="211"/>
      <c r="AC56" s="211"/>
      <c r="AD56" s="211"/>
      <c r="AE56" s="211"/>
      <c r="AF56" s="211"/>
    </row>
    <row r="57" spans="1:32" ht="15.75" x14ac:dyDescent="0.2">
      <c r="A57" s="504"/>
      <c r="B57" s="505"/>
      <c r="C57" s="505"/>
      <c r="D57" s="505"/>
      <c r="E57" s="505"/>
      <c r="F57" s="505"/>
      <c r="G57" s="505"/>
      <c r="H57" s="505"/>
      <c r="I57" s="505"/>
      <c r="J57" s="505"/>
      <c r="K57" s="505"/>
      <c r="L57" s="505"/>
      <c r="M57" s="880"/>
      <c r="N57" s="881"/>
      <c r="O57" s="881"/>
      <c r="P57" s="881"/>
      <c r="Q57" s="881"/>
      <c r="R57" s="881"/>
      <c r="S57" s="881"/>
      <c r="T57" s="881"/>
      <c r="U57" s="881"/>
      <c r="V57" s="881"/>
      <c r="W57" s="881"/>
      <c r="X57" s="882"/>
      <c r="Y57" s="505"/>
      <c r="Z57" s="506"/>
      <c r="AA57" s="211"/>
      <c r="AB57" s="211"/>
      <c r="AC57" s="211"/>
      <c r="AD57" s="211"/>
      <c r="AE57" s="211"/>
      <c r="AF57" s="211"/>
    </row>
    <row r="58" spans="1:32" ht="15.75" x14ac:dyDescent="0.2">
      <c r="A58" s="504"/>
      <c r="B58" s="505"/>
      <c r="C58" s="505"/>
      <c r="D58" s="505"/>
      <c r="E58" s="505"/>
      <c r="F58" s="505"/>
      <c r="G58" s="505"/>
      <c r="H58" s="505"/>
      <c r="I58" s="505"/>
      <c r="J58" s="505"/>
      <c r="K58" s="505"/>
      <c r="L58" s="505"/>
      <c r="M58" s="880"/>
      <c r="N58" s="881"/>
      <c r="O58" s="881"/>
      <c r="P58" s="881"/>
      <c r="Q58" s="881"/>
      <c r="R58" s="881"/>
      <c r="S58" s="881"/>
      <c r="T58" s="881"/>
      <c r="U58" s="881"/>
      <c r="V58" s="881"/>
      <c r="W58" s="881"/>
      <c r="X58" s="882"/>
      <c r="Y58" s="505"/>
      <c r="Z58" s="506"/>
      <c r="AA58" s="211"/>
      <c r="AB58" s="211"/>
      <c r="AC58" s="211"/>
      <c r="AD58" s="211"/>
      <c r="AE58" s="211"/>
      <c r="AF58" s="211"/>
    </row>
    <row r="59" spans="1:32" ht="15.75" x14ac:dyDescent="0.2">
      <c r="A59" s="504"/>
      <c r="B59" s="505"/>
      <c r="C59" s="505"/>
      <c r="D59" s="505"/>
      <c r="E59" s="505"/>
      <c r="F59" s="505"/>
      <c r="G59" s="505"/>
      <c r="H59" s="505"/>
      <c r="I59" s="505"/>
      <c r="J59" s="505"/>
      <c r="K59" s="505"/>
      <c r="L59" s="505"/>
      <c r="M59" s="883"/>
      <c r="N59" s="884"/>
      <c r="O59" s="884"/>
      <c r="P59" s="884"/>
      <c r="Q59" s="884"/>
      <c r="R59" s="884"/>
      <c r="S59" s="884"/>
      <c r="T59" s="884"/>
      <c r="U59" s="884"/>
      <c r="V59" s="884"/>
      <c r="W59" s="884"/>
      <c r="X59" s="885"/>
      <c r="Y59" s="505"/>
      <c r="Z59" s="506"/>
      <c r="AA59" s="211"/>
      <c r="AB59" s="211"/>
      <c r="AC59" s="211"/>
      <c r="AD59" s="211"/>
      <c r="AE59" s="211"/>
      <c r="AF59" s="211"/>
    </row>
    <row r="60" spans="1:32" ht="15.75" x14ac:dyDescent="0.2">
      <c r="A60" s="508"/>
      <c r="B60" s="509"/>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10"/>
      <c r="AA60" s="211"/>
      <c r="AB60" s="211"/>
      <c r="AC60" s="211"/>
      <c r="AD60" s="211"/>
      <c r="AE60" s="211"/>
      <c r="AF60" s="211"/>
    </row>
    <row r="61" spans="1:32" ht="15.75" x14ac:dyDescent="0.2">
      <c r="A61" s="427" t="s">
        <v>661</v>
      </c>
      <c r="B61" s="158"/>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row>
    <row r="62" spans="1:32" ht="15.75" x14ac:dyDescent="0.2">
      <c r="A62" s="211"/>
      <c r="B62" s="158"/>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row>
    <row r="63" spans="1:32" ht="15.75" x14ac:dyDescent="0.2">
      <c r="A63" s="211"/>
      <c r="B63" s="158"/>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row>
    <row r="64" spans="1:32" ht="15.75" x14ac:dyDescent="0.2">
      <c r="A64" s="211"/>
      <c r="B64" s="158"/>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row>
    <row r="65" spans="1:32" ht="15.75" x14ac:dyDescent="0.2">
      <c r="A65" s="211"/>
      <c r="B65" s="158"/>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row>
    <row r="66" spans="1:32" ht="15.75" x14ac:dyDescent="0.2">
      <c r="A66" s="211"/>
      <c r="B66" s="158"/>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row>
    <row r="67" spans="1:32" ht="15.75" x14ac:dyDescent="0.2">
      <c r="A67" s="211"/>
      <c r="B67" s="158"/>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row>
    <row r="68" spans="1:32" ht="15.75" x14ac:dyDescent="0.2">
      <c r="A68" s="211"/>
      <c r="B68" s="158"/>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row>
    <row r="69" spans="1:32" ht="15.75" x14ac:dyDescent="0.2">
      <c r="A69" s="211"/>
      <c r="B69" s="158"/>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row>
    <row r="70" spans="1:32" ht="15.75" x14ac:dyDescent="0.2">
      <c r="A70" s="211"/>
      <c r="B70" s="158"/>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row>
    <row r="71" spans="1:32" ht="15.75" x14ac:dyDescent="0.2">
      <c r="A71" s="211"/>
      <c r="B71" s="158"/>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row>
    <row r="72" spans="1:32" ht="15.75" x14ac:dyDescent="0.2">
      <c r="A72" s="211"/>
      <c r="B72" s="158"/>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row>
    <row r="73" spans="1:32" ht="15.75" x14ac:dyDescent="0.2">
      <c r="A73" s="211"/>
      <c r="B73" s="158"/>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row>
    <row r="74" spans="1:32" ht="15.75" x14ac:dyDescent="0.2">
      <c r="A74" s="211"/>
      <c r="B74" s="158"/>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row>
    <row r="75" spans="1:32" ht="15.75" x14ac:dyDescent="0.2">
      <c r="A75" s="211"/>
      <c r="B75" s="158"/>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row>
    <row r="76" spans="1:32" ht="15.75" x14ac:dyDescent="0.2">
      <c r="A76" s="211"/>
      <c r="B76" s="158"/>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row>
    <row r="77" spans="1:32" ht="15.75" x14ac:dyDescent="0.2">
      <c r="A77" s="211"/>
      <c r="B77" s="158"/>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row>
    <row r="78" spans="1:32" ht="15.75" x14ac:dyDescent="0.2">
      <c r="A78" s="211"/>
      <c r="B78" s="158"/>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row>
    <row r="79" spans="1:32" ht="15.75" x14ac:dyDescent="0.2">
      <c r="A79" s="211"/>
      <c r="B79" s="158"/>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row>
    <row r="80" spans="1:32" ht="15.75" x14ac:dyDescent="0.2">
      <c r="A80" s="211"/>
      <c r="B80" s="158"/>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row>
    <row r="81" spans="1:32" ht="15.75" x14ac:dyDescent="0.2">
      <c r="A81" s="211"/>
      <c r="B81" s="158"/>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row>
    <row r="82" spans="1:32" ht="15.75" x14ac:dyDescent="0.2">
      <c r="A82" s="211"/>
      <c r="B82" s="158"/>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row>
    <row r="83" spans="1:32" ht="15.75" x14ac:dyDescent="0.2">
      <c r="A83" s="211"/>
      <c r="B83" s="158"/>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row>
    <row r="84" spans="1:32" ht="15.75" x14ac:dyDescent="0.2">
      <c r="A84" s="211"/>
      <c r="B84" s="158"/>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row>
    <row r="85" spans="1:32" ht="15.75" x14ac:dyDescent="0.2">
      <c r="A85" s="211"/>
      <c r="B85" s="158"/>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row>
    <row r="86" spans="1:32" ht="15.75" x14ac:dyDescent="0.2">
      <c r="A86" s="211"/>
      <c r="B86" s="158"/>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row>
    <row r="87" spans="1:32" ht="15.75" x14ac:dyDescent="0.2">
      <c r="A87" s="211"/>
      <c r="B87" s="158"/>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row>
    <row r="88" spans="1:32" ht="15.75" x14ac:dyDescent="0.2">
      <c r="A88" s="211"/>
      <c r="B88" s="158"/>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row>
    <row r="89" spans="1:32" ht="15.75" x14ac:dyDescent="0.2">
      <c r="A89" s="211"/>
      <c r="B89" s="158"/>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row>
    <row r="90" spans="1:32" ht="15.75" x14ac:dyDescent="0.2">
      <c r="A90" s="211"/>
      <c r="B90" s="158"/>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row>
    <row r="91" spans="1:32" ht="15.75" x14ac:dyDescent="0.2">
      <c r="A91" s="211"/>
      <c r="B91" s="158"/>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row>
    <row r="92" spans="1:32" ht="15.75" x14ac:dyDescent="0.2">
      <c r="A92" s="211"/>
      <c r="B92" s="158"/>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row>
    <row r="93" spans="1:32" ht="15.75" x14ac:dyDescent="0.2">
      <c r="A93" s="211"/>
      <c r="B93" s="158"/>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row>
    <row r="94" spans="1:32" ht="15.75" x14ac:dyDescent="0.2">
      <c r="A94" s="211"/>
      <c r="B94" s="158"/>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row>
    <row r="95" spans="1:32" ht="15.75" x14ac:dyDescent="0.2">
      <c r="A95" s="211"/>
      <c r="B95" s="158"/>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row>
    <row r="96" spans="1:32" ht="15.75" x14ac:dyDescent="0.2">
      <c r="A96" s="211"/>
      <c r="B96" s="158"/>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row>
    <row r="97" spans="1:32" ht="15.75" x14ac:dyDescent="0.2">
      <c r="A97" s="211"/>
      <c r="B97" s="158"/>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row>
    <row r="98" spans="1:32" ht="15.75" x14ac:dyDescent="0.2">
      <c r="A98" s="211"/>
      <c r="B98" s="158"/>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row>
    <row r="99" spans="1:32" ht="15.75" x14ac:dyDescent="0.2">
      <c r="A99" s="211"/>
      <c r="B99" s="158"/>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row>
    <row r="100" spans="1:32" ht="15.75" x14ac:dyDescent="0.2">
      <c r="A100" s="211"/>
      <c r="B100" s="158"/>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row>
    <row r="101" spans="1:32" ht="15.75" x14ac:dyDescent="0.2">
      <c r="A101" s="211"/>
      <c r="B101" s="158"/>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row>
    <row r="102" spans="1:32" ht="15.75" x14ac:dyDescent="0.2">
      <c r="A102" s="211"/>
      <c r="B102" s="158"/>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row>
    <row r="103" spans="1:32" ht="15.75" x14ac:dyDescent="0.2">
      <c r="A103" s="211"/>
      <c r="B103" s="158"/>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row>
    <row r="104" spans="1:32" ht="15.75" x14ac:dyDescent="0.2">
      <c r="A104" s="211"/>
      <c r="B104" s="158"/>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row>
    <row r="105" spans="1:32" ht="15.75" x14ac:dyDescent="0.2">
      <c r="A105" s="211"/>
      <c r="B105" s="158"/>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row>
    <row r="106" spans="1:32" ht="15.75" x14ac:dyDescent="0.2">
      <c r="A106" s="211"/>
      <c r="B106" s="158"/>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row>
    <row r="107" spans="1:32" ht="15.75" x14ac:dyDescent="0.2">
      <c r="A107" s="211"/>
      <c r="B107" s="158"/>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row>
    <row r="108" spans="1:32" ht="15.75" x14ac:dyDescent="0.2">
      <c r="A108" s="211"/>
      <c r="B108" s="158"/>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row>
    <row r="109" spans="1:32" ht="15.75" x14ac:dyDescent="0.2">
      <c r="A109" s="211"/>
      <c r="B109" s="158"/>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row>
    <row r="110" spans="1:32" ht="15.75" x14ac:dyDescent="0.2">
      <c r="A110" s="211"/>
      <c r="B110" s="158"/>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row>
    <row r="111" spans="1:32" ht="15.75" x14ac:dyDescent="0.2">
      <c r="A111" s="211"/>
      <c r="B111" s="158"/>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row>
    <row r="112" spans="1:32" ht="15.75" x14ac:dyDescent="0.2">
      <c r="A112" s="211"/>
      <c r="B112" s="158"/>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row>
    <row r="113" spans="1:32" ht="15.75" x14ac:dyDescent="0.2">
      <c r="A113" s="211"/>
      <c r="B113" s="158"/>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row>
    <row r="114" spans="1:32" ht="15.75" x14ac:dyDescent="0.2">
      <c r="A114" s="211"/>
      <c r="B114" s="158"/>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row>
    <row r="115" spans="1:32" ht="15.75" x14ac:dyDescent="0.2">
      <c r="A115" s="211"/>
      <c r="B115" s="158"/>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row>
    <row r="116" spans="1:32" ht="15.75" x14ac:dyDescent="0.2">
      <c r="A116" s="211"/>
      <c r="B116" s="158"/>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row>
    <row r="117" spans="1:32" ht="15.75" x14ac:dyDescent="0.2">
      <c r="A117" s="211"/>
      <c r="B117" s="158"/>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row>
    <row r="118" spans="1:32" ht="15.75" x14ac:dyDescent="0.2">
      <c r="A118" s="211"/>
      <c r="B118" s="158"/>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row>
    <row r="119" spans="1:32" ht="15.75" x14ac:dyDescent="0.2">
      <c r="A119" s="211"/>
      <c r="B119" s="158"/>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row>
    <row r="120" spans="1:32" ht="15.75" x14ac:dyDescent="0.2">
      <c r="A120" s="211"/>
      <c r="B120" s="158"/>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row>
    <row r="121" spans="1:32" ht="15.75" x14ac:dyDescent="0.2">
      <c r="A121" s="211"/>
      <c r="B121" s="158"/>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row>
    <row r="122" spans="1:32" ht="15.75" x14ac:dyDescent="0.2">
      <c r="A122" s="211"/>
      <c r="B122" s="158"/>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row>
    <row r="123" spans="1:32" ht="15.75" x14ac:dyDescent="0.2">
      <c r="A123" s="211"/>
      <c r="B123" s="158"/>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row>
    <row r="124" spans="1:32" ht="15.75" x14ac:dyDescent="0.2">
      <c r="A124" s="211"/>
      <c r="B124" s="158"/>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row>
    <row r="125" spans="1:32" ht="15.75" x14ac:dyDescent="0.2">
      <c r="A125" s="211"/>
      <c r="B125" s="158"/>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row>
    <row r="126" spans="1:32" ht="15.75" x14ac:dyDescent="0.2">
      <c r="A126" s="211"/>
      <c r="B126" s="158"/>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row>
    <row r="127" spans="1:32" ht="15.75" x14ac:dyDescent="0.2">
      <c r="A127" s="211"/>
      <c r="B127" s="158"/>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row>
    <row r="128" spans="1:32" ht="15.75" x14ac:dyDescent="0.2">
      <c r="A128" s="211"/>
      <c r="B128" s="158"/>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row>
    <row r="129" spans="1:32" ht="15.75" x14ac:dyDescent="0.2">
      <c r="A129" s="211"/>
      <c r="B129" s="158"/>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row>
    <row r="130" spans="1:32" ht="15.75" x14ac:dyDescent="0.2">
      <c r="A130" s="211"/>
      <c r="B130" s="158"/>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row>
    <row r="131" spans="1:32" ht="15.75" x14ac:dyDescent="0.2">
      <c r="A131" s="211"/>
      <c r="B131" s="158"/>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row>
    <row r="132" spans="1:32" ht="15.75" x14ac:dyDescent="0.2">
      <c r="A132" s="211"/>
      <c r="B132" s="158"/>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row>
    <row r="133" spans="1:32" ht="15.75" x14ac:dyDescent="0.2">
      <c r="A133" s="211"/>
      <c r="B133" s="158"/>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row>
    <row r="134" spans="1:32" ht="15.75" x14ac:dyDescent="0.2">
      <c r="A134" s="211"/>
      <c r="B134" s="158"/>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row>
    <row r="135" spans="1:32" ht="15.75" x14ac:dyDescent="0.2">
      <c r="A135" s="211"/>
      <c r="B135" s="158"/>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row>
    <row r="136" spans="1:32" ht="15.75" x14ac:dyDescent="0.2">
      <c r="A136" s="211"/>
      <c r="B136" s="158"/>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row>
    <row r="137" spans="1:32" ht="15.75" x14ac:dyDescent="0.2">
      <c r="A137" s="211"/>
      <c r="B137" s="158"/>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row>
    <row r="138" spans="1:32" ht="15.75" x14ac:dyDescent="0.2">
      <c r="A138" s="211"/>
      <c r="B138" s="158"/>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row>
    <row r="139" spans="1:32" ht="15.75" x14ac:dyDescent="0.2">
      <c r="A139" s="211"/>
      <c r="B139" s="158"/>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row>
  </sheetData>
  <sheetProtection algorithmName="SHA-512" hashValue="W3mW0eLlnkQFa0BWdeoVs4ox150VvPEJjTLaJGj9ptw/rCw/Ruqb4Krxi4q9l6dry21J0zM7zZ+RK0nqRANQmw==" saltValue="4pnisM8EPKQBz/17RhPDCQ==" spinCount="100000" sheet="1" objects="1" scenarios="1"/>
  <protectedRanges>
    <protectedRange sqref="E34 E14:E29" name="Range1_2"/>
    <protectedRange sqref="I34 I14:I29" name="Range1_2_1"/>
    <protectedRange sqref="S34 M34 M14:M29 S14:S29" name="Range1_2_2"/>
    <protectedRange sqref="C34 C14:C29" name="Range1_2_3"/>
    <protectedRange sqref="G34 G14:G29" name="Range1_2_4"/>
    <protectedRange sqref="U34 O34 O14:O29 U14:U29" name="Range1_2_5"/>
    <protectedRange sqref="E3" name="Range1_1"/>
  </protectedRanges>
  <mergeCells count="4">
    <mergeCell ref="M56:X59"/>
    <mergeCell ref="M46:X49"/>
    <mergeCell ref="M51:X54"/>
    <mergeCell ref="A4:O4"/>
  </mergeCells>
  <conditionalFormatting sqref="C14:C30">
    <cfRule type="cellIs" dxfId="287" priority="55" operator="equal">
      <formula>"May be incomplete"</formula>
    </cfRule>
    <cfRule type="cellIs" dxfId="286" priority="56" operator="equal">
      <formula>"N/A"</formula>
    </cfRule>
    <cfRule type="cellIs" dxfId="285" priority="57" operator="equal">
      <formula>"Complete"</formula>
    </cfRule>
    <cfRule type="cellIs" dxfId="284" priority="58" operator="equal">
      <formula>"Incomplete"</formula>
    </cfRule>
  </conditionalFormatting>
  <conditionalFormatting sqref="C34">
    <cfRule type="cellIs" dxfId="283" priority="35" operator="equal">
      <formula>"May be incomplete"</formula>
    </cfRule>
    <cfRule type="cellIs" dxfId="282" priority="36" operator="equal">
      <formula>"N/A"</formula>
    </cfRule>
    <cfRule type="cellIs" dxfId="281" priority="37" operator="equal">
      <formula>"Complete"</formula>
    </cfRule>
    <cfRule type="cellIs" dxfId="280" priority="38" operator="equal">
      <formula>"Incomplete"</formula>
    </cfRule>
  </conditionalFormatting>
  <conditionalFormatting sqref="E3">
    <cfRule type="cellIs" dxfId="279" priority="2" operator="equal">
      <formula>"N/A"</formula>
    </cfRule>
    <cfRule type="cellIs" dxfId="278" priority="3" operator="equal">
      <formula>"Complete"</formula>
    </cfRule>
    <cfRule type="cellIs" dxfId="277" priority="4" operator="equal">
      <formula>"Incomplete"</formula>
    </cfRule>
    <cfRule type="cellIs" dxfId="276" priority="1" operator="equal">
      <formula>"May be incomplete"</formula>
    </cfRule>
  </conditionalFormatting>
  <conditionalFormatting sqref="E14:E30">
    <cfRule type="cellIs" dxfId="275" priority="68" operator="equal">
      <formula>"N/A"</formula>
    </cfRule>
    <cfRule type="cellIs" dxfId="274" priority="69" operator="equal">
      <formula>"Complete"</formula>
    </cfRule>
    <cfRule type="cellIs" dxfId="273" priority="70" operator="equal">
      <formula>"Incomplete"</formula>
    </cfRule>
    <cfRule type="cellIs" dxfId="272" priority="67" operator="equal">
      <formula>"May be incomplete"</formula>
    </cfRule>
  </conditionalFormatting>
  <conditionalFormatting sqref="E34">
    <cfRule type="cellIs" dxfId="271" priority="31" operator="equal">
      <formula>"May be incomplete"</formula>
    </cfRule>
    <cfRule type="cellIs" dxfId="270" priority="32" operator="equal">
      <formula>"N/A"</formula>
    </cfRule>
    <cfRule type="cellIs" dxfId="269" priority="33" operator="equal">
      <formula>"Complete"</formula>
    </cfRule>
    <cfRule type="cellIs" dxfId="268" priority="34" operator="equal">
      <formula>"Incomplete"</formula>
    </cfRule>
  </conditionalFormatting>
  <conditionalFormatting sqref="G14:G30">
    <cfRule type="cellIs" dxfId="267" priority="54" operator="equal">
      <formula>"Incomplete"</formula>
    </cfRule>
    <cfRule type="cellIs" dxfId="266" priority="53" operator="equal">
      <formula>"Complete"</formula>
    </cfRule>
    <cfRule type="cellIs" dxfId="265" priority="51" operator="equal">
      <formula>"May be incomplete"</formula>
    </cfRule>
    <cfRule type="cellIs" dxfId="264" priority="52" operator="equal">
      <formula>"N/A"</formula>
    </cfRule>
  </conditionalFormatting>
  <conditionalFormatting sqref="G34">
    <cfRule type="cellIs" dxfId="263" priority="27" operator="equal">
      <formula>"May be incomplete"</formula>
    </cfRule>
    <cfRule type="cellIs" dxfId="262" priority="28" operator="equal">
      <formula>"N/A"</formula>
    </cfRule>
    <cfRule type="cellIs" dxfId="261" priority="29" operator="equal">
      <formula>"Complete"</formula>
    </cfRule>
    <cfRule type="cellIs" dxfId="260" priority="30" operator="equal">
      <formula>"Incomplete"</formula>
    </cfRule>
  </conditionalFormatting>
  <conditionalFormatting sqref="I14:I30">
    <cfRule type="cellIs" dxfId="259" priority="64" operator="equal">
      <formula>"N/A"</formula>
    </cfRule>
    <cfRule type="cellIs" dxfId="258" priority="66" operator="equal">
      <formula>"Incomplete"</formula>
    </cfRule>
    <cfRule type="cellIs" dxfId="257" priority="63" operator="equal">
      <formula>"May be incomplete"</formula>
    </cfRule>
    <cfRule type="cellIs" dxfId="256" priority="65" operator="equal">
      <formula>"Complete"</formula>
    </cfRule>
  </conditionalFormatting>
  <conditionalFormatting sqref="I34">
    <cfRule type="cellIs" dxfId="255" priority="23" operator="equal">
      <formula>"May be incomplete"</formula>
    </cfRule>
    <cfRule type="cellIs" dxfId="254" priority="24" operator="equal">
      <formula>"N/A"</formula>
    </cfRule>
    <cfRule type="cellIs" dxfId="253" priority="25" operator="equal">
      <formula>"Complete"</formula>
    </cfRule>
    <cfRule type="cellIs" dxfId="252" priority="26" operator="equal">
      <formula>"Incomplete"</formula>
    </cfRule>
  </conditionalFormatting>
  <conditionalFormatting sqref="K14:K30">
    <cfRule type="cellIs" dxfId="251" priority="303" operator="equal">
      <formula>"Complete"</formula>
    </cfRule>
    <cfRule type="cellIs" dxfId="250" priority="302" operator="equal">
      <formula>"N/A"</formula>
    </cfRule>
    <cfRule type="cellIs" dxfId="249" priority="301" operator="equal">
      <formula>"May be incomplete"</formula>
    </cfRule>
    <cfRule type="cellIs" dxfId="248" priority="304" operator="equal">
      <formula>"Incomplete"</formula>
    </cfRule>
  </conditionalFormatting>
  <conditionalFormatting sqref="K34">
    <cfRule type="cellIs" dxfId="247" priority="217" operator="equal">
      <formula>"May be incomplete"</formula>
    </cfRule>
    <cfRule type="cellIs" dxfId="246" priority="218" operator="equal">
      <formula>"N/A"</formula>
    </cfRule>
    <cfRule type="cellIs" dxfId="245" priority="219" operator="equal">
      <formula>"Complete"</formula>
    </cfRule>
    <cfRule type="cellIs" dxfId="244" priority="220" operator="equal">
      <formula>"Incomplete"</formula>
    </cfRule>
  </conditionalFormatting>
  <conditionalFormatting sqref="K36">
    <cfRule type="cellIs" dxfId="243" priority="244" operator="equal">
      <formula>"Incomplete"</formula>
    </cfRule>
    <cfRule type="cellIs" dxfId="242" priority="241" operator="equal">
      <formula>"May be incomplete"</formula>
    </cfRule>
    <cfRule type="cellIs" dxfId="241" priority="242" operator="equal">
      <formula>"N/A"</formula>
    </cfRule>
    <cfRule type="cellIs" dxfId="240" priority="243" operator="equal">
      <formula>"Complete"</formula>
    </cfRule>
  </conditionalFormatting>
  <conditionalFormatting sqref="M14:M30">
    <cfRule type="cellIs" dxfId="239" priority="62" operator="equal">
      <formula>"Incomplete"</formula>
    </cfRule>
    <cfRule type="cellIs" dxfId="238" priority="61" operator="equal">
      <formula>"Complete"</formula>
    </cfRule>
    <cfRule type="cellIs" dxfId="237" priority="60" operator="equal">
      <formula>"N/A"</formula>
    </cfRule>
    <cfRule type="cellIs" dxfId="236" priority="59" operator="equal">
      <formula>"May be incomplete"</formula>
    </cfRule>
  </conditionalFormatting>
  <conditionalFormatting sqref="M34">
    <cfRule type="cellIs" dxfId="235" priority="20" operator="equal">
      <formula>"N/A"</formula>
    </cfRule>
    <cfRule type="cellIs" dxfId="234" priority="19" operator="equal">
      <formula>"May be incomplete"</formula>
    </cfRule>
    <cfRule type="cellIs" dxfId="233" priority="21" operator="equal">
      <formula>"Complete"</formula>
    </cfRule>
    <cfRule type="cellIs" dxfId="232" priority="22" operator="equal">
      <formula>"Incomplete"</formula>
    </cfRule>
  </conditionalFormatting>
  <conditionalFormatting sqref="O14:O30">
    <cfRule type="cellIs" dxfId="231" priority="48" operator="equal">
      <formula>"N/A"</formula>
    </cfRule>
    <cfRule type="cellIs" dxfId="230" priority="49" operator="equal">
      <formula>"Complete"</formula>
    </cfRule>
    <cfRule type="cellIs" dxfId="229" priority="50" operator="equal">
      <formula>"Incomplete"</formula>
    </cfRule>
    <cfRule type="cellIs" dxfId="228" priority="47" operator="equal">
      <formula>"May be incomplete"</formula>
    </cfRule>
  </conditionalFormatting>
  <conditionalFormatting sqref="O34">
    <cfRule type="cellIs" dxfId="227" priority="15" operator="equal">
      <formula>"May be incomplete"</formula>
    </cfRule>
    <cfRule type="cellIs" dxfId="226" priority="17" operator="equal">
      <formula>"Complete"</formula>
    </cfRule>
    <cfRule type="cellIs" dxfId="225" priority="16" operator="equal">
      <formula>"N/A"</formula>
    </cfRule>
    <cfRule type="cellIs" dxfId="224" priority="18" operator="equal">
      <formula>"Incomplete"</formula>
    </cfRule>
  </conditionalFormatting>
  <conditionalFormatting sqref="Q14:Q30">
    <cfRule type="cellIs" dxfId="223" priority="300" operator="equal">
      <formula>"Incomplete"</formula>
    </cfRule>
    <cfRule type="cellIs" dxfId="222" priority="299" operator="equal">
      <formula>"Complete"</formula>
    </cfRule>
    <cfRule type="cellIs" dxfId="221" priority="298" operator="equal">
      <formula>"N/A"</formula>
    </cfRule>
    <cfRule type="cellIs" dxfId="220" priority="297" operator="equal">
      <formula>"May be incomplete"</formula>
    </cfRule>
  </conditionalFormatting>
  <conditionalFormatting sqref="Q34">
    <cfRule type="cellIs" dxfId="219" priority="205" operator="equal">
      <formula>"May be incomplete"</formula>
    </cfRule>
    <cfRule type="cellIs" dxfId="218" priority="206" operator="equal">
      <formula>"N/A"</formula>
    </cfRule>
    <cfRule type="cellIs" dxfId="217" priority="207" operator="equal">
      <formula>"Complete"</formula>
    </cfRule>
    <cfRule type="cellIs" dxfId="216" priority="208" operator="equal">
      <formula>"Incomplete"</formula>
    </cfRule>
  </conditionalFormatting>
  <conditionalFormatting sqref="Q36">
    <cfRule type="cellIs" dxfId="215" priority="259" operator="equal">
      <formula>"Complete"</formula>
    </cfRule>
    <cfRule type="cellIs" dxfId="214" priority="260" operator="equal">
      <formula>"Incomplete"</formula>
    </cfRule>
    <cfRule type="cellIs" dxfId="213" priority="257" operator="equal">
      <formula>"May be incomplete"</formula>
    </cfRule>
    <cfRule type="cellIs" dxfId="212" priority="258" operator="equal">
      <formula>"N/A"</formula>
    </cfRule>
  </conditionalFormatting>
  <conditionalFormatting sqref="S14:S30">
    <cfRule type="cellIs" dxfId="211" priority="43" operator="equal">
      <formula>"May be incomplete"</formula>
    </cfRule>
    <cfRule type="cellIs" dxfId="210" priority="44" operator="equal">
      <formula>"N/A"</formula>
    </cfRule>
    <cfRule type="cellIs" dxfId="209" priority="45" operator="equal">
      <formula>"Complete"</formula>
    </cfRule>
    <cfRule type="cellIs" dxfId="208" priority="46" operator="equal">
      <formula>"Incomplete"</formula>
    </cfRule>
  </conditionalFormatting>
  <conditionalFormatting sqref="S34">
    <cfRule type="cellIs" dxfId="207" priority="13" operator="equal">
      <formula>"Complete"</formula>
    </cfRule>
    <cfRule type="cellIs" dxfId="206" priority="14" operator="equal">
      <formula>"Incomplete"</formula>
    </cfRule>
    <cfRule type="cellIs" dxfId="205" priority="12" operator="equal">
      <formula>"N/A"</formula>
    </cfRule>
    <cfRule type="cellIs" dxfId="204" priority="11" operator="equal">
      <formula>"May be incomplete"</formula>
    </cfRule>
  </conditionalFormatting>
  <conditionalFormatting sqref="U14:U30">
    <cfRule type="cellIs" dxfId="203" priority="40" operator="equal">
      <formula>"N/A"</formula>
    </cfRule>
    <cfRule type="cellIs" dxfId="202" priority="42" operator="equal">
      <formula>"Incomplete"</formula>
    </cfRule>
    <cfRule type="cellIs" dxfId="201" priority="39" operator="equal">
      <formula>"May be incomplete"</formula>
    </cfRule>
    <cfRule type="cellIs" dxfId="200" priority="41" operator="equal">
      <formula>"Complete"</formula>
    </cfRule>
  </conditionalFormatting>
  <conditionalFormatting sqref="U34">
    <cfRule type="cellIs" dxfId="199" priority="7" operator="equal">
      <formula>"May be incomplete"</formula>
    </cfRule>
    <cfRule type="cellIs" dxfId="198" priority="8" operator="equal">
      <formula>"N/A"</formula>
    </cfRule>
    <cfRule type="cellIs" dxfId="197" priority="10" operator="equal">
      <formula>"Incomplete"</formula>
    </cfRule>
    <cfRule type="cellIs" dxfId="196" priority="9" operator="equal">
      <formula>"Complete"</formula>
    </cfRule>
  </conditionalFormatting>
  <conditionalFormatting sqref="W14:W30">
    <cfRule type="cellIs" dxfId="195" priority="294" operator="equal">
      <formula>"N/A"</formula>
    </cfRule>
    <cfRule type="cellIs" dxfId="194" priority="293" operator="equal">
      <formula>"May be incomplete"</formula>
    </cfRule>
    <cfRule type="cellIs" dxfId="193" priority="295" operator="equal">
      <formula>"Complete"</formula>
    </cfRule>
    <cfRule type="cellIs" dxfId="192" priority="296" operator="equal">
      <formula>"Incomplete"</formula>
    </cfRule>
  </conditionalFormatting>
  <conditionalFormatting sqref="W34">
    <cfRule type="cellIs" dxfId="191" priority="195" operator="equal">
      <formula>"Complete"</formula>
    </cfRule>
    <cfRule type="cellIs" dxfId="190" priority="196" operator="equal">
      <formula>"Incomplete"</formula>
    </cfRule>
    <cfRule type="cellIs" dxfId="189" priority="193" operator="equal">
      <formula>"May be incomplete"</formula>
    </cfRule>
    <cfRule type="cellIs" dxfId="188" priority="194" operator="equal">
      <formula>"N/A"</formula>
    </cfRule>
  </conditionalFormatting>
  <conditionalFormatting sqref="W36">
    <cfRule type="cellIs" dxfId="187" priority="256" operator="equal">
      <formula>"Incomplete"</formula>
    </cfRule>
    <cfRule type="cellIs" dxfId="186" priority="255" operator="equal">
      <formula>"Complete"</formula>
    </cfRule>
    <cfRule type="cellIs" dxfId="185" priority="253" operator="equal">
      <formula>"May be incomplete"</formula>
    </cfRule>
    <cfRule type="cellIs" dxfId="184" priority="254" operator="equal">
      <formula>"N/A"</formula>
    </cfRule>
  </conditionalFormatting>
  <conditionalFormatting sqref="W38">
    <cfRule type="cellIs" dxfId="183" priority="100" operator="equal">
      <formula>"Incomplete"</formula>
    </cfRule>
    <cfRule type="cellIs" dxfId="182" priority="99" operator="equal">
      <formula>"Complete"</formula>
    </cfRule>
    <cfRule type="cellIs" dxfId="181" priority="98" operator="equal">
      <formula>"N/A"</formula>
    </cfRule>
    <cfRule type="cellIs" dxfId="180" priority="97" operator="equal">
      <formula>"May be incomplete"</formula>
    </cfRule>
  </conditionalFormatting>
  <conditionalFormatting sqref="W40">
    <cfRule type="cellIs" dxfId="179" priority="96" operator="equal">
      <formula>"Incomplete"</formula>
    </cfRule>
    <cfRule type="cellIs" dxfId="178" priority="95" operator="equal">
      <formula>"Complete"</formula>
    </cfRule>
    <cfRule type="cellIs" dxfId="177" priority="94" operator="equal">
      <formula>"N/A"</formula>
    </cfRule>
    <cfRule type="cellIs" dxfId="176" priority="93" operator="equal">
      <formula>"May be incomplete"</formula>
    </cfRule>
  </conditionalFormatting>
  <conditionalFormatting sqref="W42">
    <cfRule type="cellIs" dxfId="175" priority="248" operator="equal">
      <formula>"Incomplete"</formula>
    </cfRule>
    <cfRule type="cellIs" dxfId="174" priority="247" operator="equal">
      <formula>"Complete"</formula>
    </cfRule>
    <cfRule type="cellIs" dxfId="173" priority="245" operator="equal">
      <formula>"May be incomplete"</formula>
    </cfRule>
    <cfRule type="cellIs" dxfId="172" priority="246" operator="equal">
      <formula>"N/A"</formula>
    </cfRule>
  </conditionalFormatting>
  <conditionalFormatting sqref="W44">
    <cfRule type="cellIs" dxfId="171" priority="89" operator="equal">
      <formula>"May be incomplete"</formula>
    </cfRule>
    <cfRule type="cellIs" dxfId="170" priority="90" operator="equal">
      <formula>"N/A"</formula>
    </cfRule>
    <cfRule type="cellIs" dxfId="169" priority="91" operator="equal">
      <formula>"Complete"</formula>
    </cfRule>
    <cfRule type="cellIs" dxfId="168" priority="92" operator="equal">
      <formula>"Incomplete"</formula>
    </cfRule>
  </conditionalFormatting>
  <conditionalFormatting sqref="Y14:Y30">
    <cfRule type="cellIs" dxfId="167" priority="305" operator="equal">
      <formula>"May be incomplete"</formula>
    </cfRule>
    <cfRule type="cellIs" dxfId="166" priority="306" operator="equal">
      <formula>"N/A"</formula>
    </cfRule>
    <cfRule type="cellIs" dxfId="165" priority="307" operator="equal">
      <formula>"Complete"</formula>
    </cfRule>
    <cfRule type="cellIs" dxfId="164" priority="308" operator="equal">
      <formula>"Incomplete"</formula>
    </cfRule>
  </conditionalFormatting>
  <conditionalFormatting sqref="Y34">
    <cfRule type="cellIs" dxfId="163" priority="83" operator="equal">
      <formula>"Complete"</formula>
    </cfRule>
    <cfRule type="cellIs" dxfId="162" priority="82" operator="equal">
      <formula>"N/A"</formula>
    </cfRule>
    <cfRule type="cellIs" dxfId="161" priority="81" operator="equal">
      <formula>"May be incomplete"</formula>
    </cfRule>
    <cfRule type="cellIs" dxfId="160" priority="84" operator="equal">
      <formula>"Incomplete"</formula>
    </cfRule>
  </conditionalFormatting>
  <conditionalFormatting sqref="Y36">
    <cfRule type="cellIs" dxfId="159" priority="77" operator="equal">
      <formula>"May be incomplete"</formula>
    </cfRule>
    <cfRule type="cellIs" dxfId="158" priority="78" operator="equal">
      <formula>"N/A"</formula>
    </cfRule>
    <cfRule type="cellIs" dxfId="157" priority="79" operator="equal">
      <formula>"Complete"</formula>
    </cfRule>
    <cfRule type="cellIs" dxfId="156" priority="80" operator="equal">
      <formula>"Incomplete"</formula>
    </cfRule>
  </conditionalFormatting>
  <conditionalFormatting sqref="AD7">
    <cfRule type="cellIs" dxfId="155" priority="75" operator="equal">
      <formula>"Complete"</formula>
    </cfRule>
    <cfRule type="cellIs" dxfId="154" priority="76" operator="equal">
      <formula>"Incomplete"</formula>
    </cfRule>
  </conditionalFormatting>
  <conditionalFormatting sqref="AD14:AD30">
    <cfRule type="cellIs" dxfId="153" priority="6" operator="equal">
      <formula>"Incomplete"</formula>
    </cfRule>
    <cfRule type="cellIs" dxfId="152" priority="5" operator="equal">
      <formula>"Complete"</formula>
    </cfRule>
  </conditionalFormatting>
  <conditionalFormatting sqref="AD34">
    <cfRule type="cellIs" dxfId="151" priority="71" operator="equal">
      <formula>"Complete"</formula>
    </cfRule>
    <cfRule type="cellIs" dxfId="150" priority="72" operator="equal">
      <formula>"Incomplete"</formula>
    </cfRule>
  </conditionalFormatting>
  <dataValidations count="5">
    <dataValidation allowBlank="1" showErrorMessage="1" sqref="A34 Z10:Z11 C10:X11 E3" xr:uid="{00000000-0002-0000-2000-000000000000}"/>
    <dataValidation allowBlank="1" showErrorMessage="1" prompt="Any expected reinsurance recoverables which cannot be meaningfully apportioned by line of business in the table above must be entered here. For example, this might relate to non-proportional cross-class reinsurance" sqref="O42" xr:uid="{00000000-0002-0000-2000-000001000000}"/>
    <dataValidation allowBlank="1" showErrorMessage="1" prompt="Any maximum reinsurance recoverable which cannot be meaningfully apportioned by line of business in the table above must be entered here. For example, this might relate to non-proportional cross-class reinsurance" sqref="M37" xr:uid="{00000000-0002-0000-2000-000002000000}"/>
    <dataValidation type="custom" allowBlank="1" showErrorMessage="1" error="Cell must be negative" sqref="S34 E14:E29 I14:I29 M14:M29 E34 I34 M34 S14:S29" xr:uid="{00000000-0002-0000-2000-000003000000}">
      <formula1>E14&lt;0.0000000001</formula1>
    </dataValidation>
    <dataValidation type="custom" allowBlank="1" showErrorMessage="1" error="Cell must be positive" sqref="U34 C14:C29 G14:G29 O14:O29 C34 G34 O34 U14:U29" xr:uid="{00000000-0002-0000-2000-000004000000}">
      <formula1>C14&gt;-0.0000000001</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0070C0"/>
  </sheetPr>
  <dimension ref="A1:Q53"/>
  <sheetViews>
    <sheetView workbookViewId="0"/>
  </sheetViews>
  <sheetFormatPr defaultColWidth="0" defaultRowHeight="14.25" zeroHeight="1" x14ac:dyDescent="0.2"/>
  <cols>
    <col min="1" max="1" width="1.125" customWidth="1"/>
    <col min="2" max="2" width="6.875" customWidth="1"/>
    <col min="3" max="3" width="1.125" customWidth="1"/>
    <col min="4" max="4" width="22.125" customWidth="1"/>
    <col min="5" max="5" width="1.125" customWidth="1"/>
    <col min="6" max="6" width="14" customWidth="1"/>
    <col min="7" max="7" width="1.125" customWidth="1"/>
    <col min="8" max="8" width="126" customWidth="1"/>
    <col min="9" max="9" width="1.625" customWidth="1"/>
    <col min="10" max="10" width="3.125" customWidth="1"/>
    <col min="11" max="13" width="9" customWidth="1"/>
    <col min="14" max="17" width="9" hidden="1"/>
  </cols>
  <sheetData>
    <row r="1" spans="1:13" ht="15.75" x14ac:dyDescent="0.25">
      <c r="A1" s="59">
        <v>1</v>
      </c>
      <c r="B1" s="59"/>
      <c r="C1" s="59"/>
      <c r="D1" s="60"/>
      <c r="E1" s="60"/>
      <c r="F1" s="60"/>
      <c r="G1" s="60"/>
      <c r="H1" s="60"/>
      <c r="I1" s="60"/>
      <c r="J1" s="60"/>
      <c r="K1" s="60"/>
      <c r="L1" s="60"/>
      <c r="M1" s="60"/>
    </row>
    <row r="2" spans="1:13" ht="27.75" customHeight="1" x14ac:dyDescent="0.25">
      <c r="A2" s="60"/>
      <c r="B2" s="60"/>
      <c r="C2" s="60"/>
      <c r="D2" s="60"/>
      <c r="E2" s="60"/>
      <c r="F2" s="60"/>
      <c r="G2" s="60"/>
      <c r="H2" s="52" t="s">
        <v>83</v>
      </c>
      <c r="I2" s="60"/>
      <c r="J2" s="60"/>
      <c r="K2" s="60"/>
      <c r="L2" s="60"/>
      <c r="M2" s="60"/>
    </row>
    <row r="3" spans="1:13" ht="25.35" customHeight="1" x14ac:dyDescent="0.25">
      <c r="A3" s="491"/>
      <c r="B3" s="96" t="s">
        <v>638</v>
      </c>
      <c r="C3" s="53"/>
      <c r="D3" s="53"/>
      <c r="E3" s="53"/>
      <c r="F3" s="53"/>
      <c r="G3" s="53"/>
      <c r="H3" s="688" t="str">
        <f>IF(Control!$E$6="Biannual", "No","Yes")</f>
        <v>Yes</v>
      </c>
      <c r="I3" s="53"/>
      <c r="J3" s="53"/>
      <c r="K3" s="53"/>
      <c r="L3" s="53"/>
      <c r="M3" s="53"/>
    </row>
    <row r="4" spans="1:13" ht="16.5" customHeight="1" x14ac:dyDescent="0.25">
      <c r="A4" s="491"/>
      <c r="B4" s="865" t="str">
        <f>Index!D105</f>
        <v>Information about any large claims exceeding 20% of the insurer's net assets, and how they have developed and/or settled over the accounting period of the attached audited accounts.</v>
      </c>
      <c r="C4" s="865"/>
      <c r="D4" s="865"/>
      <c r="E4" s="865"/>
      <c r="F4" s="865"/>
      <c r="G4" s="865"/>
      <c r="H4" s="865"/>
      <c r="I4" s="53"/>
      <c r="J4" s="53"/>
      <c r="K4" s="53"/>
      <c r="L4" s="53"/>
      <c r="M4" s="53"/>
    </row>
    <row r="5" spans="1:13" ht="15.75" x14ac:dyDescent="0.25">
      <c r="A5" s="491"/>
      <c r="B5" s="53"/>
      <c r="C5" s="53"/>
      <c r="D5" s="53"/>
      <c r="E5" s="53"/>
      <c r="F5" s="53"/>
      <c r="G5" s="53"/>
      <c r="H5" s="53"/>
      <c r="I5" s="53"/>
      <c r="J5" s="53"/>
      <c r="K5" s="53"/>
      <c r="L5" s="53"/>
      <c r="M5" s="53"/>
    </row>
    <row r="6" spans="1:13" ht="15.75" x14ac:dyDescent="0.25">
      <c r="A6" s="491"/>
      <c r="B6" s="96" t="s">
        <v>735</v>
      </c>
      <c r="C6" s="53"/>
      <c r="D6" s="53"/>
      <c r="E6" s="53"/>
      <c r="F6" s="661" t="s">
        <v>361</v>
      </c>
      <c r="G6" s="53"/>
      <c r="H6" s="53"/>
      <c r="I6" s="53"/>
      <c r="J6" s="53"/>
      <c r="K6" s="53"/>
      <c r="L6" s="53"/>
      <c r="M6" s="53"/>
    </row>
    <row r="7" spans="1:13" ht="16.5" thickBot="1" x14ac:dyDescent="0.3">
      <c r="A7" s="491"/>
      <c r="B7" s="53"/>
      <c r="C7" s="53"/>
      <c r="D7" s="53"/>
      <c r="E7" s="53"/>
      <c r="F7" s="53"/>
      <c r="G7" s="53"/>
      <c r="H7" s="53"/>
      <c r="I7" s="53"/>
      <c r="J7" s="53"/>
      <c r="K7" s="342" t="str">
        <f>IF(H3="No","Complete",IF(F6="No","Complete",IF(COUNTIF(K14:K32,"Incomplete")&gt;0,"Incomplete","Complete")))</f>
        <v>Complete</v>
      </c>
      <c r="L7" s="53"/>
      <c r="M7" s="53"/>
    </row>
    <row r="8" spans="1:13" ht="15.75" x14ac:dyDescent="0.25">
      <c r="A8" s="511"/>
      <c r="B8" s="68" t="s">
        <v>736</v>
      </c>
      <c r="C8" s="474"/>
      <c r="D8" s="474"/>
      <c r="E8" s="474"/>
      <c r="F8" s="474"/>
      <c r="G8" s="474"/>
      <c r="H8" s="474"/>
      <c r="I8" s="475"/>
      <c r="J8" s="53"/>
      <c r="K8" s="53"/>
      <c r="L8" s="53"/>
      <c r="M8" s="53"/>
    </row>
    <row r="9" spans="1:13" ht="15.75" x14ac:dyDescent="0.25">
      <c r="A9" s="512"/>
      <c r="B9" s="439"/>
      <c r="C9" s="513"/>
      <c r="D9" s="513"/>
      <c r="E9" s="513"/>
      <c r="F9" s="513"/>
      <c r="G9" s="513"/>
      <c r="H9" s="513"/>
      <c r="I9" s="478"/>
      <c r="J9" s="53"/>
      <c r="K9" s="53"/>
      <c r="L9" s="53"/>
      <c r="M9" s="53"/>
    </row>
    <row r="10" spans="1:13" ht="15.75" x14ac:dyDescent="0.25">
      <c r="A10" s="512"/>
      <c r="B10" s="349" t="s">
        <v>678</v>
      </c>
      <c r="C10" s="477"/>
      <c r="D10" s="349" t="s">
        <v>679</v>
      </c>
      <c r="E10" s="349"/>
      <c r="F10" s="349" t="s">
        <v>680</v>
      </c>
      <c r="G10" s="349"/>
      <c r="H10" s="349" t="s">
        <v>681</v>
      </c>
      <c r="I10" s="514"/>
      <c r="J10" s="53"/>
      <c r="K10" s="53"/>
      <c r="L10" s="53"/>
      <c r="M10" s="53"/>
    </row>
    <row r="11" spans="1:13" ht="52.5" customHeight="1" x14ac:dyDescent="0.25">
      <c r="A11" s="497"/>
      <c r="B11" s="481" t="s">
        <v>737</v>
      </c>
      <c r="C11" s="480"/>
      <c r="D11" s="114" t="s">
        <v>738</v>
      </c>
      <c r="E11" s="114"/>
      <c r="F11" s="114" t="s">
        <v>739</v>
      </c>
      <c r="G11" s="480"/>
      <c r="H11" s="171" t="s">
        <v>740</v>
      </c>
      <c r="I11" s="482"/>
      <c r="J11" s="53"/>
      <c r="K11" s="53"/>
      <c r="L11" s="53"/>
      <c r="M11" s="53"/>
    </row>
    <row r="12" spans="1:13" ht="16.5" thickBot="1" x14ac:dyDescent="0.3">
      <c r="A12" s="377"/>
      <c r="B12" s="378"/>
      <c r="C12" s="378"/>
      <c r="D12" s="378"/>
      <c r="E12" s="378"/>
      <c r="F12" s="378"/>
      <c r="G12" s="378"/>
      <c r="H12" s="75"/>
      <c r="I12" s="189"/>
      <c r="J12" s="53"/>
      <c r="K12" s="53"/>
      <c r="L12" s="53"/>
      <c r="M12" s="53"/>
    </row>
    <row r="13" spans="1:13" ht="15.75" x14ac:dyDescent="0.25">
      <c r="A13" s="498"/>
      <c r="B13" s="484"/>
      <c r="C13" s="484"/>
      <c r="D13" s="484"/>
      <c r="E13" s="484"/>
      <c r="F13" s="484"/>
      <c r="G13" s="484"/>
      <c r="H13" s="485"/>
      <c r="I13" s="486"/>
      <c r="J13" s="53"/>
      <c r="K13" s="53"/>
      <c r="L13" s="53"/>
      <c r="M13" s="53"/>
    </row>
    <row r="14" spans="1:13" ht="15.75" x14ac:dyDescent="0.25">
      <c r="A14" s="515"/>
      <c r="B14" s="701">
        <v>1</v>
      </c>
      <c r="C14" s="463"/>
      <c r="D14" s="702"/>
      <c r="E14" s="463"/>
      <c r="F14" s="702" t="s">
        <v>741</v>
      </c>
      <c r="G14" s="463"/>
      <c r="H14" s="703"/>
      <c r="I14" s="464"/>
      <c r="J14" s="53"/>
      <c r="K14" s="342" t="str">
        <f>IF(F6="No", "Complete",IF(OR(D14="",F14=""),"Incomplete","Complete"))</f>
        <v>Complete</v>
      </c>
      <c r="L14" s="53"/>
      <c r="M14" s="53"/>
    </row>
    <row r="15" spans="1:13" ht="15.75" x14ac:dyDescent="0.25">
      <c r="A15" s="515"/>
      <c r="B15" s="701">
        <v>2</v>
      </c>
      <c r="C15" s="463"/>
      <c r="D15" s="702"/>
      <c r="E15" s="463"/>
      <c r="F15" s="702" t="s">
        <v>741</v>
      </c>
      <c r="G15" s="463"/>
      <c r="H15" s="702"/>
      <c r="I15" s="464"/>
      <c r="J15" s="53"/>
      <c r="K15" s="342"/>
      <c r="L15" s="53"/>
      <c r="M15" s="53"/>
    </row>
    <row r="16" spans="1:13" ht="15.75" x14ac:dyDescent="0.25">
      <c r="A16" s="515"/>
      <c r="B16" s="701">
        <v>3</v>
      </c>
      <c r="C16" s="463"/>
      <c r="D16" s="702"/>
      <c r="E16" s="463"/>
      <c r="F16" s="702" t="s">
        <v>741</v>
      </c>
      <c r="G16" s="463"/>
      <c r="H16" s="702"/>
      <c r="I16" s="464"/>
      <c r="J16" s="53"/>
      <c r="K16" s="342"/>
      <c r="L16" s="53"/>
      <c r="M16" s="53"/>
    </row>
    <row r="17" spans="1:13" ht="15.75" x14ac:dyDescent="0.25">
      <c r="A17" s="515"/>
      <c r="B17" s="701">
        <v>4</v>
      </c>
      <c r="C17" s="463"/>
      <c r="D17" s="702"/>
      <c r="E17" s="463"/>
      <c r="F17" s="702" t="s">
        <v>741</v>
      </c>
      <c r="G17" s="463"/>
      <c r="H17" s="702"/>
      <c r="I17" s="464"/>
      <c r="J17" s="53"/>
      <c r="K17" s="342"/>
      <c r="L17" s="53"/>
      <c r="M17" s="53"/>
    </row>
    <row r="18" spans="1:13" ht="15.75" x14ac:dyDescent="0.25">
      <c r="A18" s="515"/>
      <c r="B18" s="701">
        <v>5</v>
      </c>
      <c r="C18" s="463"/>
      <c r="D18" s="702"/>
      <c r="E18" s="463"/>
      <c r="F18" s="702" t="s">
        <v>741</v>
      </c>
      <c r="G18" s="463"/>
      <c r="H18" s="702"/>
      <c r="I18" s="464"/>
      <c r="J18" s="53"/>
      <c r="K18" s="342"/>
      <c r="L18" s="53"/>
      <c r="M18" s="53"/>
    </row>
    <row r="19" spans="1:13" ht="15.75" x14ac:dyDescent="0.25">
      <c r="A19" s="515"/>
      <c r="B19" s="701">
        <v>6</v>
      </c>
      <c r="C19" s="463"/>
      <c r="D19" s="702"/>
      <c r="E19" s="463"/>
      <c r="F19" s="702" t="s">
        <v>741</v>
      </c>
      <c r="G19" s="463"/>
      <c r="H19" s="702"/>
      <c r="I19" s="464"/>
      <c r="J19" s="53"/>
      <c r="K19" s="342"/>
      <c r="L19" s="53"/>
      <c r="M19" s="53"/>
    </row>
    <row r="20" spans="1:13" ht="15.75" x14ac:dyDescent="0.25">
      <c r="A20" s="515"/>
      <c r="B20" s="701">
        <v>7</v>
      </c>
      <c r="C20" s="463"/>
      <c r="D20" s="702"/>
      <c r="E20" s="463"/>
      <c r="F20" s="702" t="s">
        <v>741</v>
      </c>
      <c r="G20" s="463"/>
      <c r="H20" s="702"/>
      <c r="I20" s="464"/>
      <c r="J20" s="53"/>
      <c r="K20" s="342"/>
      <c r="L20" s="53"/>
      <c r="M20" s="53"/>
    </row>
    <row r="21" spans="1:13" ht="15.75" x14ac:dyDescent="0.25">
      <c r="A21" s="515"/>
      <c r="B21" s="701">
        <v>8</v>
      </c>
      <c r="C21" s="463"/>
      <c r="D21" s="702"/>
      <c r="E21" s="463"/>
      <c r="F21" s="702" t="s">
        <v>741</v>
      </c>
      <c r="G21" s="463"/>
      <c r="H21" s="702"/>
      <c r="I21" s="464"/>
      <c r="J21" s="53"/>
      <c r="K21" s="342"/>
      <c r="L21" s="53"/>
      <c r="M21" s="53"/>
    </row>
    <row r="22" spans="1:13" ht="15.75" x14ac:dyDescent="0.25">
      <c r="A22" s="515"/>
      <c r="B22" s="701">
        <v>9</v>
      </c>
      <c r="C22" s="463"/>
      <c r="D22" s="702"/>
      <c r="E22" s="463"/>
      <c r="F22" s="702" t="s">
        <v>741</v>
      </c>
      <c r="G22" s="463"/>
      <c r="H22" s="702"/>
      <c r="I22" s="464"/>
      <c r="J22" s="53"/>
      <c r="K22" s="342"/>
      <c r="L22" s="53"/>
      <c r="M22" s="53"/>
    </row>
    <row r="23" spans="1:13" ht="15.75" x14ac:dyDescent="0.25">
      <c r="A23" s="515"/>
      <c r="B23" s="701">
        <v>10</v>
      </c>
      <c r="C23" s="463"/>
      <c r="D23" s="702"/>
      <c r="E23" s="463"/>
      <c r="F23" s="702" t="s">
        <v>741</v>
      </c>
      <c r="G23" s="463"/>
      <c r="H23" s="702"/>
      <c r="I23" s="464"/>
      <c r="J23" s="53"/>
      <c r="K23" s="342"/>
      <c r="L23" s="53"/>
      <c r="M23" s="53"/>
    </row>
    <row r="24" spans="1:13" ht="15.75" x14ac:dyDescent="0.25">
      <c r="A24" s="515"/>
      <c r="B24" s="701">
        <v>11</v>
      </c>
      <c r="C24" s="463"/>
      <c r="D24" s="702"/>
      <c r="E24" s="463"/>
      <c r="F24" s="702" t="s">
        <v>741</v>
      </c>
      <c r="G24" s="463"/>
      <c r="H24" s="703"/>
      <c r="I24" s="464"/>
      <c r="J24" s="53"/>
      <c r="K24" s="342"/>
      <c r="L24" s="53"/>
      <c r="M24" s="53"/>
    </row>
    <row r="25" spans="1:13" ht="15.75" x14ac:dyDescent="0.25">
      <c r="A25" s="515"/>
      <c r="B25" s="701">
        <v>12</v>
      </c>
      <c r="C25" s="463"/>
      <c r="D25" s="702"/>
      <c r="E25" s="463"/>
      <c r="F25" s="702" t="s">
        <v>741</v>
      </c>
      <c r="G25" s="463"/>
      <c r="H25" s="703"/>
      <c r="I25" s="464"/>
      <c r="J25" s="53"/>
      <c r="K25" s="342"/>
      <c r="L25" s="53"/>
      <c r="M25" s="53"/>
    </row>
    <row r="26" spans="1:13" ht="15.75" x14ac:dyDescent="0.25">
      <c r="A26" s="515"/>
      <c r="B26" s="701">
        <v>13</v>
      </c>
      <c r="C26" s="463"/>
      <c r="D26" s="702"/>
      <c r="E26" s="463"/>
      <c r="F26" s="702" t="s">
        <v>741</v>
      </c>
      <c r="G26" s="463"/>
      <c r="H26" s="703"/>
      <c r="I26" s="464"/>
      <c r="J26" s="53"/>
      <c r="K26" s="342"/>
      <c r="L26" s="53"/>
      <c r="M26" s="53"/>
    </row>
    <row r="27" spans="1:13" ht="15.75" x14ac:dyDescent="0.25">
      <c r="A27" s="515"/>
      <c r="B27" s="701">
        <v>14</v>
      </c>
      <c r="C27" s="463"/>
      <c r="D27" s="702"/>
      <c r="E27" s="463"/>
      <c r="F27" s="702" t="s">
        <v>741</v>
      </c>
      <c r="G27" s="463"/>
      <c r="H27" s="703"/>
      <c r="I27" s="464"/>
      <c r="J27" s="53"/>
      <c r="K27" s="342"/>
      <c r="L27" s="53"/>
      <c r="M27" s="53"/>
    </row>
    <row r="28" spans="1:13" ht="15.75" x14ac:dyDescent="0.25">
      <c r="A28" s="515"/>
      <c r="B28" s="701">
        <v>15</v>
      </c>
      <c r="C28" s="463"/>
      <c r="D28" s="702"/>
      <c r="E28" s="463"/>
      <c r="F28" s="702" t="s">
        <v>741</v>
      </c>
      <c r="G28" s="463"/>
      <c r="H28" s="703"/>
      <c r="I28" s="464"/>
      <c r="J28" s="53"/>
      <c r="K28" s="342"/>
      <c r="L28" s="53"/>
      <c r="M28" s="53"/>
    </row>
    <row r="29" spans="1:13" ht="16.5" thickBot="1" x14ac:dyDescent="0.3">
      <c r="A29" s="516"/>
      <c r="B29" s="489"/>
      <c r="C29" s="489"/>
      <c r="D29" s="489"/>
      <c r="E29" s="489"/>
      <c r="F29" s="489"/>
      <c r="G29" s="489"/>
      <c r="H29" s="489"/>
      <c r="I29" s="490"/>
      <c r="J29" s="53"/>
      <c r="K29" s="53"/>
      <c r="L29" s="53"/>
      <c r="M29" s="53"/>
    </row>
    <row r="30" spans="1:13" ht="15.75" x14ac:dyDescent="0.25">
      <c r="A30" s="53"/>
      <c r="B30" s="53"/>
      <c r="C30" s="53"/>
      <c r="D30" s="53"/>
      <c r="E30" s="53"/>
      <c r="F30" s="53"/>
      <c r="G30" s="53"/>
      <c r="H30" s="53"/>
      <c r="I30" s="53"/>
      <c r="J30" s="53"/>
      <c r="K30" s="53"/>
      <c r="L30" s="53"/>
      <c r="M30" s="53"/>
    </row>
    <row r="31" spans="1:13" ht="14.25" customHeight="1" x14ac:dyDescent="0.25">
      <c r="A31" s="53"/>
      <c r="B31" s="96" t="s">
        <v>661</v>
      </c>
      <c r="C31" s="53"/>
      <c r="D31" s="53"/>
      <c r="E31" s="53"/>
      <c r="F31" s="53"/>
      <c r="G31" s="53"/>
      <c r="H31" s="53"/>
      <c r="I31" s="53"/>
      <c r="J31" s="53"/>
      <c r="K31" s="53"/>
      <c r="L31" s="53"/>
      <c r="M31" s="53"/>
    </row>
    <row r="32" spans="1:13" ht="15.75" x14ac:dyDescent="0.25">
      <c r="A32" s="53"/>
      <c r="B32" s="53"/>
      <c r="C32" s="53"/>
      <c r="D32" s="53"/>
      <c r="E32" s="53"/>
      <c r="F32" s="53"/>
      <c r="G32" s="53"/>
      <c r="H32" s="53"/>
      <c r="I32" s="53"/>
      <c r="J32" s="53"/>
      <c r="K32" s="53"/>
      <c r="L32" s="53"/>
      <c r="M32" s="53"/>
    </row>
    <row r="33" spans="1:13" ht="15.75" x14ac:dyDescent="0.25">
      <c r="A33" s="53"/>
      <c r="B33" s="53"/>
      <c r="C33" s="53"/>
      <c r="D33" s="53"/>
      <c r="E33" s="53"/>
      <c r="F33" s="53"/>
      <c r="G33" s="53"/>
      <c r="H33" s="53"/>
      <c r="I33" s="53"/>
      <c r="J33" s="53"/>
      <c r="K33" s="53"/>
      <c r="L33" s="53"/>
      <c r="M33" s="53"/>
    </row>
    <row r="34" spans="1:13" ht="15.75" x14ac:dyDescent="0.25">
      <c r="A34" s="53"/>
      <c r="B34" s="53"/>
      <c r="C34" s="53"/>
      <c r="D34" s="53"/>
      <c r="E34" s="53"/>
      <c r="F34" s="53"/>
      <c r="G34" s="53"/>
      <c r="H34" s="53"/>
      <c r="I34" s="53"/>
      <c r="J34" s="53"/>
      <c r="K34" s="53"/>
      <c r="L34" s="53"/>
      <c r="M34" s="53"/>
    </row>
    <row r="35" spans="1:13" ht="15.75" x14ac:dyDescent="0.25">
      <c r="A35" s="53"/>
      <c r="B35" s="53"/>
      <c r="C35" s="53"/>
      <c r="D35" s="53"/>
      <c r="E35" s="53"/>
      <c r="F35" s="53"/>
      <c r="G35" s="53"/>
      <c r="H35" s="53"/>
      <c r="I35" s="53"/>
      <c r="J35" s="53"/>
      <c r="K35" s="53"/>
      <c r="L35" s="53"/>
      <c r="M35" s="53"/>
    </row>
    <row r="36" spans="1:13" ht="15.75" x14ac:dyDescent="0.25">
      <c r="A36" s="53"/>
      <c r="B36" s="53"/>
      <c r="C36" s="53"/>
      <c r="D36" s="53"/>
      <c r="E36" s="53"/>
      <c r="F36" s="53"/>
      <c r="G36" s="53"/>
      <c r="H36" s="53"/>
      <c r="I36" s="53"/>
      <c r="J36" s="53"/>
      <c r="K36" s="53"/>
      <c r="L36" s="53"/>
      <c r="M36" s="53"/>
    </row>
    <row r="37" spans="1:13" ht="15.75" x14ac:dyDescent="0.25">
      <c r="A37" s="53"/>
      <c r="B37" s="53"/>
      <c r="C37" s="53"/>
      <c r="D37" s="53"/>
      <c r="E37" s="53"/>
      <c r="F37" s="53"/>
      <c r="G37" s="53"/>
      <c r="H37" s="53"/>
      <c r="I37" s="53"/>
      <c r="J37" s="53"/>
      <c r="K37" s="53"/>
      <c r="L37" s="53"/>
      <c r="M37" s="53"/>
    </row>
    <row r="38" spans="1:13" ht="15.75" x14ac:dyDescent="0.25">
      <c r="A38" s="53"/>
      <c r="B38" s="53"/>
      <c r="C38" s="53"/>
      <c r="D38" s="53"/>
      <c r="E38" s="53"/>
      <c r="F38" s="53"/>
      <c r="G38" s="53"/>
      <c r="H38" s="53"/>
      <c r="I38" s="53"/>
      <c r="J38" s="53"/>
      <c r="K38" s="53"/>
      <c r="L38" s="53"/>
      <c r="M38" s="53"/>
    </row>
    <row r="39" spans="1:13" ht="15.75" x14ac:dyDescent="0.25">
      <c r="A39" s="53"/>
      <c r="B39" s="53"/>
      <c r="C39" s="53"/>
      <c r="D39" s="53"/>
      <c r="E39" s="53"/>
      <c r="F39" s="53"/>
      <c r="G39" s="53"/>
      <c r="H39" s="53"/>
      <c r="I39" s="53"/>
      <c r="J39" s="53"/>
      <c r="K39" s="53"/>
      <c r="L39" s="53"/>
      <c r="M39" s="53"/>
    </row>
    <row r="40" spans="1:13" ht="15.75" x14ac:dyDescent="0.25">
      <c r="A40" s="53"/>
      <c r="B40" s="53"/>
      <c r="C40" s="53"/>
      <c r="D40" s="53"/>
      <c r="E40" s="53"/>
      <c r="F40" s="53"/>
      <c r="G40" s="53"/>
      <c r="H40" s="53"/>
      <c r="I40" s="53"/>
      <c r="J40" s="53"/>
      <c r="K40" s="53"/>
      <c r="L40" s="53"/>
      <c r="M40" s="53"/>
    </row>
    <row r="41" spans="1:13" ht="15.75" x14ac:dyDescent="0.25">
      <c r="A41" s="53"/>
      <c r="B41" s="53"/>
      <c r="C41" s="53"/>
      <c r="D41" s="53"/>
      <c r="E41" s="53"/>
      <c r="F41" s="53"/>
      <c r="G41" s="53"/>
      <c r="H41" s="53"/>
      <c r="I41" s="53"/>
      <c r="J41" s="53"/>
      <c r="K41" s="53"/>
      <c r="L41" s="53"/>
      <c r="M41" s="53"/>
    </row>
    <row r="42" spans="1:13" ht="15.75" x14ac:dyDescent="0.25">
      <c r="A42" s="53"/>
      <c r="B42" s="53"/>
      <c r="C42" s="53"/>
      <c r="D42" s="53"/>
      <c r="E42" s="53"/>
      <c r="F42" s="53"/>
      <c r="G42" s="53"/>
      <c r="H42" s="53"/>
      <c r="I42" s="53"/>
      <c r="J42" s="53"/>
      <c r="K42" s="53"/>
      <c r="L42" s="53"/>
      <c r="M42" s="53"/>
    </row>
    <row r="43" spans="1:13" ht="15.75" x14ac:dyDescent="0.25">
      <c r="A43" s="53"/>
      <c r="B43" s="53"/>
      <c r="C43" s="53"/>
      <c r="D43" s="53"/>
      <c r="E43" s="53"/>
      <c r="F43" s="53"/>
      <c r="G43" s="53"/>
      <c r="H43" s="53"/>
      <c r="I43" s="53"/>
      <c r="J43" s="53"/>
      <c r="K43" s="53"/>
      <c r="L43" s="53"/>
      <c r="M43" s="53"/>
    </row>
    <row r="44" spans="1:13" ht="15.75" x14ac:dyDescent="0.25">
      <c r="A44" s="53"/>
      <c r="B44" s="53"/>
      <c r="C44" s="53"/>
      <c r="D44" s="53"/>
      <c r="E44" s="53"/>
      <c r="F44" s="53"/>
      <c r="G44" s="53"/>
      <c r="H44" s="53"/>
      <c r="I44" s="53"/>
      <c r="J44" s="53"/>
      <c r="K44" s="53"/>
      <c r="L44" s="53"/>
      <c r="M44" s="53"/>
    </row>
    <row r="45" spans="1:13" ht="15.75" x14ac:dyDescent="0.25">
      <c r="A45" s="53"/>
      <c r="B45" s="53"/>
      <c r="C45" s="53"/>
      <c r="D45" s="53"/>
      <c r="E45" s="53"/>
      <c r="F45" s="53"/>
      <c r="G45" s="53"/>
      <c r="H45" s="53"/>
      <c r="I45" s="53"/>
      <c r="J45" s="53"/>
      <c r="K45" s="53"/>
      <c r="L45" s="53"/>
      <c r="M45" s="53"/>
    </row>
    <row r="46" spans="1:13" ht="15.75" x14ac:dyDescent="0.25">
      <c r="A46" s="53"/>
      <c r="B46" s="53"/>
      <c r="C46" s="53"/>
      <c r="D46" s="53"/>
      <c r="E46" s="53"/>
      <c r="F46" s="53"/>
      <c r="G46" s="53"/>
      <c r="H46" s="53"/>
      <c r="I46" s="53"/>
      <c r="J46" s="53"/>
      <c r="K46" s="53"/>
      <c r="L46" s="53"/>
      <c r="M46" s="53"/>
    </row>
    <row r="47" spans="1:13" ht="15.75" x14ac:dyDescent="0.25">
      <c r="A47" s="53"/>
      <c r="B47" s="53"/>
      <c r="C47" s="53"/>
      <c r="D47" s="53"/>
      <c r="E47" s="53"/>
      <c r="F47" s="53"/>
      <c r="G47" s="53"/>
      <c r="H47" s="53"/>
      <c r="I47" s="53"/>
      <c r="J47" s="53"/>
      <c r="K47" s="53"/>
      <c r="L47" s="53"/>
      <c r="M47" s="53"/>
    </row>
    <row r="48" spans="1:13" ht="15.75" x14ac:dyDescent="0.25">
      <c r="A48" s="53"/>
      <c r="B48" s="53"/>
      <c r="C48" s="53"/>
      <c r="D48" s="53"/>
      <c r="E48" s="53"/>
      <c r="F48" s="53"/>
      <c r="G48" s="53"/>
      <c r="H48" s="53"/>
      <c r="I48" s="53"/>
      <c r="J48" s="53"/>
      <c r="K48" s="53"/>
      <c r="L48" s="53"/>
      <c r="M48" s="53"/>
    </row>
    <row r="49" spans="1:13" ht="15.75" x14ac:dyDescent="0.25">
      <c r="A49" s="53"/>
      <c r="B49" s="53"/>
      <c r="C49" s="53"/>
      <c r="D49" s="53"/>
      <c r="E49" s="53"/>
      <c r="F49" s="53"/>
      <c r="G49" s="53"/>
      <c r="H49" s="53"/>
      <c r="I49" s="53"/>
      <c r="J49" s="53"/>
      <c r="K49" s="53"/>
      <c r="L49" s="53"/>
      <c r="M49" s="53"/>
    </row>
    <row r="50" spans="1:13" ht="15.75" x14ac:dyDescent="0.25">
      <c r="A50" s="53"/>
      <c r="B50" s="53"/>
      <c r="C50" s="53"/>
      <c r="D50" s="53"/>
      <c r="E50" s="53"/>
      <c r="F50" s="53"/>
      <c r="G50" s="53"/>
      <c r="H50" s="53"/>
      <c r="I50" s="53"/>
      <c r="J50" s="53"/>
      <c r="K50" s="53"/>
      <c r="L50" s="53"/>
      <c r="M50" s="53"/>
    </row>
    <row r="51" spans="1:13" ht="15.75" x14ac:dyDescent="0.25">
      <c r="A51" s="53"/>
      <c r="B51" s="53"/>
      <c r="C51" s="53"/>
      <c r="D51" s="53"/>
      <c r="E51" s="53"/>
      <c r="F51" s="53"/>
      <c r="G51" s="53"/>
      <c r="H51" s="53"/>
      <c r="I51" s="53"/>
      <c r="J51" s="53"/>
      <c r="K51" s="53"/>
      <c r="L51" s="53"/>
      <c r="M51" s="53"/>
    </row>
    <row r="52" spans="1:13" ht="15.75" x14ac:dyDescent="0.25">
      <c r="A52" s="53"/>
      <c r="B52" s="53"/>
      <c r="C52" s="53"/>
      <c r="D52" s="53"/>
      <c r="E52" s="53"/>
      <c r="F52" s="53"/>
      <c r="G52" s="53"/>
      <c r="H52" s="53"/>
      <c r="I52" s="53"/>
      <c r="J52" s="53"/>
      <c r="K52" s="53"/>
      <c r="L52" s="53"/>
      <c r="M52" s="53"/>
    </row>
    <row r="53" spans="1:13" ht="15.75" x14ac:dyDescent="0.25">
      <c r="A53" s="53"/>
      <c r="B53" s="53"/>
      <c r="C53" s="53"/>
      <c r="D53" s="53"/>
      <c r="E53" s="53"/>
      <c r="F53" s="53"/>
      <c r="G53" s="53"/>
      <c r="H53" s="53"/>
      <c r="I53" s="53"/>
      <c r="J53" s="53"/>
      <c r="K53" s="53"/>
      <c r="L53" s="53"/>
      <c r="M53" s="53"/>
    </row>
  </sheetData>
  <sheetProtection algorithmName="SHA-512" hashValue="RV0ogDRAcHLBrGrzJjBuzMToLLuDwfh+3Pg2Mo93EGwyZuvhT6qi7KlHIuphQusf30t0+kzEoWKGicAWNrvIsA==" saltValue="g/xYMFYrmNLV9EdJDqFAPQ==" spinCount="100000" sheet="1" objects="1" scenarios="1"/>
  <protectedRanges>
    <protectedRange sqref="H3" name="Range1_1"/>
  </protectedRanges>
  <mergeCells count="1">
    <mergeCell ref="B4:H4"/>
  </mergeCells>
  <conditionalFormatting sqref="B14:B28">
    <cfRule type="cellIs" dxfId="149" priority="61" operator="equal">
      <formula>"May be incomplete"</formula>
    </cfRule>
    <cfRule type="cellIs" dxfId="148" priority="62" operator="equal">
      <formula>"N/A"</formula>
    </cfRule>
    <cfRule type="cellIs" dxfId="147" priority="63" operator="equal">
      <formula>"Complete"</formula>
    </cfRule>
    <cfRule type="cellIs" dxfId="146" priority="64" operator="equal">
      <formula>"Incomplete"</formula>
    </cfRule>
  </conditionalFormatting>
  <conditionalFormatting sqref="D14:D28">
    <cfRule type="cellIs" dxfId="145" priority="29" operator="equal">
      <formula>"May be incomplete"</formula>
    </cfRule>
    <cfRule type="cellIs" dxfId="144" priority="30" operator="equal">
      <formula>"N/A"</formula>
    </cfRule>
    <cfRule type="cellIs" dxfId="143" priority="31" operator="equal">
      <formula>"Complete"</formula>
    </cfRule>
    <cfRule type="cellIs" dxfId="142" priority="32" operator="equal">
      <formula>"Incomplete"</formula>
    </cfRule>
  </conditionalFormatting>
  <conditionalFormatting sqref="F6">
    <cfRule type="cellIs" dxfId="141" priority="13" operator="equal">
      <formula>"May be incomplete"</formula>
    </cfRule>
    <cfRule type="cellIs" dxfId="140" priority="14" operator="equal">
      <formula>"N/A"</formula>
    </cfRule>
    <cfRule type="cellIs" dxfId="139" priority="15" operator="equal">
      <formula>"Complete"</formula>
    </cfRule>
    <cfRule type="cellIs" dxfId="138" priority="16" operator="equal">
      <formula>"Incomplete"</formula>
    </cfRule>
  </conditionalFormatting>
  <conditionalFormatting sqref="F14:F28">
    <cfRule type="cellIs" dxfId="137" priority="5" operator="equal">
      <formula>"May be incomplete"</formula>
    </cfRule>
    <cfRule type="cellIs" dxfId="136" priority="6" operator="equal">
      <formula>"N/A"</formula>
    </cfRule>
    <cfRule type="cellIs" dxfId="135" priority="7" operator="equal">
      <formula>"Complete"</formula>
    </cfRule>
    <cfRule type="cellIs" dxfId="134" priority="8" operator="equal">
      <formula>"Incomplete"</formula>
    </cfRule>
  </conditionalFormatting>
  <conditionalFormatting sqref="H3">
    <cfRule type="cellIs" dxfId="133" priority="1" operator="equal">
      <formula>"May be incomplete"</formula>
    </cfRule>
    <cfRule type="cellIs" dxfId="132" priority="2" operator="equal">
      <formula>"N/A"</formula>
    </cfRule>
    <cfRule type="cellIs" dxfId="131" priority="3" operator="equal">
      <formula>"Complete"</formula>
    </cfRule>
    <cfRule type="cellIs" dxfId="130" priority="4" operator="equal">
      <formula>"Incomplete"</formula>
    </cfRule>
  </conditionalFormatting>
  <conditionalFormatting sqref="H14:H28">
    <cfRule type="cellIs" dxfId="129" priority="37" operator="equal">
      <formula>"May be incomplete"</formula>
    </cfRule>
    <cfRule type="cellIs" dxfId="128" priority="38" operator="equal">
      <formula>"N/A"</formula>
    </cfRule>
    <cfRule type="cellIs" dxfId="127" priority="39" operator="equal">
      <formula>"Complete"</formula>
    </cfRule>
    <cfRule type="cellIs" dxfId="126" priority="40" operator="equal">
      <formula>"Incomplete"</formula>
    </cfRule>
  </conditionalFormatting>
  <conditionalFormatting sqref="K7">
    <cfRule type="cellIs" dxfId="125" priority="19" operator="equal">
      <formula>"Complete"</formula>
    </cfRule>
    <cfRule type="cellIs" dxfId="124" priority="20" operator="equal">
      <formula>"Incomplete"</formula>
    </cfRule>
  </conditionalFormatting>
  <conditionalFormatting sqref="K14:K28">
    <cfRule type="cellIs" dxfId="123" priority="17" operator="equal">
      <formula>"Complete"</formula>
    </cfRule>
    <cfRule type="cellIs" dxfId="122" priority="18" operator="equal">
      <formula>"Incomplete"</formula>
    </cfRule>
  </conditionalFormatting>
  <dataValidations count="2">
    <dataValidation allowBlank="1" showErrorMessage="1" sqref="H11 H3" xr:uid="{00000000-0002-0000-2100-000000000000}"/>
    <dataValidation type="list" allowBlank="1" showInputMessage="1" showErrorMessage="1" sqref="F6" xr:uid="{00000000-0002-0000-2100-000001000000}">
      <formula1>"Yes, No"</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0070C0"/>
  </sheetPr>
  <dimension ref="A1:BW120"/>
  <sheetViews>
    <sheetView workbookViewId="0"/>
  </sheetViews>
  <sheetFormatPr defaultColWidth="0" defaultRowHeight="14.25" zeroHeight="1" x14ac:dyDescent="0.2"/>
  <cols>
    <col min="1" max="1" width="1.375" customWidth="1"/>
    <col min="2" max="2" width="16.625" customWidth="1"/>
    <col min="3" max="3" width="1.125" customWidth="1"/>
    <col min="4" max="4" width="23.125" customWidth="1"/>
    <col min="5" max="5" width="1.125" customWidth="1"/>
    <col min="6" max="6" width="23.125" customWidth="1"/>
    <col min="7" max="7" width="1.125" customWidth="1"/>
    <col min="8" max="8" width="23.125" customWidth="1"/>
    <col min="9" max="9" width="1.125" customWidth="1"/>
    <col min="10" max="10" width="19.375" customWidth="1"/>
    <col min="11" max="11" width="1.125" customWidth="1"/>
    <col min="12" max="12" width="51.375" customWidth="1"/>
    <col min="13" max="13" width="1.125" customWidth="1"/>
    <col min="14" max="14" width="45.5" customWidth="1"/>
    <col min="15" max="15" width="1.125" customWidth="1"/>
    <col min="16" max="16" width="45.625" customWidth="1"/>
    <col min="17" max="17" width="1.125" customWidth="1"/>
    <col min="18" max="18" width="13.625" customWidth="1"/>
    <col min="19" max="19" width="1.125" customWidth="1"/>
    <col min="20" max="20" width="21.625" customWidth="1"/>
    <col min="21" max="21" width="1.125" customWidth="1"/>
    <col min="22" max="22" width="27.375" customWidth="1"/>
    <col min="23" max="23" width="1.125" customWidth="1"/>
    <col min="24" max="24" width="27.375" customWidth="1"/>
    <col min="25" max="25" width="1.125" customWidth="1"/>
    <col min="26" max="26" width="27.375" customWidth="1"/>
    <col min="27" max="27" width="1.125" customWidth="1"/>
    <col min="28" max="28" width="80.625" customWidth="1"/>
    <col min="29" max="30" width="1.125" customWidth="1"/>
    <col min="31" max="35" width="8.125" customWidth="1"/>
    <col min="36" max="75" width="8.125" hidden="1"/>
  </cols>
  <sheetData>
    <row r="1" spans="1:35" ht="15.75" x14ac:dyDescent="0.25">
      <c r="A1" s="59">
        <v>1</v>
      </c>
      <c r="B1" s="59"/>
      <c r="C1" s="59"/>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row>
    <row r="2" spans="1:35" ht="42" customHeight="1" x14ac:dyDescent="0.25">
      <c r="A2" s="60"/>
      <c r="B2" s="60"/>
      <c r="C2" s="60"/>
      <c r="D2" s="60"/>
      <c r="E2" s="60"/>
      <c r="F2" s="333" t="s">
        <v>85</v>
      </c>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row>
    <row r="3" spans="1:35" ht="18.600000000000001" customHeight="1" x14ac:dyDescent="0.25">
      <c r="A3" s="211"/>
      <c r="B3" s="96" t="s">
        <v>638</v>
      </c>
      <c r="C3" s="491"/>
      <c r="D3" s="158"/>
      <c r="E3" s="211"/>
      <c r="F3" s="211"/>
      <c r="G3" s="211"/>
      <c r="H3" s="688" t="str">
        <f>IF(Control!$E$6="Biannual", "No","Yes")</f>
        <v>Yes</v>
      </c>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row>
    <row r="4" spans="1:35" ht="15.75" x14ac:dyDescent="0.25">
      <c r="A4" s="211"/>
      <c r="B4" s="53" t="str">
        <f>Index!D107</f>
        <v>Information on security provided directly or indirectly to guarantee that the insurer's insurance obligations are met, and security provided for other purposes.</v>
      </c>
      <c r="C4" s="158"/>
      <c r="D4" s="158"/>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row>
    <row r="5" spans="1:35" ht="11.45" customHeight="1" x14ac:dyDescent="0.2">
      <c r="A5" s="211"/>
      <c r="B5" s="427"/>
      <c r="C5" s="158"/>
      <c r="D5" s="158"/>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row>
    <row r="6" spans="1:35" ht="15.75" x14ac:dyDescent="0.25">
      <c r="A6" s="211"/>
      <c r="B6" s="448" t="s">
        <v>742</v>
      </c>
      <c r="C6" s="158"/>
      <c r="D6" s="158"/>
      <c r="E6" s="211"/>
      <c r="F6" s="704" t="s">
        <v>361</v>
      </c>
      <c r="G6" s="211"/>
      <c r="H6" s="211"/>
      <c r="I6" s="211"/>
      <c r="J6" s="211"/>
      <c r="K6" s="211"/>
      <c r="L6" s="211"/>
      <c r="M6" s="211"/>
      <c r="N6" s="211"/>
      <c r="O6" s="211"/>
      <c r="P6" s="211"/>
      <c r="Q6" s="211"/>
      <c r="R6" s="211"/>
      <c r="S6" s="211"/>
      <c r="T6" s="211"/>
      <c r="U6" s="211"/>
      <c r="V6" s="211"/>
      <c r="W6" s="211"/>
      <c r="X6" s="211"/>
      <c r="Y6" s="211"/>
      <c r="Z6" s="211"/>
      <c r="AA6" s="211"/>
      <c r="AB6" s="211"/>
      <c r="AC6" s="211"/>
      <c r="AD6" s="211"/>
      <c r="AE6" s="342" t="str">
        <f>IF(H3="No","Complete",IF(F6="No","Complete",IF(COUNTIF(AE13:AE31,"Incomplete")&gt;0,"Incomplete","Complete")))</f>
        <v>Complete</v>
      </c>
      <c r="AF6" s="211"/>
      <c r="AG6" s="211"/>
      <c r="AH6" s="211"/>
      <c r="AI6" s="211"/>
    </row>
    <row r="7" spans="1:35" ht="10.5" customHeight="1" thickBot="1" x14ac:dyDescent="0.25">
      <c r="A7" s="211"/>
      <c r="B7" s="427"/>
      <c r="C7" s="158"/>
      <c r="D7" s="158"/>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row>
    <row r="8" spans="1:35" ht="15.75" x14ac:dyDescent="0.25">
      <c r="A8" s="511"/>
      <c r="B8" s="68" t="s">
        <v>743</v>
      </c>
      <c r="C8" s="474"/>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5"/>
      <c r="AD8" s="53"/>
      <c r="AE8" s="53"/>
      <c r="AF8" s="53"/>
      <c r="AG8" s="53"/>
      <c r="AH8" s="53"/>
      <c r="AI8" s="53"/>
    </row>
    <row r="9" spans="1:35" ht="15.75" x14ac:dyDescent="0.25">
      <c r="A9" s="512"/>
      <c r="B9" s="349" t="s">
        <v>678</v>
      </c>
      <c r="C9" s="477"/>
      <c r="D9" s="349" t="s">
        <v>679</v>
      </c>
      <c r="E9" s="477"/>
      <c r="F9" s="349" t="s">
        <v>680</v>
      </c>
      <c r="G9" s="477"/>
      <c r="H9" s="349" t="s">
        <v>681</v>
      </c>
      <c r="I9" s="477"/>
      <c r="J9" s="349" t="s">
        <v>682</v>
      </c>
      <c r="K9" s="477"/>
      <c r="L9" s="349" t="s">
        <v>683</v>
      </c>
      <c r="M9" s="477"/>
      <c r="N9" s="349" t="s">
        <v>707</v>
      </c>
      <c r="O9" s="477"/>
      <c r="P9" s="349" t="s">
        <v>708</v>
      </c>
      <c r="Q9" s="477"/>
      <c r="R9" s="349" t="s">
        <v>709</v>
      </c>
      <c r="S9" s="477"/>
      <c r="T9" s="349" t="s">
        <v>710</v>
      </c>
      <c r="U9" s="477"/>
      <c r="V9" s="349" t="s">
        <v>711</v>
      </c>
      <c r="W9" s="477"/>
      <c r="X9" s="349" t="s">
        <v>712</v>
      </c>
      <c r="Y9" s="477"/>
      <c r="Z9" s="349" t="s">
        <v>744</v>
      </c>
      <c r="AA9" s="477"/>
      <c r="AB9" s="349"/>
      <c r="AC9" s="478"/>
      <c r="AD9" s="53"/>
      <c r="AE9" s="53"/>
      <c r="AF9" s="53"/>
      <c r="AG9" s="53"/>
      <c r="AH9" s="53"/>
      <c r="AI9" s="53"/>
    </row>
    <row r="10" spans="1:35" ht="40.700000000000003" customHeight="1" x14ac:dyDescent="0.25">
      <c r="A10" s="497"/>
      <c r="B10" s="171" t="s">
        <v>745</v>
      </c>
      <c r="C10" s="480"/>
      <c r="D10" s="171" t="s">
        <v>746</v>
      </c>
      <c r="E10" s="481"/>
      <c r="F10" s="171" t="s">
        <v>747</v>
      </c>
      <c r="G10" s="481"/>
      <c r="H10" s="171" t="s">
        <v>748</v>
      </c>
      <c r="I10" s="481"/>
      <c r="J10" s="171" t="s">
        <v>749</v>
      </c>
      <c r="K10" s="481"/>
      <c r="L10" s="171" t="s">
        <v>750</v>
      </c>
      <c r="M10" s="481"/>
      <c r="N10" s="171" t="s">
        <v>751</v>
      </c>
      <c r="O10" s="481"/>
      <c r="P10" s="171" t="s">
        <v>752</v>
      </c>
      <c r="Q10" s="481"/>
      <c r="R10" s="171" t="s">
        <v>753</v>
      </c>
      <c r="S10" s="481"/>
      <c r="T10" s="171" t="s">
        <v>754</v>
      </c>
      <c r="U10" s="481"/>
      <c r="V10" s="171" t="s">
        <v>755</v>
      </c>
      <c r="W10" s="481"/>
      <c r="X10" s="171" t="s">
        <v>756</v>
      </c>
      <c r="Y10" s="481"/>
      <c r="Z10" s="171" t="s">
        <v>757</v>
      </c>
      <c r="AA10" s="481"/>
      <c r="AB10" s="171" t="s">
        <v>758</v>
      </c>
      <c r="AC10" s="482"/>
      <c r="AD10" s="440"/>
      <c r="AE10" s="440"/>
      <c r="AF10" s="440"/>
      <c r="AG10" s="440"/>
      <c r="AH10" s="440"/>
      <c r="AI10" s="440"/>
    </row>
    <row r="11" spans="1:35" ht="15.75" customHeight="1" thickBot="1" x14ac:dyDescent="0.3">
      <c r="A11" s="377"/>
      <c r="B11" s="378"/>
      <c r="C11" s="378"/>
      <c r="D11" s="75"/>
      <c r="E11" s="75"/>
      <c r="F11" s="75"/>
      <c r="G11" s="75"/>
      <c r="H11" s="75"/>
      <c r="I11" s="75"/>
      <c r="J11" s="75" t="str">
        <f>"'000"</f>
        <v>'000</v>
      </c>
      <c r="K11" s="75"/>
      <c r="L11" s="75"/>
      <c r="M11" s="75"/>
      <c r="N11" s="75"/>
      <c r="O11" s="75"/>
      <c r="P11" s="75"/>
      <c r="Q11" s="75"/>
      <c r="R11" s="75"/>
      <c r="S11" s="75"/>
      <c r="T11" s="75"/>
      <c r="U11" s="75"/>
      <c r="V11" s="75"/>
      <c r="W11" s="75"/>
      <c r="X11" s="75"/>
      <c r="Y11" s="75"/>
      <c r="Z11" s="75"/>
      <c r="AA11" s="75"/>
      <c r="AB11" s="75"/>
      <c r="AC11" s="189"/>
      <c r="AD11" s="440"/>
      <c r="AE11" s="440"/>
      <c r="AF11" s="440"/>
      <c r="AG11" s="440"/>
      <c r="AH11" s="440"/>
      <c r="AI11" s="440"/>
    </row>
    <row r="12" spans="1:35" ht="6" customHeight="1" x14ac:dyDescent="0.25">
      <c r="A12" s="498"/>
      <c r="B12" s="484"/>
      <c r="C12" s="484"/>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6"/>
      <c r="AD12" s="211"/>
      <c r="AE12" s="440"/>
      <c r="AF12" s="440"/>
      <c r="AG12" s="440"/>
      <c r="AH12" s="440"/>
      <c r="AI12" s="440"/>
    </row>
    <row r="13" spans="1:35" ht="15.75" x14ac:dyDescent="0.25">
      <c r="A13" s="515"/>
      <c r="B13" s="705" t="s">
        <v>693</v>
      </c>
      <c r="C13" s="463"/>
      <c r="D13" s="704"/>
      <c r="E13" s="463"/>
      <c r="F13" s="704"/>
      <c r="G13" s="463"/>
      <c r="H13" s="704"/>
      <c r="I13" s="463"/>
      <c r="J13" s="678">
        <v>0</v>
      </c>
      <c r="K13" s="463"/>
      <c r="L13" s="704"/>
      <c r="M13" s="463"/>
      <c r="N13" s="704"/>
      <c r="O13" s="463"/>
      <c r="P13" s="704"/>
      <c r="Q13" s="463"/>
      <c r="R13" s="706"/>
      <c r="S13" s="463"/>
      <c r="T13" s="706"/>
      <c r="U13" s="463"/>
      <c r="V13" s="704"/>
      <c r="W13" s="463"/>
      <c r="X13" s="704"/>
      <c r="Y13" s="463"/>
      <c r="Z13" s="704"/>
      <c r="AA13" s="463"/>
      <c r="AB13" s="704"/>
      <c r="AC13" s="464"/>
      <c r="AD13" s="211"/>
      <c r="AE13" s="342" t="str">
        <f>IF(F6="No","Complete",IF(B13="Select","Incomplete","Complete"))</f>
        <v>Complete</v>
      </c>
      <c r="AF13" s="440"/>
      <c r="AG13" s="440"/>
      <c r="AH13" s="440"/>
      <c r="AI13" s="440"/>
    </row>
    <row r="14" spans="1:35" ht="15.75" x14ac:dyDescent="0.25">
      <c r="A14" s="515"/>
      <c r="B14" s="705" t="s">
        <v>693</v>
      </c>
      <c r="C14" s="463"/>
      <c r="D14" s="704"/>
      <c r="E14" s="463"/>
      <c r="F14" s="704"/>
      <c r="G14" s="463"/>
      <c r="H14" s="704"/>
      <c r="I14" s="463"/>
      <c r="J14" s="678">
        <v>0</v>
      </c>
      <c r="K14" s="463"/>
      <c r="L14" s="704"/>
      <c r="M14" s="463"/>
      <c r="N14" s="704"/>
      <c r="O14" s="463"/>
      <c r="P14" s="704"/>
      <c r="Q14" s="463"/>
      <c r="R14" s="706"/>
      <c r="S14" s="463"/>
      <c r="T14" s="706"/>
      <c r="U14" s="463"/>
      <c r="V14" s="704"/>
      <c r="W14" s="463"/>
      <c r="X14" s="704"/>
      <c r="Y14" s="463"/>
      <c r="Z14" s="704"/>
      <c r="AA14" s="463"/>
      <c r="AB14" s="704"/>
      <c r="AC14" s="464"/>
      <c r="AD14" s="211"/>
      <c r="AE14" s="211"/>
      <c r="AF14" s="211"/>
      <c r="AG14" s="211"/>
      <c r="AH14" s="211"/>
      <c r="AI14" s="211"/>
    </row>
    <row r="15" spans="1:35" ht="15.75" x14ac:dyDescent="0.25">
      <c r="A15" s="515"/>
      <c r="B15" s="705" t="s">
        <v>693</v>
      </c>
      <c r="C15" s="463"/>
      <c r="D15" s="704"/>
      <c r="E15" s="463"/>
      <c r="F15" s="704"/>
      <c r="G15" s="463"/>
      <c r="H15" s="704"/>
      <c r="I15" s="463"/>
      <c r="J15" s="678">
        <v>0</v>
      </c>
      <c r="K15" s="463"/>
      <c r="L15" s="704"/>
      <c r="M15" s="463"/>
      <c r="N15" s="704"/>
      <c r="O15" s="463"/>
      <c r="P15" s="704"/>
      <c r="Q15" s="463"/>
      <c r="R15" s="706"/>
      <c r="S15" s="463"/>
      <c r="T15" s="706"/>
      <c r="U15" s="463"/>
      <c r="V15" s="704"/>
      <c r="W15" s="463"/>
      <c r="X15" s="704"/>
      <c r="Y15" s="463"/>
      <c r="Z15" s="704"/>
      <c r="AA15" s="463"/>
      <c r="AB15" s="704"/>
      <c r="AC15" s="464"/>
      <c r="AD15" s="211"/>
      <c r="AE15" s="211"/>
      <c r="AF15" s="211"/>
      <c r="AG15" s="211"/>
      <c r="AH15" s="211"/>
      <c r="AI15" s="211"/>
    </row>
    <row r="16" spans="1:35" ht="15.75" x14ac:dyDescent="0.25">
      <c r="A16" s="515"/>
      <c r="B16" s="705" t="s">
        <v>693</v>
      </c>
      <c r="C16" s="463"/>
      <c r="D16" s="704"/>
      <c r="E16" s="463"/>
      <c r="F16" s="704"/>
      <c r="G16" s="463"/>
      <c r="H16" s="704"/>
      <c r="I16" s="463"/>
      <c r="J16" s="678">
        <v>0</v>
      </c>
      <c r="K16" s="463"/>
      <c r="L16" s="704"/>
      <c r="M16" s="463"/>
      <c r="N16" s="704"/>
      <c r="O16" s="463"/>
      <c r="P16" s="704"/>
      <c r="Q16" s="463"/>
      <c r="R16" s="706"/>
      <c r="S16" s="463"/>
      <c r="T16" s="706"/>
      <c r="U16" s="463"/>
      <c r="V16" s="704"/>
      <c r="W16" s="463"/>
      <c r="X16" s="704"/>
      <c r="Y16" s="463"/>
      <c r="Z16" s="704"/>
      <c r="AA16" s="463"/>
      <c r="AB16" s="704"/>
      <c r="AC16" s="464"/>
      <c r="AD16" s="211"/>
      <c r="AE16" s="211"/>
      <c r="AF16" s="211"/>
      <c r="AG16" s="211"/>
      <c r="AH16" s="211"/>
      <c r="AI16" s="211"/>
    </row>
    <row r="17" spans="1:35" ht="15.75" x14ac:dyDescent="0.25">
      <c r="A17" s="515"/>
      <c r="B17" s="705" t="s">
        <v>693</v>
      </c>
      <c r="C17" s="463"/>
      <c r="D17" s="704"/>
      <c r="E17" s="463"/>
      <c r="F17" s="704"/>
      <c r="G17" s="463"/>
      <c r="H17" s="704"/>
      <c r="I17" s="463"/>
      <c r="J17" s="678">
        <v>0</v>
      </c>
      <c r="K17" s="463"/>
      <c r="L17" s="704"/>
      <c r="M17" s="463"/>
      <c r="N17" s="704"/>
      <c r="O17" s="463"/>
      <c r="P17" s="704"/>
      <c r="Q17" s="463"/>
      <c r="R17" s="706"/>
      <c r="S17" s="463"/>
      <c r="T17" s="706"/>
      <c r="U17" s="463"/>
      <c r="V17" s="704"/>
      <c r="W17" s="463"/>
      <c r="X17" s="704"/>
      <c r="Y17" s="463"/>
      <c r="Z17" s="704"/>
      <c r="AA17" s="463"/>
      <c r="AB17" s="704"/>
      <c r="AC17" s="464"/>
      <c r="AD17" s="211"/>
      <c r="AE17" s="211"/>
      <c r="AF17" s="211"/>
      <c r="AG17" s="211"/>
      <c r="AH17" s="211"/>
      <c r="AI17" s="211"/>
    </row>
    <row r="18" spans="1:35" ht="15.75" x14ac:dyDescent="0.25">
      <c r="A18" s="515"/>
      <c r="B18" s="705" t="s">
        <v>693</v>
      </c>
      <c r="C18" s="463"/>
      <c r="D18" s="704"/>
      <c r="E18" s="463"/>
      <c r="F18" s="704"/>
      <c r="G18" s="463"/>
      <c r="H18" s="704"/>
      <c r="I18" s="463"/>
      <c r="J18" s="678">
        <v>0</v>
      </c>
      <c r="K18" s="463"/>
      <c r="L18" s="704"/>
      <c r="M18" s="463"/>
      <c r="N18" s="704"/>
      <c r="O18" s="463"/>
      <c r="P18" s="704"/>
      <c r="Q18" s="463"/>
      <c r="R18" s="706"/>
      <c r="S18" s="463"/>
      <c r="T18" s="706"/>
      <c r="U18" s="463"/>
      <c r="V18" s="704"/>
      <c r="W18" s="463"/>
      <c r="X18" s="704"/>
      <c r="Y18" s="463"/>
      <c r="Z18" s="704"/>
      <c r="AA18" s="463"/>
      <c r="AB18" s="704"/>
      <c r="AC18" s="464"/>
      <c r="AD18" s="211"/>
      <c r="AE18" s="211"/>
      <c r="AF18" s="211"/>
      <c r="AG18" s="211"/>
      <c r="AH18" s="211"/>
      <c r="AI18" s="211"/>
    </row>
    <row r="19" spans="1:35" ht="15.75" x14ac:dyDescent="0.25">
      <c r="A19" s="515"/>
      <c r="B19" s="705" t="s">
        <v>693</v>
      </c>
      <c r="C19" s="463"/>
      <c r="D19" s="704"/>
      <c r="E19" s="463"/>
      <c r="F19" s="704"/>
      <c r="G19" s="463"/>
      <c r="H19" s="704"/>
      <c r="I19" s="463"/>
      <c r="J19" s="678">
        <v>0</v>
      </c>
      <c r="K19" s="463"/>
      <c r="L19" s="704"/>
      <c r="M19" s="463"/>
      <c r="N19" s="704"/>
      <c r="O19" s="463"/>
      <c r="P19" s="704"/>
      <c r="Q19" s="463"/>
      <c r="R19" s="706"/>
      <c r="S19" s="463"/>
      <c r="T19" s="706"/>
      <c r="U19" s="463"/>
      <c r="V19" s="704"/>
      <c r="W19" s="463"/>
      <c r="X19" s="704"/>
      <c r="Y19" s="463"/>
      <c r="Z19" s="704"/>
      <c r="AA19" s="463"/>
      <c r="AB19" s="704"/>
      <c r="AC19" s="464"/>
      <c r="AD19" s="211"/>
      <c r="AE19" s="211"/>
      <c r="AF19" s="211"/>
      <c r="AG19" s="211"/>
      <c r="AH19" s="211"/>
      <c r="AI19" s="211"/>
    </row>
    <row r="20" spans="1:35" ht="15.75" x14ac:dyDescent="0.25">
      <c r="A20" s="515"/>
      <c r="B20" s="705" t="s">
        <v>693</v>
      </c>
      <c r="C20" s="463"/>
      <c r="D20" s="704"/>
      <c r="E20" s="463"/>
      <c r="F20" s="704"/>
      <c r="G20" s="463"/>
      <c r="H20" s="704"/>
      <c r="I20" s="463"/>
      <c r="J20" s="678">
        <v>0</v>
      </c>
      <c r="K20" s="463"/>
      <c r="L20" s="704"/>
      <c r="M20" s="463"/>
      <c r="N20" s="704"/>
      <c r="O20" s="463"/>
      <c r="P20" s="704"/>
      <c r="Q20" s="463"/>
      <c r="R20" s="706"/>
      <c r="S20" s="463"/>
      <c r="T20" s="706"/>
      <c r="U20" s="463"/>
      <c r="V20" s="704"/>
      <c r="W20" s="463"/>
      <c r="X20" s="704"/>
      <c r="Y20" s="463"/>
      <c r="Z20" s="704"/>
      <c r="AA20" s="463"/>
      <c r="AB20" s="704"/>
      <c r="AC20" s="464"/>
      <c r="AD20" s="211"/>
      <c r="AE20" s="211"/>
      <c r="AF20" s="211"/>
      <c r="AG20" s="211"/>
      <c r="AH20" s="211"/>
      <c r="AI20" s="211"/>
    </row>
    <row r="21" spans="1:35" ht="15.75" x14ac:dyDescent="0.25">
      <c r="A21" s="515"/>
      <c r="B21" s="705" t="s">
        <v>693</v>
      </c>
      <c r="C21" s="463"/>
      <c r="D21" s="704"/>
      <c r="E21" s="463"/>
      <c r="F21" s="704"/>
      <c r="G21" s="463"/>
      <c r="H21" s="704"/>
      <c r="I21" s="463"/>
      <c r="J21" s="678">
        <v>0</v>
      </c>
      <c r="K21" s="463"/>
      <c r="L21" s="704"/>
      <c r="M21" s="463"/>
      <c r="N21" s="704"/>
      <c r="O21" s="463"/>
      <c r="P21" s="704"/>
      <c r="Q21" s="463"/>
      <c r="R21" s="706"/>
      <c r="S21" s="463"/>
      <c r="T21" s="706"/>
      <c r="U21" s="463"/>
      <c r="V21" s="704"/>
      <c r="W21" s="463"/>
      <c r="X21" s="704"/>
      <c r="Y21" s="463"/>
      <c r="Z21" s="704"/>
      <c r="AA21" s="463"/>
      <c r="AB21" s="704"/>
      <c r="AC21" s="464"/>
      <c r="AD21" s="211"/>
      <c r="AE21" s="211"/>
      <c r="AF21" s="211"/>
      <c r="AG21" s="211"/>
      <c r="AH21" s="211"/>
      <c r="AI21" s="211"/>
    </row>
    <row r="22" spans="1:35" ht="15.75" x14ac:dyDescent="0.25">
      <c r="A22" s="515"/>
      <c r="B22" s="705" t="s">
        <v>693</v>
      </c>
      <c r="C22" s="463"/>
      <c r="D22" s="704"/>
      <c r="E22" s="463"/>
      <c r="F22" s="704"/>
      <c r="G22" s="463"/>
      <c r="H22" s="704"/>
      <c r="I22" s="463"/>
      <c r="J22" s="678">
        <v>0</v>
      </c>
      <c r="K22" s="463"/>
      <c r="L22" s="704"/>
      <c r="M22" s="463"/>
      <c r="N22" s="704"/>
      <c r="O22" s="463"/>
      <c r="P22" s="704"/>
      <c r="Q22" s="463"/>
      <c r="R22" s="706"/>
      <c r="S22" s="463"/>
      <c r="T22" s="706"/>
      <c r="U22" s="463"/>
      <c r="V22" s="704"/>
      <c r="W22" s="463"/>
      <c r="X22" s="704"/>
      <c r="Y22" s="463"/>
      <c r="Z22" s="704"/>
      <c r="AA22" s="463"/>
      <c r="AB22" s="704"/>
      <c r="AC22" s="464"/>
      <c r="AD22" s="211"/>
      <c r="AE22" s="211"/>
      <c r="AF22" s="211"/>
      <c r="AG22" s="211"/>
      <c r="AH22" s="211"/>
      <c r="AI22" s="211"/>
    </row>
    <row r="23" spans="1:35" ht="15.75" x14ac:dyDescent="0.25">
      <c r="A23" s="515"/>
      <c r="B23" s="705" t="s">
        <v>693</v>
      </c>
      <c r="C23" s="463"/>
      <c r="D23" s="704"/>
      <c r="E23" s="463"/>
      <c r="F23" s="704"/>
      <c r="G23" s="463"/>
      <c r="H23" s="704"/>
      <c r="I23" s="463"/>
      <c r="J23" s="678">
        <v>0</v>
      </c>
      <c r="K23" s="463"/>
      <c r="L23" s="704"/>
      <c r="M23" s="463"/>
      <c r="N23" s="704"/>
      <c r="O23" s="463"/>
      <c r="P23" s="704"/>
      <c r="Q23" s="463"/>
      <c r="R23" s="706"/>
      <c r="S23" s="463"/>
      <c r="T23" s="706"/>
      <c r="U23" s="463"/>
      <c r="V23" s="704"/>
      <c r="W23" s="463"/>
      <c r="X23" s="704"/>
      <c r="Y23" s="463"/>
      <c r="Z23" s="704"/>
      <c r="AA23" s="463"/>
      <c r="AB23" s="704"/>
      <c r="AC23" s="464"/>
      <c r="AD23" s="211"/>
      <c r="AE23" s="211"/>
      <c r="AF23" s="211"/>
      <c r="AG23" s="211"/>
      <c r="AH23" s="211"/>
      <c r="AI23" s="211"/>
    </row>
    <row r="24" spans="1:35" ht="15.75" x14ac:dyDescent="0.25">
      <c r="A24" s="515"/>
      <c r="B24" s="705" t="s">
        <v>693</v>
      </c>
      <c r="C24" s="463"/>
      <c r="D24" s="704"/>
      <c r="E24" s="463"/>
      <c r="F24" s="704"/>
      <c r="G24" s="463"/>
      <c r="H24" s="704"/>
      <c r="I24" s="463"/>
      <c r="J24" s="678">
        <v>0</v>
      </c>
      <c r="K24" s="463"/>
      <c r="L24" s="704"/>
      <c r="M24" s="463"/>
      <c r="N24" s="704"/>
      <c r="O24" s="463"/>
      <c r="P24" s="704"/>
      <c r="Q24" s="463"/>
      <c r="R24" s="706"/>
      <c r="S24" s="463"/>
      <c r="T24" s="706"/>
      <c r="U24" s="463"/>
      <c r="V24" s="704"/>
      <c r="W24" s="463"/>
      <c r="X24" s="704"/>
      <c r="Y24" s="463"/>
      <c r="Z24" s="704"/>
      <c r="AA24" s="463"/>
      <c r="AB24" s="704"/>
      <c r="AC24" s="464"/>
      <c r="AD24" s="211"/>
      <c r="AE24" s="211"/>
      <c r="AF24" s="211"/>
      <c r="AG24" s="211"/>
      <c r="AH24" s="211"/>
      <c r="AI24" s="211"/>
    </row>
    <row r="25" spans="1:35" ht="15.75" x14ac:dyDescent="0.25">
      <c r="A25" s="515"/>
      <c r="B25" s="705" t="s">
        <v>693</v>
      </c>
      <c r="C25" s="463"/>
      <c r="D25" s="704"/>
      <c r="E25" s="463"/>
      <c r="F25" s="704"/>
      <c r="G25" s="463"/>
      <c r="H25" s="704"/>
      <c r="I25" s="463"/>
      <c r="J25" s="678">
        <v>0</v>
      </c>
      <c r="K25" s="463"/>
      <c r="L25" s="704"/>
      <c r="M25" s="463"/>
      <c r="N25" s="704"/>
      <c r="O25" s="463"/>
      <c r="P25" s="704"/>
      <c r="Q25" s="463"/>
      <c r="R25" s="706"/>
      <c r="S25" s="463"/>
      <c r="T25" s="706"/>
      <c r="U25" s="463"/>
      <c r="V25" s="704"/>
      <c r="W25" s="463"/>
      <c r="X25" s="704"/>
      <c r="Y25" s="463"/>
      <c r="Z25" s="704"/>
      <c r="AA25" s="463"/>
      <c r="AB25" s="704"/>
      <c r="AC25" s="464"/>
      <c r="AD25" s="211"/>
      <c r="AE25" s="211"/>
      <c r="AF25" s="211"/>
      <c r="AG25" s="211"/>
      <c r="AH25" s="211"/>
      <c r="AI25" s="211"/>
    </row>
    <row r="26" spans="1:35" ht="15.75" x14ac:dyDescent="0.25">
      <c r="A26" s="515"/>
      <c r="B26" s="705" t="s">
        <v>693</v>
      </c>
      <c r="C26" s="463"/>
      <c r="D26" s="704"/>
      <c r="E26" s="463"/>
      <c r="F26" s="704"/>
      <c r="G26" s="463"/>
      <c r="H26" s="704"/>
      <c r="I26" s="463"/>
      <c r="J26" s="678">
        <v>0</v>
      </c>
      <c r="K26" s="463"/>
      <c r="L26" s="704"/>
      <c r="M26" s="463"/>
      <c r="N26" s="704"/>
      <c r="O26" s="463"/>
      <c r="P26" s="704"/>
      <c r="Q26" s="463"/>
      <c r="R26" s="706"/>
      <c r="S26" s="463"/>
      <c r="T26" s="706"/>
      <c r="U26" s="463"/>
      <c r="V26" s="704"/>
      <c r="W26" s="463"/>
      <c r="X26" s="704"/>
      <c r="Y26" s="463"/>
      <c r="Z26" s="704"/>
      <c r="AA26" s="463"/>
      <c r="AB26" s="704"/>
      <c r="AC26" s="464"/>
      <c r="AD26" s="211"/>
      <c r="AE26" s="211"/>
      <c r="AF26" s="211"/>
      <c r="AG26" s="211"/>
      <c r="AH26" s="211"/>
      <c r="AI26" s="211"/>
    </row>
    <row r="27" spans="1:35" ht="15.75" x14ac:dyDescent="0.25">
      <c r="A27" s="515"/>
      <c r="B27" s="705" t="s">
        <v>693</v>
      </c>
      <c r="C27" s="463"/>
      <c r="D27" s="704"/>
      <c r="E27" s="463"/>
      <c r="F27" s="704"/>
      <c r="G27" s="463"/>
      <c r="H27" s="704"/>
      <c r="I27" s="463"/>
      <c r="J27" s="678">
        <v>0</v>
      </c>
      <c r="K27" s="463"/>
      <c r="L27" s="704"/>
      <c r="M27" s="463"/>
      <c r="N27" s="704"/>
      <c r="O27" s="463"/>
      <c r="P27" s="704"/>
      <c r="Q27" s="463"/>
      <c r="R27" s="706"/>
      <c r="S27" s="463"/>
      <c r="T27" s="706"/>
      <c r="U27" s="463"/>
      <c r="V27" s="704"/>
      <c r="W27" s="463"/>
      <c r="X27" s="704"/>
      <c r="Y27" s="463"/>
      <c r="Z27" s="704"/>
      <c r="AA27" s="463"/>
      <c r="AB27" s="704"/>
      <c r="AC27" s="464"/>
      <c r="AD27" s="211"/>
      <c r="AE27" s="211"/>
      <c r="AF27" s="211"/>
      <c r="AG27" s="211"/>
      <c r="AH27" s="211"/>
      <c r="AI27" s="211"/>
    </row>
    <row r="28" spans="1:35" ht="6" customHeight="1" thickBot="1" x14ac:dyDescent="0.25">
      <c r="A28" s="516"/>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211"/>
      <c r="AE28" s="211"/>
      <c r="AF28" s="211"/>
      <c r="AG28" s="211"/>
      <c r="AH28" s="211"/>
      <c r="AI28" s="211"/>
    </row>
    <row r="29" spans="1:35" ht="16.5" thickBot="1" x14ac:dyDescent="0.25">
      <c r="A29" s="211"/>
      <c r="B29" s="427"/>
      <c r="C29" s="158"/>
      <c r="D29" s="158"/>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row>
    <row r="30" spans="1:35" ht="15.75" x14ac:dyDescent="0.25">
      <c r="A30" s="511"/>
      <c r="B30" s="68" t="s">
        <v>759</v>
      </c>
      <c r="C30" s="68"/>
      <c r="D30" s="68"/>
      <c r="E30" s="68"/>
      <c r="F30" s="68"/>
      <c r="G30" s="68"/>
      <c r="H30" s="68"/>
      <c r="I30" s="68"/>
      <c r="J30" s="68"/>
      <c r="K30" s="68"/>
      <c r="L30" s="68"/>
      <c r="M30" s="474"/>
      <c r="N30" s="474"/>
      <c r="O30" s="475"/>
      <c r="P30" s="211"/>
      <c r="Q30" s="211"/>
      <c r="R30" s="211"/>
      <c r="S30" s="211"/>
      <c r="T30" s="211"/>
      <c r="U30" s="211"/>
      <c r="V30" s="211"/>
      <c r="W30" s="211"/>
      <c r="X30" s="211"/>
      <c r="Y30" s="211"/>
      <c r="Z30" s="211"/>
      <c r="AA30" s="211"/>
      <c r="AB30" s="211"/>
      <c r="AC30" s="211"/>
      <c r="AD30" s="211"/>
      <c r="AE30" s="211"/>
      <c r="AF30" s="211"/>
      <c r="AG30" s="211"/>
      <c r="AH30" s="211"/>
      <c r="AI30" s="211"/>
    </row>
    <row r="31" spans="1:35" ht="15.75" x14ac:dyDescent="0.25">
      <c r="A31" s="512"/>
      <c r="B31" s="349"/>
      <c r="C31" s="349"/>
      <c r="D31" s="349"/>
      <c r="E31" s="349"/>
      <c r="F31" s="349"/>
      <c r="G31" s="349"/>
      <c r="H31" s="349"/>
      <c r="I31" s="349"/>
      <c r="J31" s="349"/>
      <c r="K31" s="349"/>
      <c r="L31" s="349"/>
      <c r="M31" s="477"/>
      <c r="N31" s="349"/>
      <c r="O31" s="514"/>
      <c r="P31" s="211"/>
      <c r="Q31" s="211"/>
      <c r="R31" s="211"/>
      <c r="S31" s="211"/>
      <c r="T31" s="211"/>
      <c r="U31" s="211"/>
      <c r="V31" s="211"/>
      <c r="W31" s="211"/>
      <c r="X31" s="211"/>
      <c r="Y31" s="211"/>
      <c r="Z31" s="211"/>
      <c r="AA31" s="211"/>
      <c r="AB31" s="211"/>
      <c r="AC31" s="211"/>
      <c r="AD31" s="211"/>
      <c r="AE31" s="211"/>
      <c r="AF31" s="211"/>
      <c r="AG31" s="211"/>
      <c r="AH31" s="211"/>
      <c r="AI31" s="211"/>
    </row>
    <row r="32" spans="1:35" ht="25.5" customHeight="1" x14ac:dyDescent="0.25">
      <c r="A32" s="512"/>
      <c r="B32" s="349"/>
      <c r="C32" s="349"/>
      <c r="D32" s="349" t="s">
        <v>760</v>
      </c>
      <c r="E32" s="349"/>
      <c r="F32" s="349"/>
      <c r="G32" s="349"/>
      <c r="H32" s="349"/>
      <c r="I32" s="349"/>
      <c r="J32" s="349"/>
      <c r="K32" s="349"/>
      <c r="L32" s="349" t="s">
        <v>761</v>
      </c>
      <c r="M32" s="477"/>
      <c r="N32" s="349"/>
      <c r="O32" s="514"/>
      <c r="P32" s="211"/>
      <c r="Q32" s="211"/>
      <c r="R32" s="211"/>
      <c r="S32" s="211"/>
      <c r="T32" s="211"/>
      <c r="U32" s="211"/>
      <c r="V32" s="211"/>
      <c r="W32" s="211"/>
      <c r="X32" s="211"/>
      <c r="Y32" s="211"/>
      <c r="Z32" s="211"/>
      <c r="AA32" s="211"/>
      <c r="AB32" s="211"/>
      <c r="AC32" s="211"/>
      <c r="AD32" s="211"/>
      <c r="AE32" s="211"/>
      <c r="AF32" s="211"/>
      <c r="AG32" s="211"/>
      <c r="AH32" s="211"/>
      <c r="AI32" s="211"/>
    </row>
    <row r="33" spans="1:35" ht="16.5" thickBot="1" x14ac:dyDescent="0.3">
      <c r="A33" s="377"/>
      <c r="B33" s="378"/>
      <c r="C33" s="378"/>
      <c r="D33" s="378"/>
      <c r="E33" s="378"/>
      <c r="F33" s="378"/>
      <c r="G33" s="378"/>
      <c r="H33" s="378"/>
      <c r="I33" s="378"/>
      <c r="J33" s="378"/>
      <c r="K33" s="378"/>
      <c r="L33" s="378"/>
      <c r="M33" s="378"/>
      <c r="N33" s="75"/>
      <c r="O33" s="189"/>
      <c r="P33" s="211"/>
      <c r="Q33" s="211"/>
      <c r="R33" s="211"/>
      <c r="S33" s="211"/>
      <c r="T33" s="211"/>
      <c r="U33" s="211"/>
      <c r="V33" s="211"/>
      <c r="W33" s="211"/>
      <c r="X33" s="211"/>
      <c r="Y33" s="211"/>
      <c r="Z33" s="211"/>
      <c r="AA33" s="211"/>
      <c r="AB33" s="211"/>
      <c r="AC33" s="211"/>
      <c r="AD33" s="211"/>
      <c r="AE33" s="211"/>
      <c r="AF33" s="211"/>
      <c r="AG33" s="211"/>
      <c r="AH33" s="211"/>
      <c r="AI33" s="211"/>
    </row>
    <row r="34" spans="1:35" ht="15.75" x14ac:dyDescent="0.25">
      <c r="A34" s="498"/>
      <c r="B34" s="484"/>
      <c r="C34" s="484"/>
      <c r="D34" s="484"/>
      <c r="E34" s="484"/>
      <c r="F34" s="484"/>
      <c r="G34" s="484"/>
      <c r="H34" s="484"/>
      <c r="I34" s="484"/>
      <c r="J34" s="484"/>
      <c r="K34" s="484"/>
      <c r="L34" s="484"/>
      <c r="M34" s="484"/>
      <c r="N34" s="485"/>
      <c r="O34" s="486"/>
      <c r="P34" s="211"/>
      <c r="Q34" s="211"/>
      <c r="R34" s="211"/>
      <c r="S34" s="211"/>
      <c r="T34" s="211"/>
      <c r="U34" s="211"/>
      <c r="V34" s="211"/>
      <c r="W34" s="211"/>
      <c r="X34" s="211"/>
      <c r="Y34" s="211"/>
      <c r="Z34" s="211"/>
      <c r="AA34" s="211"/>
      <c r="AB34" s="211"/>
      <c r="AC34" s="211"/>
      <c r="AD34" s="211"/>
      <c r="AE34" s="211"/>
      <c r="AF34" s="211"/>
      <c r="AG34" s="211"/>
      <c r="AH34" s="211"/>
      <c r="AI34" s="211"/>
    </row>
    <row r="35" spans="1:35" ht="15.75" x14ac:dyDescent="0.25">
      <c r="A35" s="515"/>
      <c r="B35" s="887"/>
      <c r="C35" s="887"/>
      <c r="D35" s="887"/>
      <c r="E35" s="887"/>
      <c r="F35" s="887"/>
      <c r="G35" s="887"/>
      <c r="H35" s="887"/>
      <c r="I35" s="484"/>
      <c r="J35" s="887"/>
      <c r="K35" s="887"/>
      <c r="L35" s="887"/>
      <c r="M35" s="887"/>
      <c r="N35" s="887"/>
      <c r="O35" s="464"/>
      <c r="P35" s="211"/>
      <c r="Q35" s="211"/>
      <c r="R35" s="211"/>
      <c r="S35" s="211"/>
      <c r="T35" s="211"/>
      <c r="U35" s="211"/>
      <c r="V35" s="211"/>
      <c r="W35" s="211"/>
      <c r="X35" s="211"/>
      <c r="Y35" s="211"/>
      <c r="Z35" s="211"/>
      <c r="AA35" s="211"/>
      <c r="AB35" s="211"/>
      <c r="AC35" s="211"/>
      <c r="AD35" s="211"/>
      <c r="AE35" s="211"/>
      <c r="AF35" s="211"/>
      <c r="AG35" s="211"/>
      <c r="AH35" s="211"/>
      <c r="AI35" s="211"/>
    </row>
    <row r="36" spans="1:35" ht="15.75" x14ac:dyDescent="0.25">
      <c r="A36" s="515"/>
      <c r="B36" s="887"/>
      <c r="C36" s="887"/>
      <c r="D36" s="887"/>
      <c r="E36" s="887"/>
      <c r="F36" s="887"/>
      <c r="G36" s="887"/>
      <c r="H36" s="887"/>
      <c r="I36" s="484"/>
      <c r="J36" s="887"/>
      <c r="K36" s="887"/>
      <c r="L36" s="887"/>
      <c r="M36" s="887"/>
      <c r="N36" s="887"/>
      <c r="O36" s="464"/>
      <c r="P36" s="211"/>
      <c r="Q36" s="211"/>
      <c r="R36" s="211"/>
      <c r="S36" s="211"/>
      <c r="T36" s="211"/>
      <c r="U36" s="211"/>
      <c r="V36" s="211"/>
      <c r="W36" s="211"/>
      <c r="X36" s="211"/>
      <c r="Y36" s="211"/>
      <c r="Z36" s="211"/>
      <c r="AA36" s="211"/>
      <c r="AB36" s="211"/>
      <c r="AC36" s="211"/>
      <c r="AD36" s="211"/>
      <c r="AE36" s="211"/>
      <c r="AF36" s="211"/>
      <c r="AG36" s="211"/>
      <c r="AH36" s="211"/>
      <c r="AI36" s="211"/>
    </row>
    <row r="37" spans="1:35" ht="15.75" x14ac:dyDescent="0.25">
      <c r="A37" s="515"/>
      <c r="B37" s="887"/>
      <c r="C37" s="887"/>
      <c r="D37" s="887"/>
      <c r="E37" s="887"/>
      <c r="F37" s="887"/>
      <c r="G37" s="887"/>
      <c r="H37" s="887"/>
      <c r="I37" s="484"/>
      <c r="J37" s="887"/>
      <c r="K37" s="887"/>
      <c r="L37" s="887"/>
      <c r="M37" s="887"/>
      <c r="N37" s="887"/>
      <c r="O37" s="464"/>
      <c r="P37" s="211"/>
      <c r="Q37" s="211"/>
      <c r="R37" s="211"/>
      <c r="S37" s="211"/>
      <c r="T37" s="211"/>
      <c r="U37" s="211"/>
      <c r="V37" s="211"/>
      <c r="W37" s="211"/>
      <c r="X37" s="211"/>
      <c r="Y37" s="211"/>
      <c r="Z37" s="211"/>
      <c r="AA37" s="211"/>
      <c r="AB37" s="211"/>
      <c r="AC37" s="211"/>
      <c r="AD37" s="211"/>
      <c r="AE37" s="211"/>
      <c r="AF37" s="211"/>
      <c r="AG37" s="211"/>
      <c r="AH37" s="211"/>
      <c r="AI37" s="211"/>
    </row>
    <row r="38" spans="1:35" ht="15.75" x14ac:dyDescent="0.25">
      <c r="A38" s="515"/>
      <c r="B38" s="887"/>
      <c r="C38" s="887"/>
      <c r="D38" s="887"/>
      <c r="E38" s="887"/>
      <c r="F38" s="887"/>
      <c r="G38" s="887"/>
      <c r="H38" s="887"/>
      <c r="I38" s="484"/>
      <c r="J38" s="887"/>
      <c r="K38" s="887"/>
      <c r="L38" s="887"/>
      <c r="M38" s="887"/>
      <c r="N38" s="887"/>
      <c r="O38" s="464"/>
      <c r="P38" s="211"/>
      <c r="Q38" s="211"/>
      <c r="R38" s="211"/>
      <c r="S38" s="211"/>
      <c r="T38" s="211"/>
      <c r="U38" s="211"/>
      <c r="V38" s="211"/>
      <c r="W38" s="211"/>
      <c r="X38" s="211"/>
      <c r="Y38" s="211"/>
      <c r="Z38" s="211"/>
      <c r="AA38" s="211"/>
      <c r="AB38" s="211"/>
      <c r="AC38" s="211"/>
      <c r="AD38" s="211"/>
      <c r="AE38" s="211"/>
      <c r="AF38" s="211"/>
      <c r="AG38" s="211"/>
      <c r="AH38" s="211"/>
      <c r="AI38" s="211"/>
    </row>
    <row r="39" spans="1:35" ht="15.75" x14ac:dyDescent="0.25">
      <c r="A39" s="515"/>
      <c r="B39" s="887"/>
      <c r="C39" s="887"/>
      <c r="D39" s="887"/>
      <c r="E39" s="887"/>
      <c r="F39" s="887"/>
      <c r="G39" s="887"/>
      <c r="H39" s="887"/>
      <c r="I39" s="484"/>
      <c r="J39" s="887"/>
      <c r="K39" s="887"/>
      <c r="L39" s="887"/>
      <c r="M39" s="887"/>
      <c r="N39" s="887"/>
      <c r="O39" s="464"/>
      <c r="P39" s="211"/>
      <c r="Q39" s="211"/>
      <c r="R39" s="211"/>
      <c r="S39" s="211"/>
      <c r="T39" s="211"/>
      <c r="U39" s="211"/>
      <c r="V39" s="211"/>
      <c r="W39" s="211"/>
      <c r="X39" s="211"/>
      <c r="Y39" s="211"/>
      <c r="Z39" s="211"/>
      <c r="AA39" s="211"/>
      <c r="AB39" s="211"/>
      <c r="AC39" s="211"/>
      <c r="AD39" s="211"/>
      <c r="AE39" s="211"/>
      <c r="AF39" s="211"/>
      <c r="AG39" s="211"/>
      <c r="AH39" s="211"/>
      <c r="AI39" s="211"/>
    </row>
    <row r="40" spans="1:35" ht="15.75" x14ac:dyDescent="0.25">
      <c r="A40" s="515"/>
      <c r="B40" s="887"/>
      <c r="C40" s="887"/>
      <c r="D40" s="887"/>
      <c r="E40" s="887"/>
      <c r="F40" s="887"/>
      <c r="G40" s="887"/>
      <c r="H40" s="887"/>
      <c r="I40" s="484"/>
      <c r="J40" s="887"/>
      <c r="K40" s="887"/>
      <c r="L40" s="887"/>
      <c r="M40" s="887"/>
      <c r="N40" s="887"/>
      <c r="O40" s="464"/>
      <c r="P40" s="211"/>
      <c r="Q40" s="211"/>
      <c r="R40" s="211"/>
      <c r="S40" s="211"/>
      <c r="T40" s="211"/>
      <c r="U40" s="211"/>
      <c r="V40" s="211"/>
      <c r="W40" s="211"/>
      <c r="X40" s="211"/>
      <c r="Y40" s="211"/>
      <c r="Z40" s="211"/>
      <c r="AA40" s="211"/>
      <c r="AB40" s="211"/>
      <c r="AC40" s="211"/>
      <c r="AD40" s="211"/>
      <c r="AE40" s="211"/>
      <c r="AF40" s="211"/>
      <c r="AG40" s="211"/>
      <c r="AH40" s="211"/>
      <c r="AI40" s="211"/>
    </row>
    <row r="41" spans="1:35" ht="15.75" x14ac:dyDescent="0.25">
      <c r="A41" s="515"/>
      <c r="B41" s="887"/>
      <c r="C41" s="887"/>
      <c r="D41" s="887"/>
      <c r="E41" s="887"/>
      <c r="F41" s="887"/>
      <c r="G41" s="887"/>
      <c r="H41" s="887"/>
      <c r="I41" s="484"/>
      <c r="J41" s="887"/>
      <c r="K41" s="887"/>
      <c r="L41" s="887"/>
      <c r="M41" s="887"/>
      <c r="N41" s="887"/>
      <c r="O41" s="464"/>
      <c r="P41" s="211"/>
      <c r="Q41" s="211"/>
      <c r="R41" s="211"/>
      <c r="S41" s="211"/>
      <c r="T41" s="211"/>
      <c r="U41" s="211"/>
      <c r="V41" s="211"/>
      <c r="W41" s="211"/>
      <c r="X41" s="211"/>
      <c r="Y41" s="211"/>
      <c r="Z41" s="211"/>
      <c r="AA41" s="211"/>
      <c r="AB41" s="211"/>
      <c r="AC41" s="211"/>
      <c r="AD41" s="211"/>
      <c r="AE41" s="211"/>
      <c r="AF41" s="211"/>
      <c r="AG41" s="211"/>
      <c r="AH41" s="211"/>
      <c r="AI41" s="211"/>
    </row>
    <row r="42" spans="1:35" ht="15.75" x14ac:dyDescent="0.25">
      <c r="A42" s="515"/>
      <c r="B42" s="887"/>
      <c r="C42" s="887"/>
      <c r="D42" s="887"/>
      <c r="E42" s="887"/>
      <c r="F42" s="887"/>
      <c r="G42" s="887"/>
      <c r="H42" s="887"/>
      <c r="I42" s="484"/>
      <c r="J42" s="887"/>
      <c r="K42" s="887"/>
      <c r="L42" s="887"/>
      <c r="M42" s="887"/>
      <c r="N42" s="887"/>
      <c r="O42" s="464"/>
      <c r="P42" s="211"/>
      <c r="Q42" s="211"/>
      <c r="R42" s="211"/>
      <c r="S42" s="211"/>
      <c r="T42" s="211"/>
      <c r="U42" s="211"/>
      <c r="V42" s="211"/>
      <c r="W42" s="211"/>
      <c r="X42" s="211"/>
      <c r="Y42" s="211"/>
      <c r="Z42" s="211"/>
      <c r="AA42" s="211"/>
      <c r="AB42" s="211"/>
      <c r="AC42" s="211"/>
      <c r="AD42" s="211"/>
      <c r="AE42" s="211"/>
      <c r="AF42" s="211"/>
      <c r="AG42" s="211"/>
      <c r="AH42" s="211"/>
      <c r="AI42" s="211"/>
    </row>
    <row r="43" spans="1:35" ht="15.75" x14ac:dyDescent="0.25">
      <c r="A43" s="515"/>
      <c r="B43" s="887"/>
      <c r="C43" s="887"/>
      <c r="D43" s="887"/>
      <c r="E43" s="887"/>
      <c r="F43" s="887"/>
      <c r="G43" s="887"/>
      <c r="H43" s="887"/>
      <c r="I43" s="484"/>
      <c r="J43" s="887"/>
      <c r="K43" s="887"/>
      <c r="L43" s="887"/>
      <c r="M43" s="887"/>
      <c r="N43" s="887"/>
      <c r="O43" s="464"/>
      <c r="P43" s="211"/>
      <c r="Q43" s="211"/>
      <c r="R43" s="211"/>
      <c r="S43" s="211"/>
      <c r="T43" s="211"/>
      <c r="U43" s="211"/>
      <c r="V43" s="211"/>
      <c r="W43" s="211"/>
      <c r="X43" s="211"/>
      <c r="Y43" s="211"/>
      <c r="Z43" s="211"/>
      <c r="AA43" s="211"/>
      <c r="AB43" s="211"/>
      <c r="AC43" s="211"/>
      <c r="AD43" s="211"/>
      <c r="AE43" s="211"/>
      <c r="AF43" s="211"/>
      <c r="AG43" s="211"/>
      <c r="AH43" s="211"/>
      <c r="AI43" s="211"/>
    </row>
    <row r="44" spans="1:35" ht="15.75" x14ac:dyDescent="0.25">
      <c r="A44" s="515"/>
      <c r="B44" s="887"/>
      <c r="C44" s="887"/>
      <c r="D44" s="887"/>
      <c r="E44" s="887"/>
      <c r="F44" s="887"/>
      <c r="G44" s="887"/>
      <c r="H44" s="887"/>
      <c r="I44" s="484"/>
      <c r="J44" s="887"/>
      <c r="K44" s="887"/>
      <c r="L44" s="887"/>
      <c r="M44" s="887"/>
      <c r="N44" s="887"/>
      <c r="O44" s="464"/>
      <c r="P44" s="211"/>
      <c r="Q44" s="211"/>
      <c r="R44" s="211"/>
      <c r="S44" s="211"/>
      <c r="T44" s="211"/>
      <c r="U44" s="211"/>
      <c r="V44" s="211"/>
      <c r="W44" s="211"/>
      <c r="X44" s="211"/>
      <c r="Y44" s="211"/>
      <c r="Z44" s="211"/>
      <c r="AA44" s="211"/>
      <c r="AB44" s="211"/>
      <c r="AC44" s="211"/>
      <c r="AD44" s="211"/>
      <c r="AE44" s="211"/>
      <c r="AF44" s="211"/>
      <c r="AG44" s="211"/>
      <c r="AH44" s="211"/>
      <c r="AI44" s="211"/>
    </row>
    <row r="45" spans="1:35" ht="15.75" x14ac:dyDescent="0.25">
      <c r="A45" s="515"/>
      <c r="B45" s="887"/>
      <c r="C45" s="887"/>
      <c r="D45" s="887"/>
      <c r="E45" s="887"/>
      <c r="F45" s="887"/>
      <c r="G45" s="887"/>
      <c r="H45" s="887"/>
      <c r="I45" s="484"/>
      <c r="J45" s="887"/>
      <c r="K45" s="887"/>
      <c r="L45" s="887"/>
      <c r="M45" s="887"/>
      <c r="N45" s="887"/>
      <c r="O45" s="464"/>
      <c r="P45" s="211"/>
      <c r="Q45" s="211"/>
      <c r="R45" s="211"/>
      <c r="S45" s="211"/>
      <c r="T45" s="211"/>
      <c r="U45" s="211"/>
      <c r="V45" s="211"/>
      <c r="W45" s="211"/>
      <c r="X45" s="211"/>
      <c r="Y45" s="211"/>
      <c r="Z45" s="211"/>
      <c r="AA45" s="211"/>
      <c r="AB45" s="211"/>
      <c r="AC45" s="211"/>
      <c r="AD45" s="211"/>
      <c r="AE45" s="211"/>
      <c r="AF45" s="211"/>
      <c r="AG45" s="211"/>
      <c r="AH45" s="211"/>
      <c r="AI45" s="211"/>
    </row>
    <row r="46" spans="1:35" ht="16.5" thickBot="1" x14ac:dyDescent="0.3">
      <c r="A46" s="516"/>
      <c r="B46" s="489"/>
      <c r="C46" s="489"/>
      <c r="D46" s="489"/>
      <c r="E46" s="489"/>
      <c r="F46" s="489"/>
      <c r="G46" s="489"/>
      <c r="H46" s="489"/>
      <c r="I46" s="517"/>
      <c r="J46" s="489"/>
      <c r="K46" s="489"/>
      <c r="L46" s="489"/>
      <c r="M46" s="489"/>
      <c r="N46" s="489"/>
      <c r="O46" s="490"/>
      <c r="P46" s="211"/>
      <c r="Q46" s="211"/>
      <c r="R46" s="211"/>
      <c r="S46" s="211"/>
      <c r="T46" s="211"/>
      <c r="U46" s="211"/>
      <c r="V46" s="211"/>
      <c r="W46" s="211"/>
      <c r="X46" s="211"/>
      <c r="Y46" s="211"/>
      <c r="Z46" s="211"/>
      <c r="AA46" s="211"/>
      <c r="AB46" s="211"/>
      <c r="AC46" s="211"/>
      <c r="AD46" s="211"/>
      <c r="AE46" s="211"/>
      <c r="AF46" s="211"/>
      <c r="AG46" s="211"/>
      <c r="AH46" s="211"/>
      <c r="AI46" s="211"/>
    </row>
    <row r="47" spans="1:35" ht="16.5" thickBot="1" x14ac:dyDescent="0.25">
      <c r="A47" s="211"/>
      <c r="B47" s="427"/>
      <c r="C47" s="158"/>
      <c r="D47" s="158"/>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row>
    <row r="48" spans="1:35" ht="15.75" x14ac:dyDescent="0.25">
      <c r="A48" s="511"/>
      <c r="B48" s="68" t="s">
        <v>762</v>
      </c>
      <c r="C48" s="68"/>
      <c r="D48" s="68"/>
      <c r="E48" s="68"/>
      <c r="F48" s="68"/>
      <c r="G48" s="68"/>
      <c r="H48" s="68"/>
      <c r="I48" s="68"/>
      <c r="J48" s="68"/>
      <c r="K48" s="68"/>
      <c r="L48" s="68"/>
      <c r="M48" s="474"/>
      <c r="N48" s="474"/>
      <c r="O48" s="475"/>
      <c r="P48" s="211"/>
      <c r="Q48" s="211"/>
      <c r="R48" s="211"/>
      <c r="S48" s="211"/>
      <c r="T48" s="211"/>
      <c r="U48" s="211"/>
      <c r="V48" s="211"/>
      <c r="W48" s="211"/>
      <c r="X48" s="211"/>
      <c r="Y48" s="211"/>
      <c r="Z48" s="211"/>
      <c r="AA48" s="211"/>
      <c r="AB48" s="211"/>
      <c r="AC48" s="211"/>
      <c r="AD48" s="211"/>
      <c r="AE48" s="211"/>
      <c r="AF48" s="211"/>
      <c r="AG48" s="211"/>
      <c r="AH48" s="211"/>
      <c r="AI48" s="211"/>
    </row>
    <row r="49" spans="1:35" ht="15.75" x14ac:dyDescent="0.25">
      <c r="A49" s="512"/>
      <c r="B49" s="349"/>
      <c r="C49" s="349"/>
      <c r="D49" s="349"/>
      <c r="E49" s="349"/>
      <c r="F49" s="349"/>
      <c r="G49" s="349"/>
      <c r="H49" s="349"/>
      <c r="I49" s="349"/>
      <c r="J49" s="349"/>
      <c r="K49" s="349"/>
      <c r="L49" s="349"/>
      <c r="M49" s="477"/>
      <c r="N49" s="349"/>
      <c r="O49" s="514"/>
      <c r="P49" s="211"/>
      <c r="Q49" s="211"/>
      <c r="R49" s="211"/>
      <c r="S49" s="211"/>
      <c r="T49" s="211"/>
      <c r="U49" s="211"/>
      <c r="V49" s="211"/>
      <c r="W49" s="211"/>
      <c r="X49" s="211"/>
      <c r="Y49" s="211"/>
      <c r="Z49" s="211"/>
      <c r="AA49" s="211"/>
      <c r="AB49" s="211"/>
      <c r="AC49" s="211"/>
      <c r="AD49" s="211"/>
      <c r="AE49" s="211"/>
      <c r="AF49" s="211"/>
      <c r="AG49" s="211"/>
      <c r="AH49" s="211"/>
      <c r="AI49" s="211"/>
    </row>
    <row r="50" spans="1:35" ht="15.75" x14ac:dyDescent="0.25">
      <c r="A50" s="512"/>
      <c r="B50" s="349"/>
      <c r="C50" s="349"/>
      <c r="D50" s="349" t="s">
        <v>760</v>
      </c>
      <c r="E50" s="349"/>
      <c r="F50" s="349"/>
      <c r="G50" s="349"/>
      <c r="H50" s="349"/>
      <c r="I50" s="349"/>
      <c r="J50" s="349"/>
      <c r="K50" s="349"/>
      <c r="L50" s="349" t="s">
        <v>761</v>
      </c>
      <c r="M50" s="477"/>
      <c r="N50" s="349"/>
      <c r="O50" s="514"/>
      <c r="P50" s="211"/>
      <c r="Q50" s="211"/>
      <c r="R50" s="211"/>
      <c r="S50" s="211"/>
      <c r="T50" s="211"/>
      <c r="U50" s="211"/>
      <c r="V50" s="211"/>
      <c r="W50" s="211"/>
      <c r="X50" s="211"/>
      <c r="Y50" s="211"/>
      <c r="Z50" s="211"/>
      <c r="AA50" s="211"/>
      <c r="AB50" s="211"/>
      <c r="AC50" s="211"/>
      <c r="AD50" s="211"/>
      <c r="AE50" s="211"/>
      <c r="AF50" s="211"/>
      <c r="AG50" s="211"/>
      <c r="AH50" s="211"/>
      <c r="AI50" s="211"/>
    </row>
    <row r="51" spans="1:35" ht="16.5" thickBot="1" x14ac:dyDescent="0.3">
      <c r="A51" s="377"/>
      <c r="B51" s="378"/>
      <c r="C51" s="378"/>
      <c r="D51" s="378"/>
      <c r="E51" s="378"/>
      <c r="F51" s="378"/>
      <c r="G51" s="378"/>
      <c r="H51" s="378"/>
      <c r="I51" s="378"/>
      <c r="J51" s="378"/>
      <c r="K51" s="378"/>
      <c r="L51" s="378"/>
      <c r="M51" s="378"/>
      <c r="N51" s="75"/>
      <c r="O51" s="189"/>
      <c r="P51" s="211"/>
      <c r="Q51" s="211"/>
      <c r="R51" s="211"/>
      <c r="S51" s="211"/>
      <c r="T51" s="211"/>
      <c r="U51" s="211"/>
      <c r="V51" s="211"/>
      <c r="W51" s="211"/>
      <c r="X51" s="211"/>
      <c r="Y51" s="211"/>
      <c r="Z51" s="211"/>
      <c r="AA51" s="211"/>
      <c r="AB51" s="211"/>
      <c r="AC51" s="211"/>
      <c r="AD51" s="211"/>
      <c r="AE51" s="211"/>
      <c r="AF51" s="211"/>
      <c r="AG51" s="211"/>
      <c r="AH51" s="211"/>
      <c r="AI51" s="211"/>
    </row>
    <row r="52" spans="1:35" ht="15.75" x14ac:dyDescent="0.25">
      <c r="A52" s="498"/>
      <c r="B52" s="484"/>
      <c r="C52" s="484"/>
      <c r="D52" s="484"/>
      <c r="E52" s="484"/>
      <c r="F52" s="484"/>
      <c r="G52" s="484"/>
      <c r="H52" s="484"/>
      <c r="I52" s="484"/>
      <c r="J52" s="484"/>
      <c r="K52" s="484"/>
      <c r="L52" s="484"/>
      <c r="M52" s="484"/>
      <c r="N52" s="485"/>
      <c r="O52" s="486"/>
      <c r="P52" s="211"/>
      <c r="Q52" s="211"/>
      <c r="R52" s="211"/>
      <c r="S52" s="211"/>
      <c r="T52" s="211"/>
      <c r="U52" s="211"/>
      <c r="V52" s="211"/>
      <c r="W52" s="211"/>
      <c r="X52" s="211"/>
      <c r="Y52" s="211"/>
      <c r="Z52" s="211"/>
      <c r="AA52" s="211"/>
      <c r="AB52" s="211"/>
      <c r="AC52" s="211"/>
      <c r="AD52" s="211"/>
      <c r="AE52" s="211"/>
      <c r="AF52" s="211"/>
      <c r="AG52" s="211"/>
      <c r="AH52" s="211"/>
      <c r="AI52" s="211"/>
    </row>
    <row r="53" spans="1:35" ht="15.75" x14ac:dyDescent="0.25">
      <c r="A53" s="515"/>
      <c r="B53" s="887"/>
      <c r="C53" s="887"/>
      <c r="D53" s="887"/>
      <c r="E53" s="887"/>
      <c r="F53" s="887"/>
      <c r="G53" s="887"/>
      <c r="H53" s="887"/>
      <c r="I53" s="484"/>
      <c r="J53" s="887"/>
      <c r="K53" s="887"/>
      <c r="L53" s="887"/>
      <c r="M53" s="887"/>
      <c r="N53" s="887"/>
      <c r="O53" s="464"/>
      <c r="P53" s="211"/>
      <c r="Q53" s="211"/>
      <c r="R53" s="211"/>
      <c r="S53" s="211"/>
      <c r="T53" s="211"/>
      <c r="U53" s="211"/>
      <c r="V53" s="211"/>
      <c r="W53" s="211"/>
      <c r="X53" s="211"/>
      <c r="Y53" s="211"/>
      <c r="Z53" s="211"/>
      <c r="AA53" s="211"/>
      <c r="AB53" s="211"/>
      <c r="AC53" s="211"/>
      <c r="AD53" s="211"/>
      <c r="AE53" s="211"/>
      <c r="AF53" s="211"/>
      <c r="AG53" s="211"/>
      <c r="AH53" s="211"/>
      <c r="AI53" s="211"/>
    </row>
    <row r="54" spans="1:35" ht="15.75" x14ac:dyDescent="0.25">
      <c r="A54" s="515"/>
      <c r="B54" s="887"/>
      <c r="C54" s="887"/>
      <c r="D54" s="887"/>
      <c r="E54" s="887"/>
      <c r="F54" s="887"/>
      <c r="G54" s="887"/>
      <c r="H54" s="887"/>
      <c r="I54" s="484"/>
      <c r="J54" s="887"/>
      <c r="K54" s="887"/>
      <c r="L54" s="887"/>
      <c r="M54" s="887"/>
      <c r="N54" s="887"/>
      <c r="O54" s="464"/>
      <c r="P54" s="211"/>
      <c r="Q54" s="211"/>
      <c r="R54" s="211"/>
      <c r="S54" s="211"/>
      <c r="T54" s="211"/>
      <c r="U54" s="211"/>
      <c r="V54" s="211"/>
      <c r="W54" s="211"/>
      <c r="X54" s="211"/>
      <c r="Y54" s="211"/>
      <c r="Z54" s="211"/>
      <c r="AA54" s="211"/>
      <c r="AB54" s="211"/>
      <c r="AC54" s="211"/>
      <c r="AD54" s="211"/>
      <c r="AE54" s="211"/>
      <c r="AF54" s="211"/>
      <c r="AG54" s="211"/>
      <c r="AH54" s="211"/>
      <c r="AI54" s="211"/>
    </row>
    <row r="55" spans="1:35" ht="15.75" x14ac:dyDescent="0.25">
      <c r="A55" s="515"/>
      <c r="B55" s="887"/>
      <c r="C55" s="887"/>
      <c r="D55" s="887"/>
      <c r="E55" s="887"/>
      <c r="F55" s="887"/>
      <c r="G55" s="887"/>
      <c r="H55" s="887"/>
      <c r="I55" s="484"/>
      <c r="J55" s="887"/>
      <c r="K55" s="887"/>
      <c r="L55" s="887"/>
      <c r="M55" s="887"/>
      <c r="N55" s="887"/>
      <c r="O55" s="464"/>
      <c r="P55" s="211"/>
      <c r="Q55" s="211"/>
      <c r="R55" s="211"/>
      <c r="S55" s="211"/>
      <c r="T55" s="211"/>
      <c r="U55" s="211"/>
      <c r="V55" s="211"/>
      <c r="W55" s="211"/>
      <c r="X55" s="211"/>
      <c r="Y55" s="211"/>
      <c r="Z55" s="211"/>
      <c r="AA55" s="211"/>
      <c r="AB55" s="211"/>
      <c r="AC55" s="211"/>
      <c r="AD55" s="211"/>
      <c r="AE55" s="211"/>
      <c r="AF55" s="211"/>
      <c r="AG55" s="211"/>
      <c r="AH55" s="211"/>
      <c r="AI55" s="211"/>
    </row>
    <row r="56" spans="1:35" ht="15.75" x14ac:dyDescent="0.25">
      <c r="A56" s="515"/>
      <c r="B56" s="887"/>
      <c r="C56" s="887"/>
      <c r="D56" s="887"/>
      <c r="E56" s="887"/>
      <c r="F56" s="887"/>
      <c r="G56" s="887"/>
      <c r="H56" s="887"/>
      <c r="I56" s="484"/>
      <c r="J56" s="887"/>
      <c r="K56" s="887"/>
      <c r="L56" s="887"/>
      <c r="M56" s="887"/>
      <c r="N56" s="887"/>
      <c r="O56" s="464"/>
      <c r="P56" s="211"/>
      <c r="Q56" s="211"/>
      <c r="R56" s="211"/>
      <c r="S56" s="211"/>
      <c r="T56" s="211"/>
      <c r="U56" s="211"/>
      <c r="V56" s="211"/>
      <c r="W56" s="211"/>
      <c r="X56" s="211"/>
      <c r="Y56" s="211"/>
      <c r="Z56" s="211"/>
      <c r="AA56" s="211"/>
      <c r="AB56" s="211"/>
      <c r="AC56" s="211"/>
      <c r="AD56" s="211"/>
      <c r="AE56" s="211"/>
      <c r="AF56" s="211"/>
      <c r="AG56" s="211"/>
      <c r="AH56" s="211"/>
      <c r="AI56" s="211"/>
    </row>
    <row r="57" spans="1:35" ht="15.75" x14ac:dyDescent="0.25">
      <c r="A57" s="515"/>
      <c r="B57" s="887"/>
      <c r="C57" s="887"/>
      <c r="D57" s="887"/>
      <c r="E57" s="887"/>
      <c r="F57" s="887"/>
      <c r="G57" s="887"/>
      <c r="H57" s="887"/>
      <c r="I57" s="484"/>
      <c r="J57" s="887"/>
      <c r="K57" s="887"/>
      <c r="L57" s="887"/>
      <c r="M57" s="887"/>
      <c r="N57" s="887"/>
      <c r="O57" s="464"/>
      <c r="P57" s="211"/>
      <c r="Q57" s="211"/>
      <c r="R57" s="211"/>
      <c r="S57" s="211"/>
      <c r="T57" s="211"/>
      <c r="U57" s="211"/>
      <c r="V57" s="211"/>
      <c r="W57" s="211"/>
      <c r="X57" s="211"/>
      <c r="Y57" s="211"/>
      <c r="Z57" s="211"/>
      <c r="AA57" s="211"/>
      <c r="AB57" s="211"/>
      <c r="AC57" s="211"/>
      <c r="AD57" s="211"/>
      <c r="AE57" s="211"/>
      <c r="AF57" s="211"/>
      <c r="AG57" s="211"/>
      <c r="AH57" s="211"/>
      <c r="AI57" s="211"/>
    </row>
    <row r="58" spans="1:35" ht="15.75" x14ac:dyDescent="0.25">
      <c r="A58" s="515"/>
      <c r="B58" s="887"/>
      <c r="C58" s="887"/>
      <c r="D58" s="887"/>
      <c r="E58" s="887"/>
      <c r="F58" s="887"/>
      <c r="G58" s="887"/>
      <c r="H58" s="887"/>
      <c r="I58" s="484"/>
      <c r="J58" s="887"/>
      <c r="K58" s="887"/>
      <c r="L58" s="887"/>
      <c r="M58" s="887"/>
      <c r="N58" s="887"/>
      <c r="O58" s="464"/>
      <c r="P58" s="211"/>
      <c r="Q58" s="211"/>
      <c r="R58" s="211"/>
      <c r="S58" s="211"/>
      <c r="T58" s="211"/>
      <c r="U58" s="211"/>
      <c r="V58" s="211"/>
      <c r="W58" s="211"/>
      <c r="X58" s="211"/>
      <c r="Y58" s="211"/>
      <c r="Z58" s="211"/>
      <c r="AA58" s="211"/>
      <c r="AB58" s="211"/>
      <c r="AC58" s="211"/>
      <c r="AD58" s="211"/>
      <c r="AE58" s="211"/>
      <c r="AF58" s="211"/>
      <c r="AG58" s="211"/>
      <c r="AH58" s="211"/>
      <c r="AI58" s="211"/>
    </row>
    <row r="59" spans="1:35" ht="15.75" x14ac:dyDescent="0.25">
      <c r="A59" s="515"/>
      <c r="B59" s="887"/>
      <c r="C59" s="887"/>
      <c r="D59" s="887"/>
      <c r="E59" s="887"/>
      <c r="F59" s="887"/>
      <c r="G59" s="887"/>
      <c r="H59" s="887"/>
      <c r="I59" s="484"/>
      <c r="J59" s="887"/>
      <c r="K59" s="887"/>
      <c r="L59" s="887"/>
      <c r="M59" s="887"/>
      <c r="N59" s="887"/>
      <c r="O59" s="464"/>
      <c r="P59" s="211"/>
      <c r="Q59" s="211"/>
      <c r="R59" s="211"/>
      <c r="S59" s="211"/>
      <c r="T59" s="211"/>
      <c r="U59" s="211"/>
      <c r="V59" s="211"/>
      <c r="W59" s="211"/>
      <c r="X59" s="211"/>
      <c r="Y59" s="211"/>
      <c r="Z59" s="211"/>
      <c r="AA59" s="211"/>
      <c r="AB59" s="211"/>
      <c r="AC59" s="211"/>
      <c r="AD59" s="211"/>
      <c r="AE59" s="211"/>
      <c r="AF59" s="211"/>
      <c r="AG59" s="211"/>
      <c r="AH59" s="211"/>
      <c r="AI59" s="211"/>
    </row>
    <row r="60" spans="1:35" ht="15.75" x14ac:dyDescent="0.25">
      <c r="A60" s="515"/>
      <c r="B60" s="887"/>
      <c r="C60" s="887"/>
      <c r="D60" s="887"/>
      <c r="E60" s="887"/>
      <c r="F60" s="887"/>
      <c r="G60" s="887"/>
      <c r="H60" s="887"/>
      <c r="I60" s="484"/>
      <c r="J60" s="887"/>
      <c r="K60" s="887"/>
      <c r="L60" s="887"/>
      <c r="M60" s="887"/>
      <c r="N60" s="887"/>
      <c r="O60" s="464"/>
      <c r="P60" s="211"/>
      <c r="Q60" s="211"/>
      <c r="R60" s="211"/>
      <c r="S60" s="211"/>
      <c r="T60" s="211"/>
      <c r="U60" s="211"/>
      <c r="V60" s="211"/>
      <c r="W60" s="211"/>
      <c r="X60" s="211"/>
      <c r="Y60" s="211"/>
      <c r="Z60" s="211"/>
      <c r="AA60" s="211"/>
      <c r="AB60" s="211"/>
      <c r="AC60" s="211"/>
      <c r="AD60" s="211"/>
      <c r="AE60" s="211"/>
      <c r="AF60" s="211"/>
      <c r="AG60" s="211"/>
      <c r="AH60" s="211"/>
      <c r="AI60" s="211"/>
    </row>
    <row r="61" spans="1:35" ht="15.75" x14ac:dyDescent="0.25">
      <c r="A61" s="515"/>
      <c r="B61" s="887"/>
      <c r="C61" s="887"/>
      <c r="D61" s="887"/>
      <c r="E61" s="887"/>
      <c r="F61" s="887"/>
      <c r="G61" s="887"/>
      <c r="H61" s="887"/>
      <c r="I61" s="484"/>
      <c r="J61" s="887"/>
      <c r="K61" s="887"/>
      <c r="L61" s="887"/>
      <c r="M61" s="887"/>
      <c r="N61" s="887"/>
      <c r="O61" s="464"/>
      <c r="P61" s="211"/>
      <c r="Q61" s="211"/>
      <c r="R61" s="211"/>
      <c r="S61" s="211"/>
      <c r="T61" s="211"/>
      <c r="U61" s="211"/>
      <c r="V61" s="211"/>
      <c r="W61" s="211"/>
      <c r="X61" s="211"/>
      <c r="Y61" s="211"/>
      <c r="Z61" s="211"/>
      <c r="AA61" s="211"/>
      <c r="AB61" s="211"/>
      <c r="AC61" s="211"/>
      <c r="AD61" s="211"/>
      <c r="AE61" s="211"/>
      <c r="AF61" s="211"/>
      <c r="AG61" s="211"/>
      <c r="AH61" s="211"/>
      <c r="AI61" s="211"/>
    </row>
    <row r="62" spans="1:35" ht="15.75" x14ac:dyDescent="0.25">
      <c r="A62" s="515"/>
      <c r="B62" s="887"/>
      <c r="C62" s="887"/>
      <c r="D62" s="887"/>
      <c r="E62" s="887"/>
      <c r="F62" s="887"/>
      <c r="G62" s="887"/>
      <c r="H62" s="887"/>
      <c r="I62" s="484"/>
      <c r="J62" s="887"/>
      <c r="K62" s="887"/>
      <c r="L62" s="887"/>
      <c r="M62" s="887"/>
      <c r="N62" s="887"/>
      <c r="O62" s="464"/>
      <c r="P62" s="211"/>
      <c r="Q62" s="211"/>
      <c r="R62" s="211"/>
      <c r="S62" s="211"/>
      <c r="T62" s="211"/>
      <c r="U62" s="211"/>
      <c r="V62" s="211"/>
      <c r="W62" s="211"/>
      <c r="X62" s="211"/>
      <c r="Y62" s="211"/>
      <c r="Z62" s="211"/>
      <c r="AA62" s="211"/>
      <c r="AB62" s="211"/>
      <c r="AC62" s="211"/>
      <c r="AD62" s="211"/>
      <c r="AE62" s="211"/>
      <c r="AF62" s="211"/>
      <c r="AG62" s="211"/>
      <c r="AH62" s="211"/>
      <c r="AI62" s="211"/>
    </row>
    <row r="63" spans="1:35" ht="15.75" x14ac:dyDescent="0.25">
      <c r="A63" s="515"/>
      <c r="B63" s="887"/>
      <c r="C63" s="887"/>
      <c r="D63" s="887"/>
      <c r="E63" s="887"/>
      <c r="F63" s="887"/>
      <c r="G63" s="887"/>
      <c r="H63" s="887"/>
      <c r="I63" s="484"/>
      <c r="J63" s="887"/>
      <c r="K63" s="887"/>
      <c r="L63" s="887"/>
      <c r="M63" s="887"/>
      <c r="N63" s="887"/>
      <c r="O63" s="464"/>
      <c r="P63" s="211"/>
      <c r="Q63" s="211"/>
      <c r="R63" s="211"/>
      <c r="S63" s="211"/>
      <c r="T63" s="211"/>
      <c r="U63" s="211"/>
      <c r="V63" s="211"/>
      <c r="W63" s="211"/>
      <c r="X63" s="211"/>
      <c r="Y63" s="211"/>
      <c r="Z63" s="211"/>
      <c r="AA63" s="211"/>
      <c r="AB63" s="211"/>
      <c r="AC63" s="211"/>
      <c r="AD63" s="211"/>
      <c r="AE63" s="211"/>
      <c r="AF63" s="211"/>
      <c r="AG63" s="211"/>
      <c r="AH63" s="211"/>
      <c r="AI63" s="211"/>
    </row>
    <row r="64" spans="1:35" ht="16.5" thickBot="1" x14ac:dyDescent="0.3">
      <c r="A64" s="516"/>
      <c r="B64" s="489"/>
      <c r="C64" s="489"/>
      <c r="D64" s="489"/>
      <c r="E64" s="489"/>
      <c r="F64" s="489"/>
      <c r="G64" s="489"/>
      <c r="H64" s="489"/>
      <c r="I64" s="517"/>
      <c r="J64" s="489"/>
      <c r="K64" s="489"/>
      <c r="L64" s="489"/>
      <c r="M64" s="489"/>
      <c r="N64" s="489"/>
      <c r="O64" s="490"/>
      <c r="P64" s="211"/>
      <c r="Q64" s="211"/>
      <c r="R64" s="211"/>
      <c r="S64" s="211"/>
      <c r="T64" s="211"/>
      <c r="U64" s="211"/>
      <c r="V64" s="211"/>
      <c r="W64" s="211"/>
      <c r="X64" s="211"/>
      <c r="Y64" s="211"/>
      <c r="Z64" s="211"/>
      <c r="AA64" s="211"/>
      <c r="AB64" s="211"/>
      <c r="AC64" s="211"/>
      <c r="AD64" s="211"/>
      <c r="AE64" s="211"/>
      <c r="AF64" s="211"/>
      <c r="AG64" s="211"/>
      <c r="AH64" s="211"/>
      <c r="AI64" s="211"/>
    </row>
    <row r="65" spans="1:35" ht="15.75" x14ac:dyDescent="0.2">
      <c r="A65" s="211"/>
      <c r="B65" s="427"/>
      <c r="C65" s="158"/>
      <c r="D65" s="158"/>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row>
    <row r="66" spans="1:35" ht="15.75" x14ac:dyDescent="0.2">
      <c r="A66" s="211"/>
      <c r="B66" s="427" t="s">
        <v>661</v>
      </c>
      <c r="C66" s="158"/>
      <c r="D66" s="158"/>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row>
    <row r="67" spans="1:35" ht="15.75" x14ac:dyDescent="0.2">
      <c r="A67" s="211"/>
      <c r="B67" s="427"/>
      <c r="C67" s="158"/>
      <c r="D67" s="158"/>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row>
    <row r="68" spans="1:35" ht="20.25" customHeight="1" x14ac:dyDescent="0.2">
      <c r="A68" s="211"/>
      <c r="B68" s="427"/>
      <c r="C68" s="158"/>
      <c r="D68" s="158"/>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row>
    <row r="69" spans="1:35" ht="15.75" x14ac:dyDescent="0.2">
      <c r="A69" s="211"/>
      <c r="B69" s="427"/>
      <c r="C69" s="158"/>
      <c r="D69" s="158"/>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row>
    <row r="70" spans="1:35" ht="15.75" x14ac:dyDescent="0.2">
      <c r="A70" s="211"/>
      <c r="B70" s="427"/>
      <c r="C70" s="158"/>
      <c r="D70" s="158"/>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row>
    <row r="71" spans="1:35" ht="15.75" x14ac:dyDescent="0.2">
      <c r="A71" s="211"/>
      <c r="B71" s="427"/>
      <c r="C71" s="158"/>
      <c r="D71" s="158"/>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ht="15.75" x14ac:dyDescent="0.2">
      <c r="A72" s="211"/>
      <c r="B72" s="427"/>
      <c r="C72" s="158"/>
      <c r="D72" s="158"/>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ht="15.75" x14ac:dyDescent="0.2">
      <c r="A73" s="211"/>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c r="AE73" s="427"/>
      <c r="AF73" s="427"/>
      <c r="AG73" s="427"/>
      <c r="AH73" s="427"/>
      <c r="AI73" s="427"/>
    </row>
    <row r="74" spans="1:35" ht="15.75" x14ac:dyDescent="0.2">
      <c r="A74" s="211"/>
      <c r="B74" s="427"/>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c r="AA74" s="427"/>
      <c r="AB74" s="427"/>
      <c r="AC74" s="427"/>
      <c r="AD74" s="427"/>
      <c r="AE74" s="427"/>
      <c r="AF74" s="427"/>
      <c r="AG74" s="427"/>
      <c r="AH74" s="427"/>
      <c r="AI74" s="427"/>
    </row>
    <row r="75" spans="1:35" ht="15.75" x14ac:dyDescent="0.2">
      <c r="A75" s="427"/>
      <c r="B75" s="427"/>
      <c r="C75" s="427"/>
      <c r="D75" s="427"/>
      <c r="E75" s="427"/>
      <c r="F75" s="427"/>
      <c r="G75" s="427"/>
      <c r="H75" s="427"/>
      <c r="I75" s="427"/>
      <c r="J75" s="427"/>
      <c r="K75" s="427"/>
      <c r="L75" s="427"/>
      <c r="M75" s="427"/>
      <c r="N75" s="427"/>
      <c r="O75" s="427"/>
      <c r="P75" s="427"/>
      <c r="Q75" s="427"/>
      <c r="R75" s="427"/>
      <c r="S75" s="427"/>
      <c r="T75" s="427"/>
      <c r="U75" s="427"/>
      <c r="V75" s="427"/>
      <c r="W75" s="427"/>
      <c r="X75" s="427"/>
      <c r="Y75" s="427"/>
      <c r="Z75" s="427"/>
      <c r="AA75" s="427"/>
      <c r="AB75" s="427"/>
      <c r="AC75" s="427"/>
      <c r="AD75" s="427"/>
      <c r="AE75" s="427"/>
      <c r="AF75" s="427"/>
      <c r="AG75" s="427"/>
      <c r="AH75" s="427"/>
      <c r="AI75" s="427"/>
    </row>
    <row r="76" spans="1:35" ht="18.95" customHeight="1" x14ac:dyDescent="0.2">
      <c r="A76" s="427"/>
      <c r="B76" s="427"/>
      <c r="C76" s="427"/>
      <c r="D76" s="427"/>
      <c r="E76" s="427"/>
      <c r="F76" s="427"/>
      <c r="G76" s="427"/>
      <c r="H76" s="427"/>
      <c r="I76" s="427"/>
      <c r="J76" s="427"/>
      <c r="K76" s="427"/>
      <c r="L76" s="427"/>
      <c r="M76" s="427"/>
      <c r="N76" s="427"/>
      <c r="O76" s="427"/>
      <c r="P76" s="427"/>
      <c r="Q76" s="427"/>
      <c r="R76" s="427"/>
      <c r="S76" s="427"/>
      <c r="T76" s="427"/>
      <c r="U76" s="427"/>
      <c r="V76" s="427"/>
      <c r="W76" s="427"/>
      <c r="X76" s="427"/>
      <c r="Y76" s="427"/>
      <c r="Z76" s="427"/>
      <c r="AA76" s="427"/>
      <c r="AB76" s="427"/>
      <c r="AC76" s="427"/>
      <c r="AD76" s="427"/>
      <c r="AE76" s="427"/>
      <c r="AF76" s="427"/>
      <c r="AG76" s="427"/>
      <c r="AH76" s="427"/>
      <c r="AI76" s="427"/>
    </row>
    <row r="77" spans="1:35" ht="8.25" customHeight="1" x14ac:dyDescent="0.2">
      <c r="A77" s="427"/>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c r="AE77" s="427"/>
      <c r="AF77" s="427"/>
      <c r="AG77" s="427"/>
      <c r="AH77" s="427"/>
      <c r="AI77" s="427"/>
    </row>
    <row r="78" spans="1:35" ht="18.600000000000001" customHeight="1" x14ac:dyDescent="0.2">
      <c r="A78" s="427"/>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7"/>
      <c r="AD78" s="427"/>
      <c r="AE78" s="427"/>
      <c r="AF78" s="427"/>
      <c r="AG78" s="427"/>
      <c r="AH78" s="427"/>
      <c r="AI78" s="427"/>
    </row>
    <row r="79" spans="1:35" ht="39" customHeight="1" x14ac:dyDescent="0.2">
      <c r="A79" s="427"/>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row>
    <row r="80" spans="1:35" ht="7.35" customHeight="1" x14ac:dyDescent="0.2">
      <c r="A80" s="427"/>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c r="AC80" s="427"/>
      <c r="AD80" s="427"/>
      <c r="AE80" s="427"/>
      <c r="AF80" s="427"/>
      <c r="AG80" s="427"/>
      <c r="AH80" s="427"/>
      <c r="AI80" s="427"/>
    </row>
    <row r="81" spans="1:35" ht="18" customHeight="1" x14ac:dyDescent="0.2">
      <c r="A81" s="427"/>
      <c r="B81" s="427"/>
      <c r="C81" s="427"/>
      <c r="D81" s="427"/>
      <c r="E81" s="427"/>
      <c r="F81" s="427"/>
      <c r="G81" s="427"/>
      <c r="H81" s="427"/>
      <c r="I81" s="427"/>
      <c r="J81" s="427"/>
      <c r="K81" s="427"/>
      <c r="L81" s="427"/>
      <c r="M81" s="427"/>
      <c r="N81" s="427"/>
      <c r="O81" s="427"/>
      <c r="P81" s="427"/>
      <c r="Q81" s="427"/>
      <c r="R81" s="427"/>
      <c r="S81" s="427"/>
      <c r="T81" s="427"/>
      <c r="U81" s="427"/>
      <c r="V81" s="427"/>
      <c r="W81" s="427"/>
      <c r="X81" s="427"/>
      <c r="Y81" s="427"/>
      <c r="Z81" s="427"/>
      <c r="AA81" s="427"/>
      <c r="AB81" s="427"/>
      <c r="AC81" s="427"/>
      <c r="AD81" s="427"/>
      <c r="AE81" s="427"/>
      <c r="AF81" s="427"/>
      <c r="AG81" s="427"/>
      <c r="AH81" s="427"/>
      <c r="AI81" s="427"/>
    </row>
    <row r="82" spans="1:35" ht="41.1" customHeight="1" x14ac:dyDescent="0.2">
      <c r="A82" s="427"/>
      <c r="B82" s="427"/>
      <c r="C82" s="427"/>
      <c r="D82" s="427"/>
      <c r="E82" s="427"/>
      <c r="F82" s="427"/>
      <c r="G82" s="427"/>
      <c r="H82" s="427"/>
      <c r="I82" s="427"/>
      <c r="J82" s="427"/>
      <c r="K82" s="427"/>
      <c r="L82" s="427"/>
      <c r="M82" s="427"/>
      <c r="N82" s="427"/>
      <c r="O82" s="427"/>
      <c r="P82" s="427"/>
      <c r="Q82" s="427"/>
      <c r="R82" s="427"/>
      <c r="S82" s="427"/>
      <c r="T82" s="427"/>
      <c r="U82" s="427"/>
      <c r="V82" s="427"/>
      <c r="W82" s="427"/>
      <c r="X82" s="427"/>
      <c r="Y82" s="427"/>
      <c r="Z82" s="427"/>
      <c r="AA82" s="427"/>
      <c r="AB82" s="427"/>
      <c r="AC82" s="427"/>
      <c r="AD82" s="427"/>
      <c r="AE82" s="427"/>
      <c r="AF82" s="427"/>
      <c r="AG82" s="427"/>
      <c r="AH82" s="427"/>
      <c r="AI82" s="427"/>
    </row>
    <row r="83" spans="1:35" ht="8.25" customHeight="1" x14ac:dyDescent="0.2">
      <c r="A83" s="427"/>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427"/>
      <c r="AE83" s="427"/>
      <c r="AF83" s="427"/>
      <c r="AG83" s="427"/>
      <c r="AH83" s="427"/>
      <c r="AI83" s="427"/>
    </row>
    <row r="84" spans="1:35" ht="18" customHeight="1" x14ac:dyDescent="0.2">
      <c r="A84" s="427"/>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row>
    <row r="85" spans="1:35" ht="41.1" customHeight="1" x14ac:dyDescent="0.2">
      <c r="A85" s="427"/>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c r="AA85" s="427"/>
      <c r="AB85" s="427"/>
      <c r="AC85" s="427"/>
      <c r="AD85" s="427"/>
      <c r="AE85" s="427"/>
      <c r="AF85" s="427"/>
      <c r="AG85" s="427"/>
      <c r="AH85" s="427"/>
      <c r="AI85" s="427"/>
    </row>
    <row r="86" spans="1:35" ht="6" customHeight="1" x14ac:dyDescent="0.2">
      <c r="A86" s="427"/>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7"/>
      <c r="AD86" s="427"/>
      <c r="AE86" s="427"/>
      <c r="AF86" s="427"/>
      <c r="AG86" s="427"/>
      <c r="AH86" s="427"/>
      <c r="AI86" s="427"/>
    </row>
    <row r="87" spans="1:35" ht="18" customHeight="1" x14ac:dyDescent="0.2">
      <c r="A87" s="427"/>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427"/>
      <c r="AF87" s="427"/>
      <c r="AG87" s="427"/>
      <c r="AH87" s="427"/>
      <c r="AI87" s="427"/>
    </row>
    <row r="88" spans="1:35" ht="41.1" customHeight="1" x14ac:dyDescent="0.2">
      <c r="A88" s="427"/>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c r="AC88" s="427"/>
      <c r="AD88" s="427"/>
      <c r="AE88" s="427"/>
      <c r="AF88" s="427"/>
      <c r="AG88" s="427"/>
      <c r="AH88" s="427"/>
      <c r="AI88" s="427"/>
    </row>
    <row r="89" spans="1:35" ht="6" customHeight="1" x14ac:dyDescent="0.2">
      <c r="A89" s="427"/>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427"/>
      <c r="AF89" s="427"/>
      <c r="AG89" s="427"/>
      <c r="AH89" s="427"/>
      <c r="AI89" s="427"/>
    </row>
    <row r="90" spans="1:35" ht="18" customHeight="1" x14ac:dyDescent="0.2">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427"/>
      <c r="AF90" s="427"/>
      <c r="AG90" s="427"/>
      <c r="AH90" s="427"/>
      <c r="AI90" s="427"/>
    </row>
    <row r="91" spans="1:35" ht="40.5" customHeight="1" x14ac:dyDescent="0.2">
      <c r="A91" s="427"/>
      <c r="B91" s="427"/>
      <c r="C91" s="427"/>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c r="AC91" s="427"/>
      <c r="AD91" s="427"/>
      <c r="AE91" s="427"/>
      <c r="AF91" s="427"/>
      <c r="AG91" s="427"/>
      <c r="AH91" s="427"/>
      <c r="AI91" s="427"/>
    </row>
    <row r="92" spans="1:35" ht="6.6" customHeight="1" x14ac:dyDescent="0.2">
      <c r="A92" s="427"/>
      <c r="B92" s="427"/>
      <c r="C92" s="427"/>
      <c r="D92" s="427"/>
      <c r="E92" s="427"/>
      <c r="F92" s="427"/>
      <c r="G92" s="427"/>
      <c r="H92" s="427"/>
      <c r="I92" s="427"/>
      <c r="J92" s="427"/>
      <c r="K92" s="427"/>
      <c r="L92" s="427"/>
      <c r="M92" s="427"/>
      <c r="N92" s="427"/>
      <c r="O92" s="427"/>
      <c r="P92" s="427"/>
      <c r="Q92" s="427"/>
      <c r="R92" s="427"/>
      <c r="S92" s="427"/>
      <c r="T92" s="427"/>
      <c r="U92" s="448"/>
      <c r="V92" s="448"/>
      <c r="W92" s="448"/>
      <c r="X92" s="448"/>
      <c r="Y92" s="448"/>
      <c r="Z92" s="448"/>
      <c r="AA92" s="448"/>
      <c r="AB92" s="427"/>
      <c r="AC92" s="427"/>
      <c r="AD92" s="427"/>
      <c r="AE92" s="448"/>
      <c r="AF92" s="448"/>
      <c r="AG92" s="448"/>
      <c r="AH92" s="448"/>
      <c r="AI92" s="448"/>
    </row>
    <row r="93" spans="1:35" ht="15.75" x14ac:dyDescent="0.2">
      <c r="A93" s="427"/>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427"/>
      <c r="AF93" s="427"/>
      <c r="AG93" s="427"/>
      <c r="AH93" s="427"/>
      <c r="AI93" s="427"/>
    </row>
    <row r="94" spans="1:35" ht="15.75" x14ac:dyDescent="0.25">
      <c r="A94" s="53"/>
      <c r="B94" s="427"/>
      <c r="C94" s="427"/>
      <c r="D94" s="427"/>
      <c r="E94" s="427"/>
      <c r="F94" s="427"/>
      <c r="G94" s="427"/>
      <c r="H94" s="427"/>
      <c r="I94" s="427"/>
      <c r="J94" s="427"/>
      <c r="K94" s="427"/>
      <c r="L94" s="427"/>
      <c r="M94" s="427"/>
      <c r="N94" s="427"/>
      <c r="O94" s="427"/>
      <c r="P94" s="427"/>
      <c r="Q94" s="427"/>
      <c r="R94" s="427"/>
      <c r="S94" s="427"/>
      <c r="T94" s="427"/>
      <c r="U94" s="427"/>
      <c r="V94" s="427"/>
      <c r="W94" s="427"/>
      <c r="X94" s="427"/>
      <c r="Y94" s="427"/>
      <c r="Z94" s="427"/>
      <c r="AA94" s="427"/>
      <c r="AB94" s="427"/>
      <c r="AC94" s="427"/>
      <c r="AD94" s="427"/>
      <c r="AE94" s="427"/>
      <c r="AF94" s="427"/>
      <c r="AG94" s="427"/>
      <c r="AH94" s="427"/>
      <c r="AI94" s="427"/>
    </row>
    <row r="95" spans="1:35" ht="15.75" x14ac:dyDescent="0.25">
      <c r="A95" s="53"/>
      <c r="B95" s="427"/>
      <c r="C95" s="427"/>
      <c r="D95" s="427"/>
      <c r="E95" s="427"/>
      <c r="F95" s="427"/>
      <c r="G95" s="427"/>
      <c r="H95" s="427"/>
      <c r="I95" s="427"/>
      <c r="J95" s="427"/>
      <c r="K95" s="427"/>
      <c r="L95" s="427"/>
      <c r="M95" s="427"/>
      <c r="N95" s="427"/>
      <c r="O95" s="427"/>
      <c r="P95" s="427"/>
      <c r="Q95" s="427"/>
      <c r="R95" s="427"/>
      <c r="S95" s="427"/>
      <c r="T95" s="427"/>
      <c r="U95" s="427"/>
      <c r="V95" s="427"/>
      <c r="W95" s="427"/>
      <c r="X95" s="427"/>
      <c r="Y95" s="427"/>
      <c r="Z95" s="427"/>
      <c r="AA95" s="427"/>
      <c r="AB95" s="427"/>
      <c r="AC95" s="427"/>
      <c r="AD95" s="427"/>
      <c r="AE95" s="427"/>
      <c r="AF95" s="427"/>
      <c r="AG95" s="427"/>
      <c r="AH95" s="427"/>
      <c r="AI95" s="427"/>
    </row>
    <row r="96" spans="1:35" ht="15.75" x14ac:dyDescent="0.25">
      <c r="A96" s="53"/>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c r="AC96" s="427"/>
      <c r="AD96" s="427"/>
      <c r="AE96" s="427"/>
      <c r="AF96" s="427"/>
      <c r="AG96" s="427"/>
      <c r="AH96" s="427"/>
      <c r="AI96" s="427"/>
    </row>
    <row r="97" spans="1:35" ht="15.75" x14ac:dyDescent="0.25">
      <c r="A97" s="53"/>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c r="AC97" s="427"/>
      <c r="AD97" s="427"/>
      <c r="AE97" s="427"/>
      <c r="AF97" s="427"/>
      <c r="AG97" s="427"/>
      <c r="AH97" s="427"/>
      <c r="AI97" s="427"/>
    </row>
    <row r="98" spans="1:35" ht="15.75" x14ac:dyDescent="0.25">
      <c r="A98" s="53"/>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c r="AC98" s="427"/>
      <c r="AD98" s="427"/>
      <c r="AE98" s="427"/>
      <c r="AF98" s="427"/>
      <c r="AG98" s="427"/>
      <c r="AH98" s="427"/>
      <c r="AI98" s="427"/>
    </row>
    <row r="99" spans="1:35" ht="15.75" x14ac:dyDescent="0.25">
      <c r="A99" s="53"/>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7"/>
      <c r="AD99" s="427"/>
      <c r="AE99" s="427"/>
      <c r="AF99" s="427"/>
      <c r="AG99" s="427"/>
      <c r="AH99" s="427"/>
      <c r="AI99" s="427"/>
    </row>
    <row r="100" spans="1:35" ht="15.75" x14ac:dyDescent="0.25">
      <c r="A100" s="53"/>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c r="AC100" s="427"/>
      <c r="AD100" s="427"/>
      <c r="AE100" s="427"/>
      <c r="AF100" s="427"/>
      <c r="AG100" s="427"/>
      <c r="AH100" s="427"/>
      <c r="AI100" s="427"/>
    </row>
    <row r="101" spans="1:35" ht="15.75" x14ac:dyDescent="0.25">
      <c r="A101" s="53"/>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7"/>
    </row>
    <row r="102" spans="1:35" ht="15.75" x14ac:dyDescent="0.25">
      <c r="A102" s="53"/>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c r="AC102" s="427"/>
      <c r="AD102" s="427"/>
      <c r="AE102" s="427"/>
      <c r="AF102" s="427"/>
      <c r="AG102" s="427"/>
      <c r="AH102" s="427"/>
      <c r="AI102" s="427"/>
    </row>
    <row r="103" spans="1:35" ht="15.75" x14ac:dyDescent="0.25">
      <c r="A103" s="53"/>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27"/>
      <c r="AD103" s="427"/>
      <c r="AE103" s="427"/>
      <c r="AF103" s="427"/>
      <c r="AG103" s="427"/>
      <c r="AH103" s="427"/>
      <c r="AI103" s="427"/>
    </row>
    <row r="104" spans="1:35" ht="15.75" x14ac:dyDescent="0.25">
      <c r="A104" s="53"/>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427"/>
      <c r="AF104" s="427"/>
      <c r="AG104" s="427"/>
      <c r="AH104" s="427"/>
      <c r="AI104" s="427"/>
    </row>
    <row r="105" spans="1:35" ht="15.75" x14ac:dyDescent="0.25">
      <c r="A105" s="53"/>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7"/>
      <c r="AD105" s="427"/>
      <c r="AE105" s="427"/>
      <c r="AF105" s="427"/>
      <c r="AG105" s="427"/>
      <c r="AH105" s="427"/>
      <c r="AI105" s="427"/>
    </row>
    <row r="106" spans="1:35" ht="15.75" x14ac:dyDescent="0.25">
      <c r="A106" s="53"/>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c r="AC106" s="427"/>
      <c r="AD106" s="427"/>
      <c r="AE106" s="427"/>
      <c r="AF106" s="427"/>
      <c r="AG106" s="427"/>
      <c r="AH106" s="427"/>
      <c r="AI106" s="427"/>
    </row>
    <row r="107" spans="1:35" ht="15.75" x14ac:dyDescent="0.25">
      <c r="A107" s="53"/>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7"/>
      <c r="AB107" s="427"/>
      <c r="AC107" s="427"/>
      <c r="AD107" s="427"/>
      <c r="AE107" s="427"/>
      <c r="AF107" s="427"/>
      <c r="AG107" s="427"/>
      <c r="AH107" s="427"/>
      <c r="AI107" s="427"/>
    </row>
    <row r="108" spans="1:35" ht="15.75" x14ac:dyDescent="0.25">
      <c r="A108" s="53"/>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7"/>
      <c r="AB108" s="427"/>
      <c r="AC108" s="427"/>
      <c r="AD108" s="427"/>
      <c r="AE108" s="427"/>
      <c r="AF108" s="427"/>
      <c r="AG108" s="427"/>
      <c r="AH108" s="427"/>
      <c r="AI108" s="427"/>
    </row>
    <row r="109" spans="1:35" ht="15.75" x14ac:dyDescent="0.25">
      <c r="A109" s="53"/>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7"/>
      <c r="AD109" s="427"/>
      <c r="AE109" s="427"/>
      <c r="AF109" s="427"/>
      <c r="AG109" s="427"/>
      <c r="AH109" s="427"/>
      <c r="AI109" s="427"/>
    </row>
    <row r="110" spans="1:35" ht="15.75" x14ac:dyDescent="0.25">
      <c r="A110" s="53"/>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c r="AE110" s="427"/>
      <c r="AF110" s="427"/>
      <c r="AG110" s="427"/>
      <c r="AH110" s="427"/>
      <c r="AI110" s="427"/>
    </row>
    <row r="111" spans="1:35" ht="15.75" x14ac:dyDescent="0.25">
      <c r="A111" s="53"/>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c r="AC111" s="427"/>
      <c r="AD111" s="427"/>
      <c r="AE111" s="427"/>
      <c r="AF111" s="427"/>
      <c r="AG111" s="427"/>
      <c r="AH111" s="427"/>
      <c r="AI111" s="427"/>
    </row>
    <row r="112" spans="1:35" ht="15.75" x14ac:dyDescent="0.25">
      <c r="A112" s="53"/>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c r="AC112" s="427"/>
      <c r="AD112" s="427"/>
      <c r="AE112" s="427"/>
      <c r="AF112" s="427"/>
      <c r="AG112" s="427"/>
      <c r="AH112" s="427"/>
      <c r="AI112" s="427"/>
    </row>
    <row r="113" spans="1:35" ht="15.75" x14ac:dyDescent="0.25">
      <c r="A113" s="53"/>
      <c r="B113" s="427"/>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7"/>
      <c r="AB113" s="427"/>
      <c r="AC113" s="427"/>
      <c r="AD113" s="427"/>
      <c r="AE113" s="427"/>
      <c r="AF113" s="427"/>
      <c r="AG113" s="427"/>
      <c r="AH113" s="427"/>
      <c r="AI113" s="427"/>
    </row>
    <row r="114" spans="1:35" ht="15.75"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row>
    <row r="115" spans="1:35" ht="15.75"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row>
    <row r="116" spans="1:35" ht="15.75"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row>
    <row r="117" spans="1:35" ht="15.75"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row>
    <row r="118" spans="1:35" ht="15.75"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row>
    <row r="119" spans="1:35" ht="15.75"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row>
    <row r="120" spans="1:35" ht="15.75"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row>
  </sheetData>
  <sheetProtection algorithmName="SHA-512" hashValue="WVTztnBeVjW+DnEZL1PLFyjWep6GY8l9WplOqdvgFLV5CmZZhfsrTQ9a6RcZbXOTnanzAnzRPemaEf+4+VGBZA==" saltValue="cczoCZM5GXuGQRPWwnPlJw==" spinCount="100000" sheet="1" objects="1" scenarios="1"/>
  <protectedRanges>
    <protectedRange sqref="H3" name="Range1_1"/>
  </protectedRanges>
  <mergeCells count="44">
    <mergeCell ref="B62:H62"/>
    <mergeCell ref="J62:N62"/>
    <mergeCell ref="B63:H63"/>
    <mergeCell ref="J63:N63"/>
    <mergeCell ref="B59:H59"/>
    <mergeCell ref="J59:N59"/>
    <mergeCell ref="B60:H60"/>
    <mergeCell ref="J60:N60"/>
    <mergeCell ref="B61:H61"/>
    <mergeCell ref="J61:N61"/>
    <mergeCell ref="B56:H56"/>
    <mergeCell ref="J56:N56"/>
    <mergeCell ref="B57:H57"/>
    <mergeCell ref="J57:N57"/>
    <mergeCell ref="B58:H58"/>
    <mergeCell ref="J58:N58"/>
    <mergeCell ref="B53:H53"/>
    <mergeCell ref="J53:N53"/>
    <mergeCell ref="B54:H54"/>
    <mergeCell ref="J54:N54"/>
    <mergeCell ref="B55:H55"/>
    <mergeCell ref="J55:N55"/>
    <mergeCell ref="B40:H40"/>
    <mergeCell ref="B35:H35"/>
    <mergeCell ref="B36:H36"/>
    <mergeCell ref="B37:H37"/>
    <mergeCell ref="B38:H38"/>
    <mergeCell ref="B39:H39"/>
    <mergeCell ref="J40:N40"/>
    <mergeCell ref="J41:N41"/>
    <mergeCell ref="J42:N42"/>
    <mergeCell ref="J35:N35"/>
    <mergeCell ref="J36:N36"/>
    <mergeCell ref="J37:N37"/>
    <mergeCell ref="J38:N38"/>
    <mergeCell ref="J39:N39"/>
    <mergeCell ref="J43:N43"/>
    <mergeCell ref="J44:N44"/>
    <mergeCell ref="J45:N45"/>
    <mergeCell ref="B41:H41"/>
    <mergeCell ref="B42:H42"/>
    <mergeCell ref="B43:H43"/>
    <mergeCell ref="B44:H44"/>
    <mergeCell ref="B45:H45"/>
  </mergeCells>
  <conditionalFormatting sqref="B13:B27">
    <cfRule type="cellIs" dxfId="121" priority="195" operator="equal">
      <formula>"Complete"</formula>
    </cfRule>
    <cfRule type="cellIs" dxfId="120" priority="196" operator="equal">
      <formula>"Incomplete"</formula>
    </cfRule>
    <cfRule type="cellIs" dxfId="119" priority="193" operator="equal">
      <formula>"May be incomplete"</formula>
    </cfRule>
    <cfRule type="cellIs" dxfId="118" priority="194" operator="equal">
      <formula>"N/A"</formula>
    </cfRule>
  </conditionalFormatting>
  <conditionalFormatting sqref="B35:B45">
    <cfRule type="cellIs" dxfId="117" priority="145" operator="equal">
      <formula>"May be incomplete"</formula>
    </cfRule>
    <cfRule type="cellIs" dxfId="116" priority="146" operator="equal">
      <formula>"N/A"</formula>
    </cfRule>
    <cfRule type="cellIs" dxfId="115" priority="147" operator="equal">
      <formula>"Complete"</formula>
    </cfRule>
    <cfRule type="cellIs" dxfId="114" priority="148" operator="equal">
      <formula>"Incomplete"</formula>
    </cfRule>
  </conditionalFormatting>
  <conditionalFormatting sqref="B53:B63">
    <cfRule type="cellIs" dxfId="113" priority="47" operator="equal">
      <formula>"Complete"</formula>
    </cfRule>
    <cfRule type="cellIs" dxfId="112" priority="45" operator="equal">
      <formula>"May be incomplete"</formula>
    </cfRule>
    <cfRule type="cellIs" dxfId="111" priority="46" operator="equal">
      <formula>"N/A"</formula>
    </cfRule>
    <cfRule type="cellIs" dxfId="110" priority="48" operator="equal">
      <formula>"Incomplete"</formula>
    </cfRule>
  </conditionalFormatting>
  <conditionalFormatting sqref="D13:D27">
    <cfRule type="cellIs" dxfId="109" priority="269" operator="equal">
      <formula>"May be incomplete"</formula>
    </cfRule>
    <cfRule type="cellIs" dxfId="108" priority="272" operator="equal">
      <formula>"Incomplete"</formula>
    </cfRule>
    <cfRule type="cellIs" dxfId="107" priority="271" operator="equal">
      <formula>"Complete"</formula>
    </cfRule>
    <cfRule type="cellIs" dxfId="106" priority="270" operator="equal">
      <formula>"N/A"</formula>
    </cfRule>
  </conditionalFormatting>
  <conditionalFormatting sqref="F6">
    <cfRule type="cellIs" dxfId="105" priority="101" operator="equal">
      <formula>"May be incomplete"</formula>
    </cfRule>
    <cfRule type="cellIs" dxfId="104" priority="102" operator="equal">
      <formula>"N/A"</formula>
    </cfRule>
    <cfRule type="cellIs" dxfId="103" priority="103" operator="equal">
      <formula>"Complete"</formula>
    </cfRule>
    <cfRule type="cellIs" dxfId="102" priority="104" operator="equal">
      <formula>"Incomplete"</formula>
    </cfRule>
  </conditionalFormatting>
  <conditionalFormatting sqref="F13:F27">
    <cfRule type="cellIs" dxfId="101" priority="236" operator="equal">
      <formula>"Incomplete"</formula>
    </cfRule>
    <cfRule type="cellIs" dxfId="100" priority="235" operator="equal">
      <formula>"Complete"</formula>
    </cfRule>
    <cfRule type="cellIs" dxfId="99" priority="234" operator="equal">
      <formula>"N/A"</formula>
    </cfRule>
    <cfRule type="cellIs" dxfId="98" priority="233" operator="equal">
      <formula>"May be incomplete"</formula>
    </cfRule>
  </conditionalFormatting>
  <conditionalFormatting sqref="H3">
    <cfRule type="cellIs" dxfId="97" priority="2" operator="equal">
      <formula>"N/A"</formula>
    </cfRule>
    <cfRule type="cellIs" dxfId="96" priority="3" operator="equal">
      <formula>"Complete"</formula>
    </cfRule>
    <cfRule type="cellIs" dxfId="95" priority="4" operator="equal">
      <formula>"Incomplete"</formula>
    </cfRule>
    <cfRule type="cellIs" dxfId="94" priority="1" operator="equal">
      <formula>"May be incomplete"</formula>
    </cfRule>
  </conditionalFormatting>
  <conditionalFormatting sqref="H13:H27">
    <cfRule type="cellIs" dxfId="93" priority="231" operator="equal">
      <formula>"Complete"</formula>
    </cfRule>
    <cfRule type="cellIs" dxfId="92" priority="232" operator="equal">
      <formula>"Incomplete"</formula>
    </cfRule>
    <cfRule type="cellIs" dxfId="91" priority="230" operator="equal">
      <formula>"N/A"</formula>
    </cfRule>
    <cfRule type="cellIs" dxfId="90" priority="229" operator="equal">
      <formula>"May be incomplete"</formula>
    </cfRule>
  </conditionalFormatting>
  <conditionalFormatting sqref="I35:J45">
    <cfRule type="cellIs" dxfId="89" priority="105" operator="equal">
      <formula>"May be incomplete"</formula>
    </cfRule>
    <cfRule type="cellIs" dxfId="88" priority="106" operator="equal">
      <formula>"N/A"</formula>
    </cfRule>
    <cfRule type="cellIs" dxfId="87" priority="107" operator="equal">
      <formula>"Complete"</formula>
    </cfRule>
    <cfRule type="cellIs" dxfId="86" priority="108" operator="equal">
      <formula>"Incomplete"</formula>
    </cfRule>
  </conditionalFormatting>
  <conditionalFormatting sqref="I53:J63">
    <cfRule type="cellIs" dxfId="85" priority="6" operator="equal">
      <formula>"N/A"</formula>
    </cfRule>
    <cfRule type="cellIs" dxfId="84" priority="7" operator="equal">
      <formula>"Complete"</formula>
    </cfRule>
    <cfRule type="cellIs" dxfId="83" priority="8" operator="equal">
      <formula>"Incomplete"</formula>
    </cfRule>
    <cfRule type="cellIs" dxfId="82" priority="5" operator="equal">
      <formula>"May be incomplete"</formula>
    </cfRule>
  </conditionalFormatting>
  <conditionalFormatting sqref="J13:J27">
    <cfRule type="cellIs" dxfId="81" priority="93" operator="equal">
      <formula>"May be incomplete"</formula>
    </cfRule>
    <cfRule type="cellIs" dxfId="80" priority="94" operator="equal">
      <formula>"N/A"</formula>
    </cfRule>
    <cfRule type="cellIs" dxfId="79" priority="96" operator="equal">
      <formula>"Incomplete"</formula>
    </cfRule>
    <cfRule type="cellIs" dxfId="78" priority="95" operator="equal">
      <formula>"Complete"</formula>
    </cfRule>
  </conditionalFormatting>
  <conditionalFormatting sqref="L13:L27">
    <cfRule type="cellIs" dxfId="77" priority="226" operator="equal">
      <formula>"N/A"</formula>
    </cfRule>
    <cfRule type="cellIs" dxfId="76" priority="225" operator="equal">
      <formula>"May be incomplete"</formula>
    </cfRule>
    <cfRule type="cellIs" dxfId="75" priority="228" operator="equal">
      <formula>"Incomplete"</formula>
    </cfRule>
    <cfRule type="cellIs" dxfId="74" priority="227" operator="equal">
      <formula>"Complete"</formula>
    </cfRule>
  </conditionalFormatting>
  <conditionalFormatting sqref="N13:N27">
    <cfRule type="cellIs" dxfId="73" priority="221" operator="equal">
      <formula>"May be incomplete"</formula>
    </cfRule>
    <cfRule type="cellIs" dxfId="72" priority="224" operator="equal">
      <formula>"Incomplete"</formula>
    </cfRule>
    <cfRule type="cellIs" dxfId="71" priority="223" operator="equal">
      <formula>"Complete"</formula>
    </cfRule>
    <cfRule type="cellIs" dxfId="70" priority="222" operator="equal">
      <formula>"N/A"</formula>
    </cfRule>
  </conditionalFormatting>
  <conditionalFormatting sqref="P13:P27">
    <cfRule type="cellIs" dxfId="69" priority="218" operator="equal">
      <formula>"N/A"</formula>
    </cfRule>
    <cfRule type="cellIs" dxfId="68" priority="219" operator="equal">
      <formula>"Complete"</formula>
    </cfRule>
    <cfRule type="cellIs" dxfId="67" priority="220" operator="equal">
      <formula>"Incomplete"</formula>
    </cfRule>
    <cfRule type="cellIs" dxfId="66" priority="217" operator="equal">
      <formula>"May be incomplete"</formula>
    </cfRule>
  </conditionalFormatting>
  <conditionalFormatting sqref="R13:R27">
    <cfRule type="cellIs" dxfId="65" priority="191" operator="equal">
      <formula>"Complete"</formula>
    </cfRule>
    <cfRule type="cellIs" dxfId="64" priority="192" operator="equal">
      <formula>"Incomplete"</formula>
    </cfRule>
    <cfRule type="cellIs" dxfId="63" priority="190" operator="equal">
      <formula>"N/A"</formula>
    </cfRule>
    <cfRule type="cellIs" dxfId="62" priority="189" operator="equal">
      <formula>"May be incomplete"</formula>
    </cfRule>
  </conditionalFormatting>
  <conditionalFormatting sqref="T13:T27">
    <cfRule type="cellIs" dxfId="61" priority="185" operator="equal">
      <formula>"May be incomplete"</formula>
    </cfRule>
    <cfRule type="cellIs" dxfId="60" priority="188" operator="equal">
      <formula>"Incomplete"</formula>
    </cfRule>
    <cfRule type="cellIs" dxfId="59" priority="187" operator="equal">
      <formula>"Complete"</formula>
    </cfRule>
    <cfRule type="cellIs" dxfId="58" priority="186" operator="equal">
      <formula>"N/A"</formula>
    </cfRule>
  </conditionalFormatting>
  <conditionalFormatting sqref="V13:V27">
    <cfRule type="cellIs" dxfId="57" priority="212" operator="equal">
      <formula>"Incomplete"</formula>
    </cfRule>
    <cfRule type="cellIs" dxfId="56" priority="210" operator="equal">
      <formula>"N/A"</formula>
    </cfRule>
    <cfRule type="cellIs" dxfId="55" priority="209" operator="equal">
      <formula>"May be incomplete"</formula>
    </cfRule>
    <cfRule type="cellIs" dxfId="54" priority="211" operator="equal">
      <formula>"Complete"</formula>
    </cfRule>
  </conditionalFormatting>
  <conditionalFormatting sqref="X13:X27">
    <cfRule type="cellIs" dxfId="53" priority="205" operator="equal">
      <formula>"May be incomplete"</formula>
    </cfRule>
    <cfRule type="cellIs" dxfId="52" priority="208" operator="equal">
      <formula>"Incomplete"</formula>
    </cfRule>
    <cfRule type="cellIs" dxfId="51" priority="207" operator="equal">
      <formula>"Complete"</formula>
    </cfRule>
    <cfRule type="cellIs" dxfId="50" priority="206" operator="equal">
      <formula>"N/A"</formula>
    </cfRule>
  </conditionalFormatting>
  <conditionalFormatting sqref="Z13:Z27">
    <cfRule type="cellIs" dxfId="49" priority="204" operator="equal">
      <formula>"Incomplete"</formula>
    </cfRule>
    <cfRule type="cellIs" dxfId="48" priority="203" operator="equal">
      <formula>"Complete"</formula>
    </cfRule>
    <cfRule type="cellIs" dxfId="47" priority="202" operator="equal">
      <formula>"N/A"</formula>
    </cfRule>
    <cfRule type="cellIs" dxfId="46" priority="201" operator="equal">
      <formula>"May be incomplete"</formula>
    </cfRule>
  </conditionalFormatting>
  <conditionalFormatting sqref="AB13:AB27">
    <cfRule type="cellIs" dxfId="45" priority="199" operator="equal">
      <formula>"Complete"</formula>
    </cfRule>
    <cfRule type="cellIs" dxfId="44" priority="200" operator="equal">
      <formula>"Incomplete"</formula>
    </cfRule>
    <cfRule type="cellIs" dxfId="43" priority="197" operator="equal">
      <formula>"May be incomplete"</formula>
    </cfRule>
    <cfRule type="cellIs" dxfId="42" priority="198" operator="equal">
      <formula>"N/A"</formula>
    </cfRule>
  </conditionalFormatting>
  <conditionalFormatting sqref="AE6">
    <cfRule type="cellIs" dxfId="41" priority="99" operator="equal">
      <formula>"Complete"</formula>
    </cfRule>
    <cfRule type="cellIs" dxfId="40" priority="100" operator="equal">
      <formula>"Incomplete"</formula>
    </cfRule>
  </conditionalFormatting>
  <conditionalFormatting sqref="AE13">
    <cfRule type="cellIs" dxfId="39" priority="97" operator="equal">
      <formula>"Complete"</formula>
    </cfRule>
    <cfRule type="cellIs" dxfId="38" priority="98" operator="equal">
      <formula>"Incomplete"</formula>
    </cfRule>
  </conditionalFormatting>
  <dataValidations count="3">
    <dataValidation allowBlank="1" showErrorMessage="1" sqref="F10:F11 AB10:AB11 P10:P11 N10:N11 H11 X10:X11 V10:V11 Z10:Z11 T10:T11 R10:R11 L10 D10 H3" xr:uid="{00000000-0002-0000-2200-000000000000}"/>
    <dataValidation type="list" allowBlank="1" showInputMessage="1" showErrorMessage="1" sqref="B13:B27" xr:uid="{00000000-0002-0000-2200-000001000000}">
      <formula1>"Select, Letter of credit, Guarantee"</formula1>
    </dataValidation>
    <dataValidation type="list" allowBlank="1" showInputMessage="1" showErrorMessage="1" sqref="F6" xr:uid="{00000000-0002-0000-2200-000002000000}">
      <formula1>"Yes, No"</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0070C0"/>
  </sheetPr>
  <dimension ref="A1:V50"/>
  <sheetViews>
    <sheetView workbookViewId="0">
      <selection activeCell="K19" sqref="K19"/>
    </sheetView>
  </sheetViews>
  <sheetFormatPr defaultColWidth="0" defaultRowHeight="14.25" zeroHeight="1" x14ac:dyDescent="0.2"/>
  <cols>
    <col min="1" max="2" width="1.625" customWidth="1"/>
    <col min="3" max="3" width="0.625" customWidth="1"/>
    <col min="4" max="6" width="9" customWidth="1"/>
    <col min="7" max="7" width="44.125" customWidth="1"/>
    <col min="8" max="9" width="9" customWidth="1"/>
    <col min="10" max="10" width="13.875" customWidth="1"/>
    <col min="11" max="11" width="63.125" customWidth="1"/>
    <col min="12" max="12" width="1.375" customWidth="1"/>
    <col min="13" max="16" width="9" customWidth="1"/>
    <col min="17" max="22" width="9" hidden="1"/>
  </cols>
  <sheetData>
    <row r="1" spans="1:16" ht="15.75" x14ac:dyDescent="0.25">
      <c r="A1" s="59">
        <v>1</v>
      </c>
      <c r="B1" s="59"/>
      <c r="C1" s="59"/>
      <c r="D1" s="60"/>
      <c r="E1" s="60"/>
      <c r="F1" s="60"/>
      <c r="G1" s="60"/>
      <c r="H1" s="60"/>
      <c r="I1" s="60"/>
      <c r="J1" s="60"/>
      <c r="K1" s="60"/>
      <c r="L1" s="60"/>
      <c r="M1" s="60"/>
      <c r="N1" s="60"/>
      <c r="O1" s="60"/>
      <c r="P1" s="60"/>
    </row>
    <row r="2" spans="1:16" ht="41.25" customHeight="1" x14ac:dyDescent="0.25">
      <c r="A2" s="60"/>
      <c r="B2" s="60"/>
      <c r="C2" s="60"/>
      <c r="D2" s="60"/>
      <c r="E2" s="60"/>
      <c r="F2" s="60"/>
      <c r="G2" s="60"/>
      <c r="H2" s="333" t="s">
        <v>763</v>
      </c>
      <c r="I2" s="60"/>
      <c r="J2" s="60"/>
      <c r="K2" s="60"/>
      <c r="L2" s="60"/>
      <c r="M2" s="60"/>
      <c r="N2" s="60"/>
      <c r="O2" s="60"/>
      <c r="P2" s="60"/>
    </row>
    <row r="3" spans="1:16" ht="24" customHeight="1" x14ac:dyDescent="0.25">
      <c r="A3" s="447"/>
      <c r="B3" s="96" t="s">
        <v>638</v>
      </c>
      <c r="C3" s="447"/>
      <c r="D3" s="447"/>
      <c r="E3" s="447"/>
      <c r="F3" s="447"/>
      <c r="G3" s="447"/>
      <c r="H3" s="688" t="str">
        <f>IF(Control!$E$6="Biannual", "No","Yes")</f>
        <v>Yes</v>
      </c>
      <c r="I3" s="447"/>
      <c r="J3" s="447"/>
      <c r="K3" s="447"/>
      <c r="L3" s="447"/>
      <c r="M3" s="447"/>
      <c r="N3" s="447"/>
      <c r="O3" s="447"/>
      <c r="P3" s="447"/>
    </row>
    <row r="4" spans="1:16" ht="15.75" x14ac:dyDescent="0.25">
      <c r="A4" s="447"/>
      <c r="B4" s="447" t="str">
        <f>Index!D109</f>
        <v>Information required on Class 12 authorisation status.</v>
      </c>
      <c r="C4" s="447"/>
      <c r="D4" s="447"/>
      <c r="E4" s="447"/>
      <c r="F4" s="447"/>
      <c r="G4" s="447"/>
      <c r="H4" s="447"/>
      <c r="I4" s="447"/>
      <c r="J4" s="447"/>
      <c r="K4" s="447"/>
      <c r="L4" s="447"/>
      <c r="M4" s="447"/>
      <c r="N4" s="447"/>
      <c r="O4" s="447"/>
      <c r="P4" s="447"/>
    </row>
    <row r="5" spans="1:16" ht="16.5" thickBot="1" x14ac:dyDescent="0.3">
      <c r="A5" s="447"/>
      <c r="B5" s="447"/>
      <c r="C5" s="447"/>
      <c r="D5" s="447"/>
      <c r="E5" s="447"/>
      <c r="F5" s="447"/>
      <c r="G5" s="447"/>
      <c r="H5" s="447"/>
      <c r="I5" s="447"/>
      <c r="J5" s="447"/>
      <c r="K5" s="447"/>
      <c r="L5" s="447"/>
      <c r="M5" s="342" t="str">
        <f>IF(H3="No","Complete",IF(COUNTIF(M9:M15,"Incomplete")&gt;0,"Incomplete","Complete"))</f>
        <v>Incomplete</v>
      </c>
      <c r="N5" s="447"/>
      <c r="O5" s="447"/>
      <c r="P5" s="447"/>
    </row>
    <row r="6" spans="1:16" ht="15.75" x14ac:dyDescent="0.25">
      <c r="A6" s="447"/>
      <c r="B6" s="101"/>
      <c r="C6" s="362" t="s">
        <v>764</v>
      </c>
      <c r="D6" s="348"/>
      <c r="E6" s="348"/>
      <c r="F6" s="348"/>
      <c r="G6" s="348"/>
      <c r="H6" s="348"/>
      <c r="I6" s="449"/>
      <c r="J6" s="447"/>
      <c r="K6" s="447"/>
      <c r="L6" s="447"/>
      <c r="M6" s="447"/>
      <c r="N6" s="447"/>
      <c r="O6" s="447"/>
      <c r="P6" s="447"/>
    </row>
    <row r="7" spans="1:16" ht="16.5" thickBot="1" x14ac:dyDescent="0.3">
      <c r="A7" s="447"/>
      <c r="B7" s="125"/>
      <c r="C7" s="352"/>
      <c r="D7" s="352"/>
      <c r="E7" s="352"/>
      <c r="F7" s="352"/>
      <c r="G7" s="352"/>
      <c r="H7" s="352"/>
      <c r="I7" s="451"/>
      <c r="J7" s="447"/>
      <c r="K7" s="447"/>
      <c r="L7" s="447"/>
      <c r="M7" s="447"/>
      <c r="N7" s="447"/>
      <c r="O7" s="447"/>
      <c r="P7" s="447"/>
    </row>
    <row r="8" spans="1:16" ht="15.75" x14ac:dyDescent="0.25">
      <c r="A8" s="447"/>
      <c r="B8" s="455"/>
      <c r="C8" s="456"/>
      <c r="D8" s="456"/>
      <c r="E8" s="456"/>
      <c r="F8" s="456"/>
      <c r="G8" s="456"/>
      <c r="H8" s="456"/>
      <c r="I8" s="457"/>
      <c r="J8" s="447"/>
      <c r="K8" s="447"/>
      <c r="L8" s="447"/>
      <c r="M8" s="447"/>
      <c r="N8" s="447"/>
      <c r="O8" s="447"/>
      <c r="P8" s="447"/>
    </row>
    <row r="9" spans="1:16" ht="97.5" customHeight="1" x14ac:dyDescent="0.25">
      <c r="A9" s="447"/>
      <c r="B9" s="455"/>
      <c r="C9" s="456"/>
      <c r="D9" s="463" t="s">
        <v>765</v>
      </c>
      <c r="E9" s="456"/>
      <c r="F9" s="456"/>
      <c r="G9" s="456"/>
      <c r="H9" s="604" t="s">
        <v>693</v>
      </c>
      <c r="I9" s="457"/>
      <c r="J9" s="446" t="s">
        <v>766</v>
      </c>
      <c r="K9" s="689" t="s">
        <v>663</v>
      </c>
      <c r="L9" s="447"/>
      <c r="M9" s="342" t="str">
        <f>IF(OR(H9="", H9="Select"),"Incomplete","Complete")</f>
        <v>Incomplete</v>
      </c>
      <c r="N9" s="447"/>
      <c r="O9" s="447"/>
      <c r="P9" s="447"/>
    </row>
    <row r="10" spans="1:16" ht="15.75" x14ac:dyDescent="0.25">
      <c r="A10" s="447"/>
      <c r="B10" s="455"/>
      <c r="C10" s="456"/>
      <c r="D10" s="463"/>
      <c r="E10" s="456"/>
      <c r="F10" s="456"/>
      <c r="G10" s="456"/>
      <c r="H10" s="456"/>
      <c r="I10" s="457"/>
      <c r="J10" s="447"/>
      <c r="K10" s="447"/>
      <c r="L10" s="447"/>
      <c r="M10" s="447"/>
      <c r="N10" s="447"/>
      <c r="O10" s="447"/>
      <c r="P10" s="447"/>
    </row>
    <row r="11" spans="1:16" ht="15.75" x14ac:dyDescent="0.25">
      <c r="A11" s="447"/>
      <c r="B11" s="455"/>
      <c r="C11" s="456"/>
      <c r="D11" s="463" t="s">
        <v>767</v>
      </c>
      <c r="E11" s="456"/>
      <c r="F11" s="456"/>
      <c r="G11" s="456"/>
      <c r="H11" s="707"/>
      <c r="I11" s="457"/>
      <c r="J11" s="447"/>
      <c r="K11" s="447"/>
      <c r="L11" s="447"/>
      <c r="M11" s="342" t="str">
        <f>IF(OR(H11=""),"Incomplete","Complete")</f>
        <v>Incomplete</v>
      </c>
      <c r="N11" s="447"/>
      <c r="O11" s="447"/>
      <c r="P11" s="447"/>
    </row>
    <row r="12" spans="1:16" ht="15.75" x14ac:dyDescent="0.25">
      <c r="A12" s="447"/>
      <c r="B12" s="455"/>
      <c r="C12" s="456"/>
      <c r="D12" s="463"/>
      <c r="E12" s="456"/>
      <c r="F12" s="456"/>
      <c r="G12" s="456"/>
      <c r="H12" s="456"/>
      <c r="I12" s="457"/>
      <c r="J12" s="447"/>
      <c r="K12" s="447"/>
      <c r="L12" s="447"/>
      <c r="M12" s="447"/>
      <c r="N12" s="447"/>
      <c r="O12" s="447"/>
      <c r="P12" s="447"/>
    </row>
    <row r="13" spans="1:16" ht="87.75" customHeight="1" x14ac:dyDescent="0.25">
      <c r="A13" s="447"/>
      <c r="B13" s="455"/>
      <c r="C13" s="456"/>
      <c r="D13" s="463" t="s">
        <v>768</v>
      </c>
      <c r="E13" s="456"/>
      <c r="F13" s="456"/>
      <c r="G13" s="456"/>
      <c r="H13" s="604" t="s">
        <v>693</v>
      </c>
      <c r="I13" s="457"/>
      <c r="J13" s="446" t="s">
        <v>766</v>
      </c>
      <c r="K13" s="689" t="s">
        <v>663</v>
      </c>
      <c r="L13" s="447"/>
      <c r="M13" s="342" t="str">
        <f>IF(OR(H13="", H13="Select"),"Incomplete","Complete")</f>
        <v>Incomplete</v>
      </c>
      <c r="N13" s="447"/>
      <c r="O13" s="447"/>
      <c r="P13" s="447"/>
    </row>
    <row r="14" spans="1:16" ht="15.75" x14ac:dyDescent="0.25">
      <c r="A14" s="447"/>
      <c r="B14" s="455"/>
      <c r="C14" s="456"/>
      <c r="D14" s="463"/>
      <c r="E14" s="456"/>
      <c r="F14" s="456"/>
      <c r="G14" s="456"/>
      <c r="H14" s="456"/>
      <c r="I14" s="457"/>
      <c r="J14" s="447"/>
      <c r="K14" s="447"/>
      <c r="L14" s="447"/>
      <c r="M14" s="447"/>
      <c r="N14" s="447"/>
      <c r="O14" s="447"/>
      <c r="P14" s="447"/>
    </row>
    <row r="15" spans="1:16" ht="15.75" x14ac:dyDescent="0.25">
      <c r="A15" s="447"/>
      <c r="B15" s="455"/>
      <c r="C15" s="456"/>
      <c r="D15" s="463" t="s">
        <v>769</v>
      </c>
      <c r="E15" s="456"/>
      <c r="F15" s="456"/>
      <c r="G15" s="456"/>
      <c r="H15" s="707"/>
      <c r="I15" s="457"/>
      <c r="J15" s="447"/>
      <c r="K15" s="447"/>
      <c r="L15" s="447"/>
      <c r="M15" s="342" t="str">
        <f>IF(OR(H15=""),"Incomplete","Complete")</f>
        <v>Incomplete</v>
      </c>
      <c r="N15" s="447"/>
      <c r="O15" s="447"/>
      <c r="P15" s="447"/>
    </row>
    <row r="16" spans="1:16" ht="16.5" thickBot="1" x14ac:dyDescent="0.3">
      <c r="A16" s="447"/>
      <c r="B16" s="458"/>
      <c r="C16" s="459"/>
      <c r="D16" s="459"/>
      <c r="E16" s="459"/>
      <c r="F16" s="459"/>
      <c r="G16" s="459"/>
      <c r="H16" s="459"/>
      <c r="I16" s="460"/>
      <c r="J16" s="447"/>
      <c r="K16" s="447"/>
      <c r="L16" s="447"/>
      <c r="M16" s="447"/>
      <c r="N16" s="447"/>
      <c r="O16" s="447"/>
      <c r="P16" s="447"/>
    </row>
    <row r="17" spans="1:16" ht="15.75" x14ac:dyDescent="0.25">
      <c r="A17" s="447"/>
      <c r="B17" s="447"/>
      <c r="C17" s="447"/>
      <c r="D17" s="447"/>
      <c r="E17" s="447"/>
      <c r="F17" s="447"/>
      <c r="G17" s="447"/>
      <c r="H17" s="447"/>
      <c r="I17" s="447"/>
      <c r="J17" s="447"/>
      <c r="K17" s="447"/>
      <c r="L17" s="447"/>
      <c r="M17" s="447"/>
      <c r="N17" s="447"/>
      <c r="O17" s="447"/>
      <c r="P17" s="447"/>
    </row>
    <row r="18" spans="1:16" ht="15.75" x14ac:dyDescent="0.25">
      <c r="A18" s="53"/>
      <c r="B18" s="53"/>
      <c r="C18" s="53"/>
      <c r="D18" s="427" t="s">
        <v>661</v>
      </c>
      <c r="E18" s="53"/>
      <c r="F18" s="53"/>
      <c r="G18" s="53"/>
      <c r="H18" s="53"/>
      <c r="I18" s="53"/>
      <c r="J18" s="53"/>
      <c r="K18" s="53"/>
      <c r="L18" s="53"/>
      <c r="M18" s="53"/>
      <c r="N18" s="53"/>
      <c r="O18" s="53"/>
      <c r="P18" s="53"/>
    </row>
    <row r="19" spans="1:16" ht="15.75" x14ac:dyDescent="0.25">
      <c r="A19" s="53"/>
      <c r="B19" s="53"/>
      <c r="C19" s="53"/>
      <c r="D19" s="53"/>
      <c r="E19" s="53"/>
      <c r="F19" s="53"/>
      <c r="G19" s="53"/>
      <c r="H19" s="53"/>
      <c r="I19" s="53"/>
      <c r="J19" s="53"/>
      <c r="K19" s="53"/>
      <c r="L19" s="53"/>
      <c r="M19" s="53"/>
      <c r="N19" s="53"/>
      <c r="O19" s="53"/>
      <c r="P19" s="53"/>
    </row>
    <row r="20" spans="1:16" ht="15.75" x14ac:dyDescent="0.25">
      <c r="A20" s="53"/>
      <c r="B20" s="53"/>
      <c r="C20" s="53"/>
      <c r="D20" s="53"/>
      <c r="E20" s="53"/>
      <c r="F20" s="53"/>
      <c r="G20" s="53"/>
      <c r="H20" s="53"/>
      <c r="I20" s="53"/>
      <c r="J20" s="53"/>
      <c r="K20" s="53"/>
      <c r="L20" s="53"/>
      <c r="M20" s="53"/>
      <c r="N20" s="53"/>
      <c r="O20" s="53"/>
      <c r="P20" s="53"/>
    </row>
    <row r="21" spans="1:16" ht="15.75" x14ac:dyDescent="0.25">
      <c r="A21" s="53"/>
      <c r="B21" s="53"/>
      <c r="C21" s="53"/>
      <c r="D21" s="53"/>
      <c r="E21" s="53"/>
      <c r="F21" s="53"/>
      <c r="G21" s="53"/>
      <c r="H21" s="53"/>
      <c r="I21" s="53"/>
      <c r="J21" s="53"/>
      <c r="K21" s="53"/>
      <c r="L21" s="53"/>
      <c r="M21" s="53"/>
      <c r="N21" s="53"/>
      <c r="O21" s="53"/>
      <c r="P21" s="53"/>
    </row>
    <row r="22" spans="1:16" ht="15.75" x14ac:dyDescent="0.25">
      <c r="A22" s="53"/>
      <c r="B22" s="53"/>
      <c r="C22" s="53"/>
      <c r="D22" s="53"/>
      <c r="E22" s="53"/>
      <c r="F22" s="53"/>
      <c r="G22" s="53"/>
      <c r="H22" s="53"/>
      <c r="I22" s="53"/>
      <c r="J22" s="53"/>
      <c r="K22" s="53"/>
      <c r="L22" s="53"/>
      <c r="M22" s="53"/>
      <c r="N22" s="53"/>
      <c r="O22" s="53"/>
      <c r="P22" s="53"/>
    </row>
    <row r="23" spans="1:16" ht="15.75" x14ac:dyDescent="0.25">
      <c r="A23" s="53"/>
      <c r="B23" s="53"/>
      <c r="C23" s="53"/>
      <c r="D23" s="53"/>
      <c r="E23" s="53"/>
      <c r="F23" s="53"/>
      <c r="G23" s="53"/>
      <c r="H23" s="53"/>
      <c r="I23" s="53"/>
      <c r="J23" s="53"/>
      <c r="K23" s="53"/>
      <c r="L23" s="53"/>
      <c r="M23" s="53"/>
      <c r="N23" s="53"/>
      <c r="O23" s="53"/>
      <c r="P23" s="53"/>
    </row>
    <row r="24" spans="1:16" ht="15.75" x14ac:dyDescent="0.25">
      <c r="A24" s="53"/>
      <c r="B24" s="53"/>
      <c r="C24" s="53"/>
      <c r="D24" s="53"/>
      <c r="E24" s="53"/>
      <c r="F24" s="53"/>
      <c r="G24" s="53"/>
      <c r="H24" s="53"/>
      <c r="I24" s="53"/>
      <c r="J24" s="53"/>
      <c r="K24" s="53"/>
      <c r="L24" s="53"/>
      <c r="M24" s="53"/>
      <c r="N24" s="53"/>
      <c r="O24" s="53"/>
      <c r="P24" s="53"/>
    </row>
    <row r="25" spans="1:16" ht="15.75" x14ac:dyDescent="0.25">
      <c r="A25" s="53"/>
      <c r="B25" s="53"/>
      <c r="C25" s="53"/>
      <c r="D25" s="53"/>
      <c r="E25" s="53"/>
      <c r="F25" s="53"/>
      <c r="G25" s="53"/>
      <c r="H25" s="53"/>
      <c r="I25" s="53"/>
      <c r="J25" s="53"/>
      <c r="K25" s="53"/>
      <c r="L25" s="53"/>
      <c r="M25" s="53"/>
      <c r="N25" s="53"/>
      <c r="O25" s="53"/>
      <c r="P25" s="53"/>
    </row>
    <row r="26" spans="1:16" ht="15.75" x14ac:dyDescent="0.25">
      <c r="A26" s="53"/>
      <c r="B26" s="53"/>
      <c r="C26" s="53"/>
      <c r="D26" s="53"/>
      <c r="E26" s="53"/>
      <c r="F26" s="53"/>
      <c r="G26" s="53"/>
      <c r="H26" s="53"/>
      <c r="I26" s="53"/>
      <c r="J26" s="53"/>
      <c r="K26" s="53"/>
      <c r="L26" s="53"/>
      <c r="M26" s="53"/>
      <c r="N26" s="53"/>
      <c r="O26" s="53"/>
      <c r="P26" s="53"/>
    </row>
    <row r="27" spans="1:16" ht="15.75" x14ac:dyDescent="0.25">
      <c r="A27" s="53"/>
      <c r="B27" s="53"/>
      <c r="C27" s="53"/>
      <c r="D27" s="53"/>
      <c r="E27" s="53"/>
      <c r="F27" s="53"/>
      <c r="G27" s="53"/>
      <c r="H27" s="53"/>
      <c r="I27" s="53"/>
      <c r="J27" s="53"/>
      <c r="K27" s="53"/>
      <c r="L27" s="53"/>
      <c r="M27" s="53"/>
      <c r="N27" s="53"/>
      <c r="O27" s="53"/>
      <c r="P27" s="53"/>
    </row>
    <row r="28" spans="1:16" ht="15.75" x14ac:dyDescent="0.25">
      <c r="A28" s="53"/>
      <c r="B28" s="53"/>
      <c r="C28" s="53"/>
      <c r="D28" s="53"/>
      <c r="E28" s="53"/>
      <c r="F28" s="53"/>
      <c r="G28" s="53"/>
      <c r="H28" s="53"/>
      <c r="I28" s="53"/>
      <c r="J28" s="53"/>
      <c r="K28" s="53"/>
      <c r="L28" s="53"/>
      <c r="M28" s="53"/>
      <c r="N28" s="53"/>
      <c r="O28" s="53"/>
      <c r="P28" s="53"/>
    </row>
    <row r="29" spans="1:16" ht="15.75" x14ac:dyDescent="0.25">
      <c r="A29" s="53"/>
      <c r="B29" s="53"/>
      <c r="C29" s="53"/>
      <c r="D29" s="53"/>
      <c r="E29" s="53"/>
      <c r="F29" s="53"/>
      <c r="G29" s="53"/>
      <c r="H29" s="53"/>
      <c r="I29" s="53"/>
      <c r="J29" s="53"/>
      <c r="K29" s="53"/>
      <c r="L29" s="53"/>
      <c r="M29" s="53"/>
      <c r="N29" s="53"/>
      <c r="O29" s="53"/>
      <c r="P29" s="53"/>
    </row>
    <row r="30" spans="1:16" ht="15.75" x14ac:dyDescent="0.25">
      <c r="A30" s="53"/>
      <c r="B30" s="53"/>
      <c r="C30" s="53"/>
      <c r="D30" s="53"/>
      <c r="E30" s="53"/>
      <c r="F30" s="53"/>
      <c r="G30" s="53"/>
      <c r="H30" s="53"/>
      <c r="I30" s="53"/>
      <c r="J30" s="53"/>
      <c r="K30" s="53"/>
      <c r="L30" s="53"/>
      <c r="M30" s="53"/>
      <c r="N30" s="53"/>
      <c r="O30" s="53"/>
      <c r="P30" s="53"/>
    </row>
    <row r="31" spans="1:16" ht="15.75" x14ac:dyDescent="0.25">
      <c r="A31" s="53"/>
      <c r="B31" s="53"/>
      <c r="C31" s="53"/>
      <c r="D31" s="53"/>
      <c r="E31" s="53"/>
      <c r="F31" s="53"/>
      <c r="G31" s="53"/>
      <c r="H31" s="53"/>
      <c r="I31" s="53"/>
      <c r="J31" s="53"/>
      <c r="K31" s="53"/>
      <c r="L31" s="53"/>
      <c r="M31" s="53"/>
      <c r="N31" s="53"/>
      <c r="O31" s="53"/>
      <c r="P31" s="53"/>
    </row>
    <row r="32" spans="1:16" ht="15.75" x14ac:dyDescent="0.25">
      <c r="A32" s="53"/>
      <c r="B32" s="53"/>
      <c r="C32" s="53"/>
      <c r="D32" s="53"/>
      <c r="E32" s="53"/>
      <c r="F32" s="53"/>
      <c r="G32" s="53"/>
      <c r="H32" s="53"/>
      <c r="I32" s="53"/>
      <c r="J32" s="53"/>
      <c r="K32" s="53"/>
      <c r="L32" s="53"/>
      <c r="M32" s="53"/>
      <c r="N32" s="53"/>
      <c r="O32" s="53"/>
      <c r="P32" s="53"/>
    </row>
    <row r="33" spans="1:16" ht="15.75" x14ac:dyDescent="0.25">
      <c r="A33" s="53"/>
      <c r="B33" s="53"/>
      <c r="C33" s="53"/>
      <c r="D33" s="53"/>
      <c r="E33" s="53"/>
      <c r="F33" s="53"/>
      <c r="G33" s="53"/>
      <c r="H33" s="53"/>
      <c r="I33" s="53"/>
      <c r="J33" s="53"/>
      <c r="K33" s="53"/>
      <c r="L33" s="53"/>
      <c r="M33" s="53"/>
      <c r="N33" s="53"/>
      <c r="O33" s="53"/>
      <c r="P33" s="53"/>
    </row>
    <row r="34" spans="1:16" ht="15.75" x14ac:dyDescent="0.25">
      <c r="A34" s="53"/>
      <c r="B34" s="53"/>
      <c r="C34" s="53"/>
      <c r="D34" s="53"/>
      <c r="E34" s="53"/>
      <c r="F34" s="53"/>
      <c r="G34" s="53"/>
      <c r="H34" s="53"/>
      <c r="I34" s="53"/>
      <c r="J34" s="53"/>
      <c r="K34" s="53"/>
      <c r="L34" s="53"/>
      <c r="M34" s="53"/>
      <c r="N34" s="53"/>
      <c r="O34" s="53"/>
      <c r="P34" s="53"/>
    </row>
    <row r="35" spans="1:16" ht="15.75" x14ac:dyDescent="0.25">
      <c r="A35" s="53"/>
      <c r="B35" s="53"/>
      <c r="C35" s="53"/>
      <c r="D35" s="53"/>
      <c r="E35" s="53"/>
      <c r="F35" s="53"/>
      <c r="G35" s="53"/>
      <c r="H35" s="53"/>
      <c r="I35" s="53"/>
      <c r="J35" s="53"/>
      <c r="K35" s="53"/>
      <c r="L35" s="53"/>
      <c r="M35" s="53"/>
      <c r="N35" s="53"/>
      <c r="O35" s="53"/>
      <c r="P35" s="53"/>
    </row>
    <row r="36" spans="1:16" ht="15.75" x14ac:dyDescent="0.25">
      <c r="A36" s="53"/>
      <c r="B36" s="53"/>
      <c r="C36" s="53"/>
      <c r="D36" s="53"/>
      <c r="E36" s="53"/>
      <c r="F36" s="53"/>
      <c r="G36" s="53"/>
      <c r="H36" s="53"/>
      <c r="I36" s="53"/>
      <c r="J36" s="53"/>
      <c r="K36" s="53"/>
      <c r="L36" s="53"/>
      <c r="M36" s="53"/>
      <c r="N36" s="53"/>
      <c r="O36" s="53"/>
      <c r="P36" s="53"/>
    </row>
    <row r="37" spans="1:16" ht="15.75" x14ac:dyDescent="0.25">
      <c r="A37" s="53"/>
      <c r="B37" s="53"/>
      <c r="C37" s="53"/>
      <c r="D37" s="53"/>
      <c r="E37" s="53"/>
      <c r="F37" s="53"/>
      <c r="G37" s="53"/>
      <c r="H37" s="53"/>
      <c r="I37" s="53"/>
      <c r="J37" s="53"/>
      <c r="K37" s="53"/>
      <c r="L37" s="53"/>
      <c r="M37" s="53"/>
      <c r="N37" s="53"/>
      <c r="O37" s="53"/>
      <c r="P37" s="53"/>
    </row>
    <row r="38" spans="1:16" ht="15.75" x14ac:dyDescent="0.25">
      <c r="A38" s="53"/>
      <c r="B38" s="53"/>
      <c r="C38" s="53"/>
      <c r="D38" s="53"/>
      <c r="E38" s="53"/>
      <c r="F38" s="53"/>
      <c r="G38" s="53"/>
      <c r="H38" s="53"/>
      <c r="I38" s="53"/>
      <c r="J38" s="53"/>
      <c r="K38" s="53"/>
      <c r="L38" s="53"/>
      <c r="M38" s="53"/>
      <c r="N38" s="53"/>
      <c r="O38" s="53"/>
      <c r="P38" s="53"/>
    </row>
    <row r="39" spans="1:16" ht="15.75" x14ac:dyDescent="0.25">
      <c r="A39" s="53"/>
      <c r="B39" s="53"/>
      <c r="C39" s="53"/>
      <c r="D39" s="53"/>
      <c r="E39" s="53"/>
      <c r="F39" s="53"/>
      <c r="G39" s="53"/>
      <c r="H39" s="53"/>
      <c r="I39" s="53"/>
      <c r="J39" s="53"/>
      <c r="K39" s="53"/>
      <c r="L39" s="53"/>
      <c r="M39" s="53"/>
      <c r="N39" s="53"/>
      <c r="O39" s="53"/>
      <c r="P39" s="53"/>
    </row>
    <row r="40" spans="1:16" ht="15.75" x14ac:dyDescent="0.25">
      <c r="A40" s="53"/>
      <c r="B40" s="53"/>
      <c r="C40" s="53"/>
      <c r="D40" s="53"/>
      <c r="E40" s="53"/>
      <c r="F40" s="53"/>
      <c r="G40" s="53"/>
      <c r="H40" s="53"/>
      <c r="I40" s="53"/>
      <c r="J40" s="53"/>
      <c r="K40" s="53"/>
      <c r="L40" s="53"/>
      <c r="M40" s="53"/>
      <c r="N40" s="53"/>
      <c r="O40" s="53"/>
      <c r="P40" s="53"/>
    </row>
    <row r="41" spans="1:16" ht="15.75" x14ac:dyDescent="0.25">
      <c r="A41" s="53"/>
      <c r="B41" s="53"/>
      <c r="C41" s="53"/>
      <c r="D41" s="53"/>
      <c r="E41" s="53"/>
      <c r="F41" s="53"/>
      <c r="G41" s="53"/>
      <c r="H41" s="53"/>
      <c r="I41" s="53"/>
      <c r="J41" s="53"/>
      <c r="K41" s="53"/>
      <c r="L41" s="53"/>
      <c r="M41" s="53"/>
      <c r="N41" s="53"/>
      <c r="O41" s="53"/>
      <c r="P41" s="53"/>
    </row>
    <row r="42" spans="1:16" ht="15.75" x14ac:dyDescent="0.25">
      <c r="A42" s="53"/>
      <c r="B42" s="53"/>
      <c r="C42" s="53"/>
      <c r="D42" s="53"/>
      <c r="E42" s="53"/>
      <c r="F42" s="53"/>
      <c r="G42" s="53"/>
      <c r="H42" s="53"/>
      <c r="I42" s="53"/>
      <c r="J42" s="53"/>
      <c r="K42" s="53"/>
      <c r="L42" s="53"/>
      <c r="M42" s="53"/>
      <c r="N42" s="53"/>
      <c r="O42" s="53"/>
      <c r="P42" s="53"/>
    </row>
    <row r="43" spans="1:16" ht="15.75" x14ac:dyDescent="0.25">
      <c r="A43" s="53"/>
      <c r="B43" s="53"/>
      <c r="C43" s="53"/>
      <c r="D43" s="53"/>
      <c r="E43" s="53"/>
      <c r="F43" s="53"/>
      <c r="G43" s="53"/>
      <c r="H43" s="53"/>
      <c r="I43" s="53"/>
      <c r="J43" s="53"/>
      <c r="K43" s="53"/>
      <c r="L43" s="53"/>
      <c r="M43" s="53"/>
      <c r="N43" s="53"/>
      <c r="O43" s="53"/>
      <c r="P43" s="53"/>
    </row>
    <row r="44" spans="1:16" ht="15.75" x14ac:dyDescent="0.25">
      <c r="A44" s="53"/>
      <c r="B44" s="53"/>
      <c r="C44" s="53"/>
      <c r="D44" s="53"/>
      <c r="E44" s="53"/>
      <c r="F44" s="53"/>
      <c r="G44" s="53"/>
      <c r="H44" s="53"/>
      <c r="I44" s="53"/>
      <c r="J44" s="53"/>
      <c r="K44" s="53"/>
      <c r="L44" s="53"/>
      <c r="M44" s="53"/>
      <c r="N44" s="53"/>
      <c r="O44" s="53"/>
      <c r="P44" s="53"/>
    </row>
    <row r="45" spans="1:16" ht="15.75" x14ac:dyDescent="0.25">
      <c r="A45" s="53"/>
      <c r="B45" s="53"/>
      <c r="C45" s="53"/>
      <c r="D45" s="53"/>
      <c r="E45" s="53"/>
      <c r="F45" s="53"/>
      <c r="G45" s="53"/>
      <c r="H45" s="53"/>
      <c r="I45" s="53"/>
      <c r="J45" s="53"/>
      <c r="K45" s="53"/>
      <c r="L45" s="53"/>
      <c r="M45" s="53"/>
      <c r="N45" s="53"/>
      <c r="O45" s="53"/>
      <c r="P45" s="53"/>
    </row>
    <row r="46" spans="1:16" ht="15.75" x14ac:dyDescent="0.25">
      <c r="A46" s="53"/>
      <c r="B46" s="53"/>
      <c r="C46" s="53"/>
      <c r="D46" s="53"/>
      <c r="E46" s="53"/>
      <c r="F46" s="53"/>
      <c r="G46" s="53"/>
      <c r="H46" s="53"/>
      <c r="I46" s="53"/>
      <c r="J46" s="53"/>
      <c r="K46" s="53"/>
      <c r="L46" s="53"/>
      <c r="M46" s="53"/>
      <c r="N46" s="53"/>
      <c r="O46" s="53"/>
      <c r="P46" s="53"/>
    </row>
    <row r="47" spans="1:16" ht="15.75" x14ac:dyDescent="0.25">
      <c r="A47" s="53"/>
      <c r="B47" s="53"/>
      <c r="C47" s="53"/>
      <c r="D47" s="53"/>
      <c r="E47" s="53"/>
      <c r="F47" s="53"/>
      <c r="G47" s="53"/>
      <c r="H47" s="53"/>
      <c r="I47" s="53"/>
      <c r="J47" s="53"/>
      <c r="K47" s="53"/>
      <c r="L47" s="53"/>
      <c r="M47" s="53"/>
      <c r="N47" s="53"/>
      <c r="O47" s="53"/>
      <c r="P47" s="53"/>
    </row>
    <row r="48" spans="1:16" ht="15.75" x14ac:dyDescent="0.25">
      <c r="A48" s="53"/>
      <c r="B48" s="53"/>
      <c r="C48" s="53"/>
      <c r="D48" s="53"/>
      <c r="E48" s="53"/>
      <c r="F48" s="53"/>
      <c r="G48" s="53"/>
      <c r="H48" s="53"/>
      <c r="I48" s="53"/>
      <c r="J48" s="53"/>
      <c r="K48" s="53"/>
      <c r="L48" s="53"/>
      <c r="M48" s="53"/>
      <c r="N48" s="53"/>
      <c r="O48" s="53"/>
      <c r="P48" s="53"/>
    </row>
    <row r="49" spans="1:16" ht="15.75" x14ac:dyDescent="0.25">
      <c r="A49" s="53"/>
      <c r="B49" s="53"/>
      <c r="C49" s="53"/>
      <c r="D49" s="53"/>
      <c r="E49" s="53"/>
      <c r="F49" s="53"/>
      <c r="G49" s="53"/>
      <c r="H49" s="53"/>
      <c r="I49" s="53"/>
      <c r="J49" s="53"/>
      <c r="K49" s="53"/>
      <c r="L49" s="53"/>
      <c r="M49" s="53"/>
      <c r="N49" s="53"/>
      <c r="O49" s="53"/>
      <c r="P49" s="53"/>
    </row>
    <row r="50" spans="1:16" ht="15.75" x14ac:dyDescent="0.25">
      <c r="A50" s="53"/>
      <c r="B50" s="53"/>
      <c r="C50" s="53"/>
      <c r="D50" s="53"/>
      <c r="E50" s="53"/>
      <c r="F50" s="53"/>
      <c r="G50" s="53"/>
      <c r="H50" s="53"/>
      <c r="I50" s="53"/>
      <c r="J50" s="53"/>
      <c r="K50" s="53"/>
      <c r="L50" s="53"/>
      <c r="M50" s="53"/>
      <c r="N50" s="53"/>
      <c r="O50" s="53"/>
      <c r="P50" s="53"/>
    </row>
  </sheetData>
  <sheetProtection algorithmName="SHA-512" hashValue="jXMQbHLAYqtDKSDA/m97YxxvX9N+K0G8WrB5uAGKzr2O+YwB3hB30Pjt2uomja7+XHTQgeVyq70k2mI6Yszjqw==" saltValue="CxYvlXU6mpaboRjvMPkf1w==" spinCount="100000" sheet="1" objects="1" scenarios="1"/>
  <protectedRanges>
    <protectedRange sqref="H3" name="Range1_1"/>
  </protectedRanges>
  <conditionalFormatting sqref="H3">
    <cfRule type="cellIs" dxfId="37" priority="5" operator="equal">
      <formula>"May be incomplete"</formula>
    </cfRule>
    <cfRule type="cellIs" dxfId="36" priority="6" operator="equal">
      <formula>"N/A"</formula>
    </cfRule>
    <cfRule type="cellIs" dxfId="35" priority="7" operator="equal">
      <formula>"Complete"</formula>
    </cfRule>
    <cfRule type="cellIs" dxfId="34" priority="8" operator="equal">
      <formula>"Incomplete"</formula>
    </cfRule>
  </conditionalFormatting>
  <conditionalFormatting sqref="H9">
    <cfRule type="cellIs" dxfId="33" priority="94" operator="equal">
      <formula>"Incomplete"</formula>
    </cfRule>
    <cfRule type="cellIs" dxfId="32" priority="91" operator="equal">
      <formula>"May be incomplete"</formula>
    </cfRule>
    <cfRule type="cellIs" dxfId="31" priority="92" operator="equal">
      <formula>"N/A"</formula>
    </cfRule>
    <cfRule type="cellIs" dxfId="30" priority="93" operator="equal">
      <formula>"Complete"</formula>
    </cfRule>
  </conditionalFormatting>
  <conditionalFormatting sqref="H11">
    <cfRule type="cellIs" dxfId="29" priority="86" operator="equal">
      <formula>"Incomplete"</formula>
    </cfRule>
    <cfRule type="cellIs" dxfId="28" priority="85" operator="equal">
      <formula>"Complete"</formula>
    </cfRule>
    <cfRule type="cellIs" dxfId="27" priority="84" operator="equal">
      <formula>"N/A"</formula>
    </cfRule>
    <cfRule type="cellIs" dxfId="26" priority="83" operator="equal">
      <formula>"May be incomplete"</formula>
    </cfRule>
  </conditionalFormatting>
  <conditionalFormatting sqref="H13">
    <cfRule type="cellIs" dxfId="25" priority="90" operator="equal">
      <formula>"Incomplete"</formula>
    </cfRule>
    <cfRule type="cellIs" dxfId="24" priority="89" operator="equal">
      <formula>"Complete"</formula>
    </cfRule>
    <cfRule type="cellIs" dxfId="23" priority="88" operator="equal">
      <formula>"N/A"</formula>
    </cfRule>
    <cfRule type="cellIs" dxfId="22" priority="87" operator="equal">
      <formula>"May be incomplete"</formula>
    </cfRule>
  </conditionalFormatting>
  <conditionalFormatting sqref="H15">
    <cfRule type="cellIs" dxfId="21" priority="82" operator="equal">
      <formula>"Incomplete"</formula>
    </cfRule>
    <cfRule type="cellIs" dxfId="20" priority="81" operator="equal">
      <formula>"Complete"</formula>
    </cfRule>
    <cfRule type="cellIs" dxfId="19" priority="80" operator="equal">
      <formula>"N/A"</formula>
    </cfRule>
    <cfRule type="cellIs" dxfId="18" priority="79" operator="equal">
      <formula>"May be incomplete"</formula>
    </cfRule>
  </conditionalFormatting>
  <conditionalFormatting sqref="K9">
    <cfRule type="cellIs" dxfId="17" priority="21" operator="equal">
      <formula>"Complete"</formula>
    </cfRule>
    <cfRule type="cellIs" dxfId="16" priority="22" operator="equal">
      <formula>"Incomplete"</formula>
    </cfRule>
    <cfRule type="cellIs" dxfId="15" priority="19" operator="equal">
      <formula>"May be incomplete"</formula>
    </cfRule>
    <cfRule type="cellIs" dxfId="14" priority="20" operator="equal">
      <formula>"N/A"</formula>
    </cfRule>
  </conditionalFormatting>
  <conditionalFormatting sqref="K13">
    <cfRule type="cellIs" dxfId="13" priority="16" operator="equal">
      <formula>"N/A"</formula>
    </cfRule>
    <cfRule type="cellIs" dxfId="12" priority="15" operator="equal">
      <formula>"May be incomplete"</formula>
    </cfRule>
    <cfRule type="cellIs" dxfId="11" priority="18" operator="equal">
      <formula>"Incomplete"</formula>
    </cfRule>
    <cfRule type="cellIs" dxfId="10" priority="17" operator="equal">
      <formula>"Complete"</formula>
    </cfRule>
  </conditionalFormatting>
  <conditionalFormatting sqref="M5">
    <cfRule type="cellIs" dxfId="9" priority="14" operator="equal">
      <formula>"Incomplete"</formula>
    </cfRule>
    <cfRule type="cellIs" dxfId="8" priority="13" operator="equal">
      <formula>"Complete"</formula>
    </cfRule>
  </conditionalFormatting>
  <conditionalFormatting sqref="M9">
    <cfRule type="cellIs" dxfId="7" priority="4" operator="equal">
      <formula>"Incomplete"</formula>
    </cfRule>
    <cfRule type="cellIs" dxfId="6" priority="3" operator="equal">
      <formula>"Complete"</formula>
    </cfRule>
  </conditionalFormatting>
  <conditionalFormatting sqref="M11">
    <cfRule type="cellIs" dxfId="5" priority="12" operator="equal">
      <formula>"Incomplete"</formula>
    </cfRule>
    <cfRule type="cellIs" dxfId="4" priority="11" operator="equal">
      <formula>"Complete"</formula>
    </cfRule>
  </conditionalFormatting>
  <conditionalFormatting sqref="M13">
    <cfRule type="cellIs" dxfId="3" priority="2" operator="equal">
      <formula>"Incomplete"</formula>
    </cfRule>
    <cfRule type="cellIs" dxfId="2" priority="1" operator="equal">
      <formula>"Complete"</formula>
    </cfRule>
  </conditionalFormatting>
  <conditionalFormatting sqref="M15">
    <cfRule type="cellIs" dxfId="1" priority="10" operator="equal">
      <formula>"Incomplete"</formula>
    </cfRule>
    <cfRule type="cellIs" dxfId="0" priority="9" operator="equal">
      <formula>"Complete"</formula>
    </cfRule>
  </conditionalFormatting>
  <dataValidations count="2">
    <dataValidation type="list" allowBlank="1" showInputMessage="1" showErrorMessage="1" sqref="H9 H13" xr:uid="{00000000-0002-0000-2300-000000000000}">
      <formula1>"Select, Yes, No"</formula1>
    </dataValidation>
    <dataValidation allowBlank="1" showErrorMessage="1" sqref="H3" xr:uid="{00000000-0002-0000-2300-000001000000}"/>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FF99FF"/>
    <pageSetUpPr fitToPage="1"/>
  </sheetPr>
  <dimension ref="A1:R355"/>
  <sheetViews>
    <sheetView workbookViewId="0">
      <selection activeCell="E30" sqref="E30"/>
    </sheetView>
  </sheetViews>
  <sheetFormatPr defaultColWidth="0" defaultRowHeight="14.25" zeroHeight="1" x14ac:dyDescent="0.2"/>
  <cols>
    <col min="1" max="1" width="1.875" customWidth="1"/>
    <col min="2" max="2" width="39" customWidth="1"/>
    <col min="3" max="9" width="10.125" customWidth="1"/>
    <col min="10" max="10" width="17" customWidth="1"/>
    <col min="11" max="17" width="10.125" customWidth="1"/>
    <col min="18" max="18" width="2" customWidth="1"/>
  </cols>
  <sheetData>
    <row r="1" spans="1:18" ht="15.75" x14ac:dyDescent="0.25">
      <c r="A1" s="518">
        <v>1</v>
      </c>
      <c r="B1" s="51"/>
      <c r="C1" s="51"/>
      <c r="D1" s="51"/>
      <c r="E1" s="51"/>
      <c r="F1" s="51"/>
      <c r="G1" s="51"/>
      <c r="H1" s="51"/>
      <c r="I1" s="51"/>
      <c r="J1" s="51"/>
      <c r="K1" s="51"/>
      <c r="L1" s="51"/>
      <c r="M1" s="51"/>
      <c r="N1" s="51"/>
      <c r="O1" s="51"/>
      <c r="P1" s="51"/>
      <c r="Q1" s="51"/>
      <c r="R1" s="51"/>
    </row>
    <row r="2" spans="1:18" ht="59.25" customHeight="1" x14ac:dyDescent="0.25">
      <c r="A2" s="519"/>
      <c r="B2" s="51"/>
      <c r="C2" s="50" t="s">
        <v>89</v>
      </c>
      <c r="D2" s="51"/>
      <c r="E2" s="51"/>
      <c r="F2" s="51"/>
      <c r="G2" s="51"/>
      <c r="H2" s="51"/>
      <c r="I2" s="51"/>
      <c r="J2" s="51"/>
      <c r="K2" s="51"/>
      <c r="L2" s="51"/>
      <c r="M2" s="51"/>
      <c r="N2" s="51"/>
      <c r="O2" s="51"/>
      <c r="P2" s="51"/>
      <c r="Q2" s="51"/>
      <c r="R2" s="51"/>
    </row>
    <row r="3" spans="1:18" ht="15" thickBot="1" x14ac:dyDescent="0.25">
      <c r="A3" s="2"/>
      <c r="B3" s="1"/>
      <c r="C3" s="1"/>
      <c r="D3" s="1"/>
      <c r="E3" s="1"/>
      <c r="F3" s="1"/>
      <c r="G3" s="1"/>
      <c r="H3" s="1"/>
      <c r="I3" s="1"/>
      <c r="J3" s="1"/>
      <c r="K3" s="1"/>
      <c r="L3" s="1"/>
      <c r="M3" s="1"/>
      <c r="N3" s="1"/>
      <c r="O3" s="1"/>
      <c r="P3" s="1"/>
      <c r="Q3" s="1"/>
      <c r="R3" s="1"/>
    </row>
    <row r="4" spans="1:18" ht="24.75" thickBot="1" x14ac:dyDescent="0.25">
      <c r="A4" s="2"/>
      <c r="B4" s="520" t="s">
        <v>770</v>
      </c>
      <c r="C4" s="521" t="s">
        <v>771</v>
      </c>
      <c r="D4" s="1"/>
      <c r="E4" s="1"/>
      <c r="F4" s="1"/>
      <c r="G4" s="1"/>
      <c r="H4" s="1"/>
      <c r="I4" s="1"/>
      <c r="J4" s="1"/>
      <c r="K4" s="1"/>
      <c r="L4" s="1"/>
      <c r="M4" s="1"/>
      <c r="N4" s="1"/>
      <c r="O4" s="1"/>
      <c r="P4" s="1"/>
      <c r="Q4" s="1"/>
      <c r="R4" s="1"/>
    </row>
    <row r="5" spans="1:18" x14ac:dyDescent="0.2">
      <c r="A5" s="2"/>
      <c r="B5" s="522" t="s">
        <v>772</v>
      </c>
      <c r="C5" s="523" t="s">
        <v>118</v>
      </c>
      <c r="D5" s="1"/>
      <c r="E5" s="1"/>
      <c r="F5" s="1"/>
      <c r="G5" s="1"/>
      <c r="H5" s="1"/>
      <c r="I5" s="1"/>
      <c r="J5" s="1"/>
      <c r="K5" s="1"/>
      <c r="L5" s="1"/>
      <c r="M5" s="1"/>
      <c r="N5" s="1"/>
      <c r="O5" s="1"/>
      <c r="P5" s="1"/>
      <c r="Q5" s="1"/>
      <c r="R5" s="1"/>
    </row>
    <row r="6" spans="1:18" x14ac:dyDescent="0.2">
      <c r="A6" s="2"/>
      <c r="B6" s="524" t="s">
        <v>773</v>
      </c>
      <c r="C6" s="525" t="s">
        <v>774</v>
      </c>
      <c r="D6" s="1"/>
      <c r="E6" s="1"/>
      <c r="F6" s="1"/>
      <c r="G6" s="1"/>
      <c r="H6" s="1"/>
      <c r="I6" s="1"/>
      <c r="J6" s="1"/>
      <c r="K6" s="1"/>
      <c r="L6" s="1"/>
      <c r="M6" s="1"/>
      <c r="N6" s="1"/>
      <c r="O6" s="1"/>
      <c r="P6" s="1"/>
      <c r="Q6" s="1"/>
      <c r="R6" s="1"/>
    </row>
    <row r="7" spans="1:18" x14ac:dyDescent="0.2">
      <c r="A7" s="2"/>
      <c r="B7" s="524" t="s">
        <v>775</v>
      </c>
      <c r="C7" s="525" t="s">
        <v>776</v>
      </c>
      <c r="D7" s="1"/>
      <c r="E7" s="1"/>
      <c r="F7" s="1"/>
      <c r="G7" s="1"/>
      <c r="H7" s="1"/>
      <c r="I7" s="1"/>
      <c r="J7" s="1"/>
      <c r="K7" s="1"/>
      <c r="L7" s="1"/>
      <c r="M7" s="1"/>
      <c r="N7" s="1"/>
      <c r="O7" s="1"/>
      <c r="P7" s="1"/>
      <c r="Q7" s="1"/>
      <c r="R7" s="1"/>
    </row>
    <row r="8" spans="1:18" x14ac:dyDescent="0.2">
      <c r="A8" s="2"/>
      <c r="B8" s="524" t="s">
        <v>777</v>
      </c>
      <c r="C8" s="525" t="s">
        <v>778</v>
      </c>
      <c r="D8" s="1"/>
      <c r="E8" s="1"/>
      <c r="F8" s="1"/>
      <c r="G8" s="1"/>
      <c r="H8" s="1"/>
      <c r="I8" s="1"/>
      <c r="J8" s="1"/>
      <c r="K8" s="1"/>
      <c r="L8" s="1"/>
      <c r="M8" s="1"/>
      <c r="N8" s="1"/>
      <c r="O8" s="1"/>
      <c r="P8" s="1"/>
      <c r="Q8" s="1"/>
      <c r="R8" s="1"/>
    </row>
    <row r="9" spans="1:18" x14ac:dyDescent="0.2">
      <c r="A9" s="2"/>
      <c r="B9" s="524" t="s">
        <v>779</v>
      </c>
      <c r="C9" s="525" t="s">
        <v>780</v>
      </c>
      <c r="D9" s="1"/>
      <c r="E9" s="1"/>
      <c r="F9" s="1"/>
      <c r="G9" s="1"/>
      <c r="H9" s="1"/>
      <c r="I9" s="1"/>
      <c r="J9" s="1"/>
      <c r="K9" s="1"/>
      <c r="L9" s="1"/>
      <c r="M9" s="1"/>
      <c r="N9" s="1"/>
      <c r="O9" s="1"/>
      <c r="P9" s="1"/>
      <c r="Q9" s="1"/>
      <c r="R9" s="1"/>
    </row>
    <row r="10" spans="1:18" x14ac:dyDescent="0.2">
      <c r="A10" s="2"/>
      <c r="B10" s="524" t="s">
        <v>781</v>
      </c>
      <c r="C10" s="525" t="s">
        <v>782</v>
      </c>
      <c r="D10" s="1"/>
      <c r="E10" s="1"/>
      <c r="F10" s="1"/>
      <c r="G10" s="1"/>
      <c r="H10" s="1"/>
      <c r="I10" s="1"/>
      <c r="J10" s="1"/>
      <c r="K10" s="1"/>
      <c r="L10" s="1"/>
      <c r="M10" s="1"/>
      <c r="N10" s="1"/>
      <c r="O10" s="1"/>
      <c r="P10" s="1"/>
      <c r="Q10" s="1"/>
      <c r="R10" s="1"/>
    </row>
    <row r="11" spans="1:18" x14ac:dyDescent="0.2">
      <c r="A11" s="2"/>
      <c r="B11" s="524" t="s">
        <v>783</v>
      </c>
      <c r="C11" s="525" t="s">
        <v>784</v>
      </c>
      <c r="D11" s="1"/>
      <c r="E11" s="1"/>
      <c r="F11" s="1"/>
      <c r="G11" s="1"/>
      <c r="H11" s="1"/>
      <c r="I11" s="1"/>
      <c r="J11" s="1"/>
      <c r="K11" s="1"/>
      <c r="L11" s="1"/>
      <c r="M11" s="1"/>
      <c r="N11" s="1"/>
      <c r="O11" s="1"/>
      <c r="P11" s="1"/>
      <c r="Q11" s="1"/>
      <c r="R11" s="1"/>
    </row>
    <row r="12" spans="1:18" x14ac:dyDescent="0.2">
      <c r="A12" s="2"/>
      <c r="B12" s="524" t="s">
        <v>785</v>
      </c>
      <c r="C12" s="525" t="s">
        <v>786</v>
      </c>
      <c r="D12" s="1"/>
      <c r="E12" s="1"/>
      <c r="F12" s="1"/>
      <c r="G12" s="1"/>
      <c r="H12" s="1"/>
      <c r="I12" s="1"/>
      <c r="J12" s="1"/>
      <c r="K12" s="1"/>
      <c r="L12" s="1"/>
      <c r="M12" s="1"/>
      <c r="N12" s="1"/>
      <c r="O12" s="1"/>
      <c r="P12" s="1"/>
      <c r="Q12" s="1"/>
      <c r="R12" s="1"/>
    </row>
    <row r="13" spans="1:18" x14ac:dyDescent="0.2">
      <c r="A13" s="2"/>
      <c r="B13" s="524" t="s">
        <v>787</v>
      </c>
      <c r="C13" s="525" t="s">
        <v>788</v>
      </c>
      <c r="D13" s="1"/>
      <c r="E13" s="1"/>
      <c r="F13" s="1"/>
      <c r="G13" s="1"/>
      <c r="H13" s="1"/>
      <c r="I13" s="1"/>
      <c r="J13" s="1"/>
      <c r="K13" s="1"/>
      <c r="L13" s="1"/>
      <c r="M13" s="1"/>
      <c r="N13" s="1"/>
      <c r="O13" s="1"/>
      <c r="P13" s="1"/>
      <c r="Q13" s="1"/>
      <c r="R13" s="1"/>
    </row>
    <row r="14" spans="1:18" x14ac:dyDescent="0.2">
      <c r="A14" s="2"/>
      <c r="B14" s="524" t="s">
        <v>789</v>
      </c>
      <c r="C14" s="525" t="s">
        <v>790</v>
      </c>
      <c r="D14" s="1"/>
      <c r="E14" s="1"/>
      <c r="F14" s="1"/>
      <c r="G14" s="1"/>
      <c r="H14" s="1"/>
      <c r="I14" s="1"/>
      <c r="J14" s="1"/>
      <c r="K14" s="1"/>
      <c r="L14" s="1"/>
      <c r="M14" s="1"/>
      <c r="N14" s="1"/>
      <c r="O14" s="1"/>
      <c r="P14" s="1"/>
      <c r="Q14" s="1"/>
      <c r="R14" s="1"/>
    </row>
    <row r="15" spans="1:18" x14ac:dyDescent="0.2">
      <c r="A15" s="2"/>
      <c r="B15" s="524" t="s">
        <v>791</v>
      </c>
      <c r="C15" s="525" t="s">
        <v>792</v>
      </c>
      <c r="D15" s="1"/>
      <c r="E15" s="1"/>
      <c r="F15" s="1"/>
      <c r="G15" s="1"/>
      <c r="H15" s="1"/>
      <c r="I15" s="1"/>
      <c r="J15" s="1"/>
      <c r="K15" s="1"/>
      <c r="L15" s="1"/>
      <c r="M15" s="1"/>
      <c r="N15" s="1"/>
      <c r="O15" s="1"/>
      <c r="P15" s="1"/>
      <c r="Q15" s="1"/>
      <c r="R15" s="1"/>
    </row>
    <row r="16" spans="1:18" x14ac:dyDescent="0.2">
      <c r="A16" s="2"/>
      <c r="B16" s="524" t="s">
        <v>793</v>
      </c>
      <c r="C16" s="525" t="s">
        <v>794</v>
      </c>
      <c r="D16" s="1"/>
      <c r="E16" s="1"/>
      <c r="F16" s="1"/>
      <c r="G16" s="1"/>
      <c r="H16" s="1"/>
      <c r="I16" s="1"/>
      <c r="J16" s="1"/>
      <c r="K16" s="1"/>
      <c r="L16" s="1"/>
      <c r="M16" s="1"/>
      <c r="N16" s="1"/>
      <c r="O16" s="1"/>
      <c r="P16" s="1"/>
      <c r="Q16" s="1"/>
      <c r="R16" s="1"/>
    </row>
    <row r="17" spans="1:18" x14ac:dyDescent="0.2">
      <c r="A17" s="2"/>
      <c r="B17" s="524" t="s">
        <v>795</v>
      </c>
      <c r="C17" s="525" t="s">
        <v>796</v>
      </c>
      <c r="D17" s="1"/>
      <c r="E17" s="1"/>
      <c r="F17" s="1"/>
      <c r="G17" s="1"/>
      <c r="H17" s="1"/>
      <c r="I17" s="1"/>
      <c r="J17" s="1"/>
      <c r="K17" s="1"/>
      <c r="L17" s="1"/>
      <c r="M17" s="1"/>
      <c r="N17" s="1"/>
      <c r="O17" s="1"/>
      <c r="P17" s="1"/>
      <c r="Q17" s="1"/>
      <c r="R17" s="1"/>
    </row>
    <row r="18" spans="1:18" x14ac:dyDescent="0.2">
      <c r="A18" s="2"/>
      <c r="B18" s="524" t="s">
        <v>797</v>
      </c>
      <c r="C18" s="525" t="s">
        <v>798</v>
      </c>
      <c r="D18" s="1"/>
      <c r="E18" s="1"/>
      <c r="F18" s="1"/>
      <c r="G18" s="1"/>
      <c r="H18" s="1"/>
      <c r="I18" s="1"/>
      <c r="J18" s="1"/>
      <c r="K18" s="1"/>
      <c r="L18" s="1"/>
      <c r="M18" s="1"/>
      <c r="N18" s="1"/>
      <c r="O18" s="1"/>
      <c r="P18" s="1"/>
      <c r="Q18" s="1"/>
      <c r="R18" s="1"/>
    </row>
    <row r="19" spans="1:18" x14ac:dyDescent="0.2">
      <c r="A19" s="2"/>
      <c r="B19" s="524" t="s">
        <v>799</v>
      </c>
      <c r="C19" s="525" t="s">
        <v>800</v>
      </c>
      <c r="D19" s="1"/>
      <c r="E19" s="1"/>
      <c r="F19" s="1"/>
      <c r="G19" s="1"/>
      <c r="H19" s="1"/>
      <c r="I19" s="1"/>
      <c r="J19" s="1"/>
      <c r="K19" s="1"/>
      <c r="L19" s="1"/>
      <c r="M19" s="1"/>
      <c r="N19" s="1"/>
      <c r="O19" s="1"/>
      <c r="P19" s="1"/>
      <c r="Q19" s="1"/>
      <c r="R19" s="1"/>
    </row>
    <row r="20" spans="1:18" x14ac:dyDescent="0.2">
      <c r="A20" s="2"/>
      <c r="B20" s="524" t="s">
        <v>801</v>
      </c>
      <c r="C20" s="525" t="s">
        <v>802</v>
      </c>
      <c r="D20" s="1"/>
      <c r="E20" s="1"/>
      <c r="F20" s="1"/>
      <c r="G20" s="1"/>
      <c r="H20" s="1"/>
      <c r="I20" s="1"/>
      <c r="J20" s="1"/>
      <c r="K20" s="1"/>
      <c r="L20" s="1"/>
      <c r="M20" s="1"/>
      <c r="N20" s="1"/>
      <c r="O20" s="1"/>
      <c r="P20" s="1"/>
      <c r="Q20" s="1"/>
      <c r="R20" s="1"/>
    </row>
    <row r="21" spans="1:18" x14ac:dyDescent="0.2">
      <c r="A21" s="2"/>
      <c r="B21" s="524" t="s">
        <v>803</v>
      </c>
      <c r="C21" s="525" t="s">
        <v>804</v>
      </c>
      <c r="D21" s="1"/>
      <c r="E21" s="1"/>
      <c r="F21" s="1"/>
      <c r="G21" s="1"/>
      <c r="H21" s="1"/>
      <c r="I21" s="1"/>
      <c r="J21" s="1"/>
      <c r="K21" s="1"/>
      <c r="L21" s="1"/>
      <c r="M21" s="1"/>
      <c r="N21" s="1"/>
      <c r="O21" s="1"/>
      <c r="P21" s="1"/>
      <c r="Q21" s="1"/>
      <c r="R21" s="1"/>
    </row>
    <row r="22" spans="1:18" x14ac:dyDescent="0.2">
      <c r="A22" s="2"/>
      <c r="B22" s="524" t="s">
        <v>805</v>
      </c>
      <c r="C22" s="525" t="s">
        <v>806</v>
      </c>
      <c r="D22" s="1"/>
      <c r="E22" s="1"/>
      <c r="F22" s="1"/>
      <c r="G22" s="1"/>
      <c r="H22" s="1"/>
      <c r="I22" s="1"/>
      <c r="J22" s="1"/>
      <c r="K22" s="1"/>
      <c r="L22" s="1"/>
      <c r="M22" s="1"/>
      <c r="N22" s="1"/>
      <c r="O22" s="1"/>
      <c r="P22" s="1"/>
      <c r="Q22" s="1"/>
      <c r="R22" s="1"/>
    </row>
    <row r="23" spans="1:18" x14ac:dyDescent="0.2">
      <c r="A23" s="2"/>
      <c r="B23" s="524" t="s">
        <v>807</v>
      </c>
      <c r="C23" s="525" t="s">
        <v>808</v>
      </c>
      <c r="D23" s="1"/>
      <c r="E23" s="1"/>
      <c r="F23" s="1"/>
      <c r="G23" s="1"/>
      <c r="H23" s="1"/>
      <c r="I23" s="1"/>
      <c r="J23" s="1"/>
      <c r="K23" s="1"/>
      <c r="L23" s="1"/>
      <c r="M23" s="1"/>
      <c r="N23" s="1"/>
      <c r="O23" s="1"/>
      <c r="P23" s="1"/>
      <c r="Q23" s="1"/>
      <c r="R23" s="1"/>
    </row>
    <row r="24" spans="1:18" x14ac:dyDescent="0.2">
      <c r="A24" s="2"/>
      <c r="B24" s="524" t="s">
        <v>809</v>
      </c>
      <c r="C24" s="525" t="s">
        <v>810</v>
      </c>
      <c r="D24" s="1"/>
      <c r="E24" s="1"/>
      <c r="F24" s="1"/>
      <c r="G24" s="1"/>
      <c r="H24" s="1"/>
      <c r="I24" s="1"/>
      <c r="J24" s="1"/>
      <c r="K24" s="1"/>
      <c r="L24" s="1"/>
      <c r="M24" s="1"/>
      <c r="N24" s="1"/>
      <c r="O24" s="1"/>
      <c r="P24" s="1"/>
      <c r="Q24" s="1"/>
      <c r="R24" s="1"/>
    </row>
    <row r="25" spans="1:18" x14ac:dyDescent="0.2">
      <c r="A25" s="2"/>
      <c r="B25" s="524" t="s">
        <v>811</v>
      </c>
      <c r="C25" s="525" t="s">
        <v>812</v>
      </c>
      <c r="D25" s="1"/>
      <c r="E25" s="1"/>
      <c r="F25" s="1"/>
      <c r="G25" s="1"/>
      <c r="H25" s="1"/>
      <c r="I25" s="1"/>
      <c r="J25" s="1"/>
      <c r="K25" s="1"/>
      <c r="L25" s="1"/>
      <c r="M25" s="1"/>
      <c r="N25" s="1"/>
      <c r="O25" s="1"/>
      <c r="P25" s="1"/>
      <c r="Q25" s="1"/>
      <c r="R25" s="1"/>
    </row>
    <row r="26" spans="1:18" x14ac:dyDescent="0.2">
      <c r="A26" s="2"/>
      <c r="B26" s="524" t="s">
        <v>813</v>
      </c>
      <c r="C26" s="525" t="s">
        <v>814</v>
      </c>
      <c r="D26" s="1"/>
      <c r="E26" s="1"/>
      <c r="F26" s="1"/>
      <c r="G26" s="1"/>
      <c r="H26" s="1"/>
      <c r="I26" s="1"/>
      <c r="J26" s="1"/>
      <c r="K26" s="1"/>
      <c r="L26" s="1"/>
      <c r="M26" s="1"/>
      <c r="N26" s="1"/>
      <c r="O26" s="1"/>
      <c r="P26" s="1"/>
      <c r="Q26" s="1"/>
      <c r="R26" s="1"/>
    </row>
    <row r="27" spans="1:18" x14ac:dyDescent="0.2">
      <c r="A27" s="2"/>
      <c r="B27" s="524" t="s">
        <v>815</v>
      </c>
      <c r="C27" s="525" t="s">
        <v>816</v>
      </c>
      <c r="D27" s="1"/>
      <c r="E27" s="1"/>
      <c r="F27" s="1"/>
      <c r="G27" s="1"/>
      <c r="H27" s="1"/>
      <c r="I27" s="1"/>
      <c r="J27" s="1"/>
      <c r="K27" s="1"/>
      <c r="L27" s="1"/>
      <c r="M27" s="1"/>
      <c r="N27" s="1"/>
      <c r="O27" s="1"/>
      <c r="P27" s="1"/>
      <c r="Q27" s="1"/>
      <c r="R27" s="1"/>
    </row>
    <row r="28" spans="1:18" x14ac:dyDescent="0.2">
      <c r="A28" s="2"/>
      <c r="B28" s="524" t="s">
        <v>817</v>
      </c>
      <c r="C28" s="525" t="s">
        <v>818</v>
      </c>
      <c r="D28" s="1"/>
      <c r="E28" s="1"/>
      <c r="F28" s="1"/>
      <c r="G28" s="1"/>
      <c r="H28" s="1"/>
      <c r="I28" s="1"/>
      <c r="J28" s="1"/>
      <c r="K28" s="1"/>
      <c r="L28" s="1"/>
      <c r="M28" s="1"/>
      <c r="N28" s="1"/>
      <c r="O28" s="1"/>
      <c r="P28" s="1"/>
      <c r="Q28" s="1"/>
      <c r="R28" s="1"/>
    </row>
    <row r="29" spans="1:18" x14ac:dyDescent="0.2">
      <c r="A29" s="2"/>
      <c r="B29" s="524" t="s">
        <v>819</v>
      </c>
      <c r="C29" s="525" t="s">
        <v>820</v>
      </c>
      <c r="D29" s="1"/>
      <c r="E29" s="1"/>
      <c r="F29" s="1"/>
      <c r="G29" s="1"/>
      <c r="H29" s="1"/>
      <c r="I29" s="1"/>
      <c r="J29" s="1"/>
      <c r="K29" s="1"/>
      <c r="L29" s="1"/>
      <c r="M29" s="1"/>
      <c r="N29" s="1"/>
      <c r="O29" s="1"/>
      <c r="P29" s="1"/>
      <c r="Q29" s="1"/>
      <c r="R29" s="1"/>
    </row>
    <row r="30" spans="1:18" x14ac:dyDescent="0.2">
      <c r="A30" s="2"/>
      <c r="B30" s="524" t="s">
        <v>821</v>
      </c>
      <c r="C30" s="525" t="s">
        <v>822</v>
      </c>
      <c r="D30" s="1"/>
      <c r="E30" s="1"/>
      <c r="F30" s="1"/>
      <c r="G30" s="1"/>
      <c r="H30" s="1"/>
      <c r="I30" s="1"/>
      <c r="J30" s="1"/>
      <c r="K30" s="1"/>
      <c r="L30" s="1"/>
      <c r="M30" s="1"/>
      <c r="N30" s="1"/>
      <c r="O30" s="1"/>
      <c r="P30" s="1"/>
      <c r="Q30" s="1"/>
      <c r="R30" s="1"/>
    </row>
    <row r="31" spans="1:18" x14ac:dyDescent="0.2">
      <c r="A31" s="2"/>
      <c r="B31" s="524" t="s">
        <v>823</v>
      </c>
      <c r="C31" s="525" t="s">
        <v>824</v>
      </c>
      <c r="D31" s="1"/>
      <c r="E31" s="1"/>
      <c r="F31" s="1"/>
      <c r="G31" s="1"/>
      <c r="H31" s="1"/>
      <c r="I31" s="1"/>
      <c r="J31" s="1"/>
      <c r="K31" s="1"/>
      <c r="L31" s="1"/>
      <c r="M31" s="1"/>
      <c r="N31" s="1"/>
      <c r="O31" s="1"/>
      <c r="P31" s="1"/>
      <c r="Q31" s="1"/>
      <c r="R31" s="1"/>
    </row>
    <row r="32" spans="1:18" x14ac:dyDescent="0.2">
      <c r="A32" s="2"/>
      <c r="B32" s="524" t="s">
        <v>825</v>
      </c>
      <c r="C32" s="525" t="s">
        <v>826</v>
      </c>
      <c r="D32" s="1"/>
      <c r="E32" s="1"/>
      <c r="F32" s="1"/>
      <c r="G32" s="1"/>
      <c r="H32" s="1"/>
      <c r="I32" s="1"/>
      <c r="J32" s="1"/>
      <c r="K32" s="1"/>
      <c r="L32" s="1"/>
      <c r="M32" s="1"/>
      <c r="N32" s="1"/>
      <c r="O32" s="1"/>
      <c r="P32" s="1"/>
      <c r="Q32" s="1"/>
      <c r="R32" s="1"/>
    </row>
    <row r="33" spans="1:18" x14ac:dyDescent="0.2">
      <c r="A33" s="2"/>
      <c r="B33" s="524" t="s">
        <v>827</v>
      </c>
      <c r="C33" s="525" t="s">
        <v>828</v>
      </c>
      <c r="D33" s="1"/>
      <c r="E33" s="1"/>
      <c r="F33" s="1"/>
      <c r="G33" s="1"/>
      <c r="H33" s="1"/>
      <c r="I33" s="1"/>
      <c r="J33" s="1"/>
      <c r="K33" s="1"/>
      <c r="L33" s="1"/>
      <c r="M33" s="1"/>
      <c r="N33" s="1"/>
      <c r="O33" s="1"/>
      <c r="P33" s="1"/>
      <c r="Q33" s="1"/>
      <c r="R33" s="1"/>
    </row>
    <row r="34" spans="1:18" x14ac:dyDescent="0.2">
      <c r="A34" s="2"/>
      <c r="B34" s="524" t="s">
        <v>829</v>
      </c>
      <c r="C34" s="525" t="s">
        <v>830</v>
      </c>
      <c r="D34" s="1"/>
      <c r="E34" s="1"/>
      <c r="F34" s="1"/>
      <c r="G34" s="1"/>
      <c r="H34" s="1"/>
      <c r="I34" s="1"/>
      <c r="J34" s="1"/>
      <c r="K34" s="1"/>
      <c r="L34" s="1"/>
      <c r="M34" s="1"/>
      <c r="N34" s="1"/>
      <c r="O34" s="1"/>
      <c r="P34" s="1"/>
      <c r="Q34" s="1"/>
      <c r="R34" s="1"/>
    </row>
    <row r="35" spans="1:18" x14ac:dyDescent="0.2">
      <c r="A35" s="2"/>
      <c r="B35" s="524" t="s">
        <v>831</v>
      </c>
      <c r="C35" s="525" t="s">
        <v>832</v>
      </c>
      <c r="D35" s="1"/>
      <c r="E35" s="1"/>
      <c r="F35" s="1"/>
      <c r="G35" s="1"/>
      <c r="H35" s="1"/>
      <c r="I35" s="1"/>
      <c r="J35" s="1"/>
      <c r="K35" s="1"/>
      <c r="L35" s="1"/>
      <c r="M35" s="1"/>
      <c r="N35" s="1"/>
      <c r="O35" s="1"/>
      <c r="P35" s="1"/>
      <c r="Q35" s="1"/>
      <c r="R35" s="1"/>
    </row>
    <row r="36" spans="1:18" x14ac:dyDescent="0.2">
      <c r="A36" s="2"/>
      <c r="B36" s="524" t="s">
        <v>833</v>
      </c>
      <c r="C36" s="525" t="s">
        <v>834</v>
      </c>
      <c r="D36" s="1"/>
      <c r="E36" s="1"/>
      <c r="F36" s="1"/>
      <c r="G36" s="1"/>
      <c r="H36" s="1"/>
      <c r="I36" s="1"/>
      <c r="J36" s="1"/>
      <c r="K36" s="1"/>
      <c r="L36" s="1"/>
      <c r="M36" s="1"/>
      <c r="N36" s="1"/>
      <c r="O36" s="1"/>
      <c r="P36" s="1"/>
      <c r="Q36" s="1"/>
      <c r="R36" s="1"/>
    </row>
    <row r="37" spans="1:18" x14ac:dyDescent="0.2">
      <c r="A37" s="2"/>
      <c r="B37" s="524" t="s">
        <v>835</v>
      </c>
      <c r="C37" s="525" t="s">
        <v>836</v>
      </c>
      <c r="D37" s="1"/>
      <c r="E37" s="1"/>
      <c r="F37" s="1"/>
      <c r="G37" s="1"/>
      <c r="H37" s="1"/>
      <c r="I37" s="1"/>
      <c r="J37" s="1"/>
      <c r="K37" s="1"/>
      <c r="L37" s="1"/>
      <c r="M37" s="1"/>
      <c r="N37" s="1"/>
      <c r="O37" s="1"/>
      <c r="P37" s="1"/>
      <c r="Q37" s="1"/>
      <c r="R37" s="1"/>
    </row>
    <row r="38" spans="1:18" x14ac:dyDescent="0.2">
      <c r="A38" s="2"/>
      <c r="B38" s="524" t="s">
        <v>837</v>
      </c>
      <c r="C38" s="525" t="s">
        <v>838</v>
      </c>
      <c r="D38" s="1"/>
      <c r="E38" s="1"/>
      <c r="F38" s="1"/>
      <c r="G38" s="1"/>
      <c r="H38" s="1"/>
      <c r="I38" s="1"/>
      <c r="J38" s="1"/>
      <c r="K38" s="1"/>
      <c r="L38" s="1"/>
      <c r="M38" s="1"/>
      <c r="N38" s="1"/>
      <c r="O38" s="1"/>
      <c r="P38" s="1"/>
      <c r="Q38" s="1"/>
      <c r="R38" s="1"/>
    </row>
    <row r="39" spans="1:18" x14ac:dyDescent="0.2">
      <c r="A39" s="2"/>
      <c r="B39" s="524" t="s">
        <v>839</v>
      </c>
      <c r="C39" s="525" t="s">
        <v>840</v>
      </c>
      <c r="D39" s="1"/>
      <c r="E39" s="1"/>
      <c r="F39" s="1"/>
      <c r="G39" s="1"/>
      <c r="H39" s="1"/>
      <c r="I39" s="1"/>
      <c r="J39" s="1"/>
      <c r="K39" s="1"/>
      <c r="L39" s="1"/>
      <c r="M39" s="1"/>
      <c r="N39" s="1"/>
      <c r="O39" s="1"/>
      <c r="P39" s="1"/>
      <c r="Q39" s="1"/>
      <c r="R39" s="1"/>
    </row>
    <row r="40" spans="1:18" x14ac:dyDescent="0.2">
      <c r="A40" s="2"/>
      <c r="B40" s="524" t="s">
        <v>841</v>
      </c>
      <c r="C40" s="525" t="s">
        <v>842</v>
      </c>
      <c r="D40" s="1"/>
      <c r="E40" s="1"/>
      <c r="F40" s="1"/>
      <c r="G40" s="1"/>
      <c r="H40" s="1"/>
      <c r="I40" s="1"/>
      <c r="J40" s="1"/>
      <c r="K40" s="1"/>
      <c r="L40" s="1"/>
      <c r="M40" s="1"/>
      <c r="N40" s="1"/>
      <c r="O40" s="1"/>
      <c r="P40" s="1"/>
      <c r="Q40" s="1"/>
      <c r="R40" s="1"/>
    </row>
    <row r="41" spans="1:18" x14ac:dyDescent="0.2">
      <c r="A41" s="2"/>
      <c r="B41" s="524" t="s">
        <v>843</v>
      </c>
      <c r="C41" s="525" t="s">
        <v>844</v>
      </c>
      <c r="D41" s="1"/>
      <c r="E41" s="1"/>
      <c r="F41" s="1"/>
      <c r="G41" s="1"/>
      <c r="H41" s="1"/>
      <c r="I41" s="1"/>
      <c r="J41" s="1"/>
      <c r="K41" s="1"/>
      <c r="L41" s="1"/>
      <c r="M41" s="1"/>
      <c r="N41" s="1"/>
      <c r="O41" s="1"/>
      <c r="P41" s="1"/>
      <c r="Q41" s="1"/>
      <c r="R41" s="1"/>
    </row>
    <row r="42" spans="1:18" x14ac:dyDescent="0.2">
      <c r="A42" s="2"/>
      <c r="B42" s="524" t="s">
        <v>845</v>
      </c>
      <c r="C42" s="525" t="s">
        <v>846</v>
      </c>
      <c r="D42" s="1"/>
      <c r="E42" s="1"/>
      <c r="F42" s="1"/>
      <c r="G42" s="1"/>
      <c r="H42" s="1"/>
      <c r="I42" s="1"/>
      <c r="J42" s="1"/>
      <c r="K42" s="1"/>
      <c r="L42" s="1"/>
      <c r="M42" s="1"/>
      <c r="N42" s="1"/>
      <c r="O42" s="1"/>
      <c r="P42" s="1"/>
      <c r="Q42" s="1"/>
      <c r="R42" s="1"/>
    </row>
    <row r="43" spans="1:18" x14ac:dyDescent="0.2">
      <c r="A43" s="2"/>
      <c r="B43" s="524" t="s">
        <v>847</v>
      </c>
      <c r="C43" s="525" t="s">
        <v>848</v>
      </c>
      <c r="D43" s="1"/>
      <c r="E43" s="1"/>
      <c r="F43" s="1"/>
      <c r="G43" s="1"/>
      <c r="H43" s="1"/>
      <c r="I43" s="1"/>
      <c r="J43" s="1"/>
      <c r="K43" s="1"/>
      <c r="L43" s="1"/>
      <c r="M43" s="1"/>
      <c r="N43" s="1"/>
      <c r="O43" s="1"/>
      <c r="P43" s="1"/>
      <c r="Q43" s="1"/>
      <c r="R43" s="1"/>
    </row>
    <row r="44" spans="1:18" x14ac:dyDescent="0.2">
      <c r="A44" s="2"/>
      <c r="B44" s="524" t="s">
        <v>849</v>
      </c>
      <c r="C44" s="525" t="s">
        <v>850</v>
      </c>
      <c r="D44" s="1"/>
      <c r="E44" s="1"/>
      <c r="F44" s="1"/>
      <c r="G44" s="1"/>
      <c r="H44" s="1"/>
      <c r="I44" s="1"/>
      <c r="J44" s="1"/>
      <c r="K44" s="1"/>
      <c r="L44" s="1"/>
      <c r="M44" s="1"/>
      <c r="N44" s="1"/>
      <c r="O44" s="1"/>
      <c r="P44" s="1"/>
      <c r="Q44" s="1"/>
      <c r="R44" s="1"/>
    </row>
    <row r="45" spans="1:18" x14ac:dyDescent="0.2">
      <c r="A45" s="2"/>
      <c r="B45" s="524" t="s">
        <v>851</v>
      </c>
      <c r="C45" s="525" t="s">
        <v>852</v>
      </c>
      <c r="D45" s="1"/>
      <c r="E45" s="1"/>
      <c r="F45" s="1"/>
      <c r="G45" s="1"/>
      <c r="H45" s="1"/>
      <c r="I45" s="1"/>
      <c r="J45" s="1"/>
      <c r="K45" s="1"/>
      <c r="L45" s="1"/>
      <c r="M45" s="1"/>
      <c r="N45" s="1"/>
      <c r="O45" s="1"/>
      <c r="P45" s="1"/>
      <c r="Q45" s="1"/>
      <c r="R45" s="1"/>
    </row>
    <row r="46" spans="1:18" x14ac:dyDescent="0.2">
      <c r="A46" s="2"/>
      <c r="B46" s="524" t="s">
        <v>853</v>
      </c>
      <c r="C46" s="525" t="s">
        <v>854</v>
      </c>
      <c r="D46" s="1"/>
      <c r="E46" s="1"/>
      <c r="F46" s="1"/>
      <c r="G46" s="1"/>
      <c r="H46" s="1"/>
      <c r="I46" s="1"/>
      <c r="J46" s="1"/>
      <c r="K46" s="1"/>
      <c r="L46" s="1"/>
      <c r="M46" s="1"/>
      <c r="N46" s="1"/>
      <c r="O46" s="1"/>
      <c r="P46" s="1"/>
      <c r="Q46" s="1"/>
      <c r="R46" s="1"/>
    </row>
    <row r="47" spans="1:18" x14ac:dyDescent="0.2">
      <c r="A47" s="2"/>
      <c r="B47" s="524" t="s">
        <v>855</v>
      </c>
      <c r="C47" s="525" t="s">
        <v>856</v>
      </c>
      <c r="D47" s="1"/>
      <c r="E47" s="1"/>
      <c r="F47" s="1"/>
      <c r="G47" s="1"/>
      <c r="H47" s="1"/>
      <c r="I47" s="1"/>
      <c r="J47" s="1"/>
      <c r="K47" s="1"/>
      <c r="L47" s="1"/>
      <c r="M47" s="1"/>
      <c r="N47" s="1"/>
      <c r="O47" s="1"/>
      <c r="P47" s="1"/>
      <c r="Q47" s="1"/>
      <c r="R47" s="1"/>
    </row>
    <row r="48" spans="1:18" x14ac:dyDescent="0.2">
      <c r="A48" s="2"/>
      <c r="B48" s="524" t="s">
        <v>857</v>
      </c>
      <c r="C48" s="525" t="s">
        <v>858</v>
      </c>
      <c r="D48" s="1"/>
      <c r="E48" s="1"/>
      <c r="F48" s="1"/>
      <c r="G48" s="1"/>
      <c r="H48" s="1"/>
      <c r="I48" s="1"/>
      <c r="J48" s="1"/>
      <c r="K48" s="1"/>
      <c r="L48" s="1"/>
      <c r="M48" s="1"/>
      <c r="N48" s="1"/>
      <c r="O48" s="1"/>
      <c r="P48" s="1"/>
      <c r="Q48" s="1"/>
      <c r="R48" s="1"/>
    </row>
    <row r="49" spans="1:18" x14ac:dyDescent="0.2">
      <c r="A49" s="2"/>
      <c r="B49" s="524" t="s">
        <v>859</v>
      </c>
      <c r="C49" s="525" t="s">
        <v>860</v>
      </c>
      <c r="D49" s="1"/>
      <c r="E49" s="1"/>
      <c r="F49" s="1"/>
      <c r="G49" s="1"/>
      <c r="H49" s="1"/>
      <c r="I49" s="1"/>
      <c r="J49" s="1"/>
      <c r="K49" s="1"/>
      <c r="L49" s="1"/>
      <c r="M49" s="1"/>
      <c r="N49" s="1"/>
      <c r="O49" s="1"/>
      <c r="P49" s="1"/>
      <c r="Q49" s="1"/>
      <c r="R49" s="1"/>
    </row>
    <row r="50" spans="1:18" x14ac:dyDescent="0.2">
      <c r="A50" s="2"/>
      <c r="B50" s="524" t="s">
        <v>861</v>
      </c>
      <c r="C50" s="525" t="s">
        <v>862</v>
      </c>
      <c r="D50" s="1"/>
      <c r="E50" s="1"/>
      <c r="F50" s="1"/>
      <c r="G50" s="1"/>
      <c r="H50" s="1"/>
      <c r="I50" s="1"/>
      <c r="J50" s="1"/>
      <c r="K50" s="1"/>
      <c r="L50" s="1"/>
      <c r="M50" s="1"/>
      <c r="N50" s="1"/>
      <c r="O50" s="1"/>
      <c r="P50" s="1"/>
      <c r="Q50" s="1"/>
      <c r="R50" s="1"/>
    </row>
    <row r="51" spans="1:18" x14ac:dyDescent="0.2">
      <c r="A51" s="2"/>
      <c r="B51" s="524" t="s">
        <v>863</v>
      </c>
      <c r="C51" s="525" t="s">
        <v>864</v>
      </c>
      <c r="D51" s="1"/>
      <c r="E51" s="1"/>
      <c r="F51" s="1"/>
      <c r="G51" s="1"/>
      <c r="H51" s="1"/>
      <c r="I51" s="1"/>
      <c r="J51" s="1"/>
      <c r="K51" s="1"/>
      <c r="L51" s="1"/>
      <c r="M51" s="1"/>
      <c r="N51" s="1"/>
      <c r="O51" s="1"/>
      <c r="P51" s="1"/>
      <c r="Q51" s="1"/>
      <c r="R51" s="1"/>
    </row>
    <row r="52" spans="1:18" x14ac:dyDescent="0.2">
      <c r="A52" s="2"/>
      <c r="B52" s="524" t="s">
        <v>865</v>
      </c>
      <c r="C52" s="525" t="s">
        <v>866</v>
      </c>
      <c r="D52" s="1"/>
      <c r="E52" s="1"/>
      <c r="F52" s="1"/>
      <c r="G52" s="1"/>
      <c r="H52" s="1"/>
      <c r="I52" s="1"/>
      <c r="J52" s="1"/>
      <c r="K52" s="1"/>
      <c r="L52" s="1"/>
      <c r="M52" s="1"/>
      <c r="N52" s="1"/>
      <c r="O52" s="1"/>
      <c r="P52" s="1"/>
      <c r="Q52" s="1"/>
      <c r="R52" s="1"/>
    </row>
    <row r="53" spans="1:18" x14ac:dyDescent="0.2">
      <c r="A53" s="2"/>
      <c r="B53" s="524" t="s">
        <v>867</v>
      </c>
      <c r="C53" s="525" t="s">
        <v>868</v>
      </c>
      <c r="D53" s="1"/>
      <c r="E53" s="1"/>
      <c r="F53" s="1"/>
      <c r="G53" s="1"/>
      <c r="H53" s="1"/>
      <c r="I53" s="1"/>
      <c r="J53" s="1"/>
      <c r="K53" s="1"/>
      <c r="L53" s="1"/>
      <c r="M53" s="1"/>
      <c r="N53" s="1"/>
      <c r="O53" s="1"/>
      <c r="P53" s="1"/>
      <c r="Q53" s="1"/>
      <c r="R53" s="1"/>
    </row>
    <row r="54" spans="1:18" x14ac:dyDescent="0.2">
      <c r="A54" s="2"/>
      <c r="B54" s="524" t="s">
        <v>869</v>
      </c>
      <c r="C54" s="525" t="s">
        <v>870</v>
      </c>
      <c r="D54" s="1"/>
      <c r="E54" s="1"/>
      <c r="F54" s="1"/>
      <c r="G54" s="1"/>
      <c r="H54" s="1"/>
      <c r="I54" s="1"/>
      <c r="J54" s="1"/>
      <c r="K54" s="1"/>
      <c r="L54" s="1"/>
      <c r="M54" s="1"/>
      <c r="N54" s="1"/>
      <c r="O54" s="1"/>
      <c r="P54" s="1"/>
      <c r="Q54" s="1"/>
      <c r="R54" s="1"/>
    </row>
    <row r="55" spans="1:18" x14ac:dyDescent="0.2">
      <c r="A55" s="2"/>
      <c r="B55" s="524" t="s">
        <v>871</v>
      </c>
      <c r="C55" s="525" t="s">
        <v>872</v>
      </c>
      <c r="D55" s="1"/>
      <c r="E55" s="1"/>
      <c r="F55" s="1"/>
      <c r="G55" s="1"/>
      <c r="H55" s="1"/>
      <c r="I55" s="1"/>
      <c r="J55" s="1"/>
      <c r="K55" s="1"/>
      <c r="L55" s="1"/>
      <c r="M55" s="1"/>
      <c r="N55" s="1"/>
      <c r="O55" s="1"/>
      <c r="P55" s="1"/>
      <c r="Q55" s="1"/>
      <c r="R55" s="1"/>
    </row>
    <row r="56" spans="1:18" x14ac:dyDescent="0.2">
      <c r="A56" s="2"/>
      <c r="B56" s="524" t="s">
        <v>873</v>
      </c>
      <c r="C56" s="525" t="s">
        <v>874</v>
      </c>
      <c r="D56" s="1"/>
      <c r="E56" s="1"/>
      <c r="F56" s="1"/>
      <c r="G56" s="1"/>
      <c r="H56" s="1"/>
      <c r="I56" s="1"/>
      <c r="J56" s="1"/>
      <c r="K56" s="1"/>
      <c r="L56" s="1"/>
      <c r="M56" s="1"/>
      <c r="N56" s="1"/>
      <c r="O56" s="1"/>
      <c r="P56" s="1"/>
      <c r="Q56" s="1"/>
      <c r="R56" s="1"/>
    </row>
    <row r="57" spans="1:18" x14ac:dyDescent="0.2">
      <c r="A57" s="2"/>
      <c r="B57" s="524" t="s">
        <v>875</v>
      </c>
      <c r="C57" s="525" t="s">
        <v>876</v>
      </c>
      <c r="D57" s="1"/>
      <c r="E57" s="1"/>
      <c r="F57" s="1"/>
      <c r="G57" s="1"/>
      <c r="H57" s="1"/>
      <c r="I57" s="1"/>
      <c r="J57" s="1"/>
      <c r="K57" s="1"/>
      <c r="L57" s="1"/>
      <c r="M57" s="1"/>
      <c r="N57" s="1"/>
      <c r="O57" s="1"/>
      <c r="P57" s="1"/>
      <c r="Q57" s="1"/>
      <c r="R57" s="1"/>
    </row>
    <row r="58" spans="1:18" x14ac:dyDescent="0.2">
      <c r="A58" s="2"/>
      <c r="B58" s="524" t="s">
        <v>877</v>
      </c>
      <c r="C58" s="525" t="s">
        <v>878</v>
      </c>
      <c r="D58" s="1"/>
      <c r="E58" s="1"/>
      <c r="F58" s="1"/>
      <c r="G58" s="1"/>
      <c r="H58" s="1"/>
      <c r="I58" s="1"/>
      <c r="J58" s="1"/>
      <c r="K58" s="1"/>
      <c r="L58" s="1"/>
      <c r="M58" s="1"/>
      <c r="N58" s="1"/>
      <c r="O58" s="1"/>
      <c r="P58" s="1"/>
      <c r="Q58" s="1"/>
      <c r="R58" s="1"/>
    </row>
    <row r="59" spans="1:18" x14ac:dyDescent="0.2">
      <c r="A59" s="2"/>
      <c r="B59" s="524" t="s">
        <v>879</v>
      </c>
      <c r="C59" s="525" t="s">
        <v>880</v>
      </c>
      <c r="D59" s="1"/>
      <c r="E59" s="1"/>
      <c r="F59" s="1"/>
      <c r="G59" s="1"/>
      <c r="H59" s="1"/>
      <c r="I59" s="1"/>
      <c r="J59" s="1"/>
      <c r="K59" s="1"/>
      <c r="L59" s="1"/>
      <c r="M59" s="1"/>
      <c r="N59" s="1"/>
      <c r="O59" s="1"/>
      <c r="P59" s="1"/>
      <c r="Q59" s="1"/>
      <c r="R59" s="1"/>
    </row>
    <row r="60" spans="1:18" x14ac:dyDescent="0.2">
      <c r="A60" s="2"/>
      <c r="B60" s="524" t="s">
        <v>881</v>
      </c>
      <c r="C60" s="525" t="s">
        <v>882</v>
      </c>
      <c r="D60" s="1"/>
      <c r="E60" s="1"/>
      <c r="F60" s="1"/>
      <c r="G60" s="1"/>
      <c r="H60" s="1"/>
      <c r="I60" s="1"/>
      <c r="J60" s="1"/>
      <c r="K60" s="1"/>
      <c r="L60" s="1"/>
      <c r="M60" s="1"/>
      <c r="N60" s="1"/>
      <c r="O60" s="1"/>
      <c r="P60" s="1"/>
      <c r="Q60" s="1"/>
      <c r="R60" s="1"/>
    </row>
    <row r="61" spans="1:18" x14ac:dyDescent="0.2">
      <c r="A61" s="2"/>
      <c r="B61" s="524" t="s">
        <v>883</v>
      </c>
      <c r="C61" s="525" t="s">
        <v>884</v>
      </c>
      <c r="D61" s="1"/>
      <c r="E61" s="1"/>
      <c r="F61" s="1"/>
      <c r="G61" s="1"/>
      <c r="H61" s="1"/>
      <c r="I61" s="1"/>
      <c r="J61" s="1"/>
      <c r="K61" s="1"/>
      <c r="L61" s="1"/>
      <c r="M61" s="1"/>
      <c r="N61" s="1"/>
      <c r="O61" s="1"/>
      <c r="P61" s="1"/>
      <c r="Q61" s="1"/>
      <c r="R61" s="1"/>
    </row>
    <row r="62" spans="1:18" x14ac:dyDescent="0.2">
      <c r="A62" s="2"/>
      <c r="B62" s="524" t="s">
        <v>885</v>
      </c>
      <c r="C62" s="525" t="s">
        <v>886</v>
      </c>
      <c r="D62" s="1"/>
      <c r="E62" s="1"/>
      <c r="F62" s="1"/>
      <c r="G62" s="1"/>
      <c r="H62" s="1"/>
      <c r="I62" s="1"/>
      <c r="J62" s="1"/>
      <c r="K62" s="1"/>
      <c r="L62" s="1"/>
      <c r="M62" s="1"/>
      <c r="N62" s="1"/>
      <c r="O62" s="1"/>
      <c r="P62" s="1"/>
      <c r="Q62" s="1"/>
      <c r="R62" s="1"/>
    </row>
    <row r="63" spans="1:18" x14ac:dyDescent="0.2">
      <c r="A63" s="2"/>
      <c r="B63" s="524" t="s">
        <v>887</v>
      </c>
      <c r="C63" s="525" t="s">
        <v>888</v>
      </c>
      <c r="D63" s="1"/>
      <c r="E63" s="1"/>
      <c r="F63" s="1"/>
      <c r="G63" s="1"/>
      <c r="H63" s="1"/>
      <c r="I63" s="1"/>
      <c r="J63" s="1"/>
      <c r="K63" s="1"/>
      <c r="L63" s="1"/>
      <c r="M63" s="1"/>
      <c r="N63" s="1"/>
      <c r="O63" s="1"/>
      <c r="P63" s="1"/>
      <c r="Q63" s="1"/>
      <c r="R63" s="1"/>
    </row>
    <row r="64" spans="1:18" x14ac:dyDescent="0.2">
      <c r="A64" s="2"/>
      <c r="B64" s="524" t="s">
        <v>889</v>
      </c>
      <c r="C64" s="525" t="s">
        <v>890</v>
      </c>
      <c r="D64" s="1"/>
      <c r="E64" s="1"/>
      <c r="F64" s="1"/>
      <c r="G64" s="1"/>
      <c r="H64" s="1"/>
      <c r="I64" s="1"/>
      <c r="J64" s="1"/>
      <c r="K64" s="1"/>
      <c r="L64" s="1"/>
      <c r="M64" s="1"/>
      <c r="N64" s="1"/>
      <c r="O64" s="1"/>
      <c r="P64" s="1"/>
      <c r="Q64" s="1"/>
      <c r="R64" s="1"/>
    </row>
    <row r="65" spans="1:18" x14ac:dyDescent="0.2">
      <c r="A65" s="2"/>
      <c r="B65" s="524" t="s">
        <v>891</v>
      </c>
      <c r="C65" s="525" t="s">
        <v>892</v>
      </c>
      <c r="D65" s="1"/>
      <c r="E65" s="1"/>
      <c r="F65" s="1"/>
      <c r="G65" s="1"/>
      <c r="H65" s="1"/>
      <c r="I65" s="1"/>
      <c r="J65" s="1"/>
      <c r="K65" s="1"/>
      <c r="L65" s="1"/>
      <c r="M65" s="1"/>
      <c r="N65" s="1"/>
      <c r="O65" s="1"/>
      <c r="P65" s="1"/>
      <c r="Q65" s="1"/>
      <c r="R65" s="1"/>
    </row>
    <row r="66" spans="1:18" x14ac:dyDescent="0.2">
      <c r="A66" s="2"/>
      <c r="B66" s="524" t="s">
        <v>893</v>
      </c>
      <c r="C66" s="525" t="s">
        <v>894</v>
      </c>
      <c r="D66" s="1"/>
      <c r="E66" s="1"/>
      <c r="F66" s="1"/>
      <c r="G66" s="1"/>
      <c r="H66" s="1"/>
      <c r="I66" s="1"/>
      <c r="J66" s="1"/>
      <c r="K66" s="1"/>
      <c r="L66" s="1"/>
      <c r="M66" s="1"/>
      <c r="N66" s="1"/>
      <c r="O66" s="1"/>
      <c r="P66" s="1"/>
      <c r="Q66" s="1"/>
      <c r="R66" s="1"/>
    </row>
    <row r="67" spans="1:18" x14ac:dyDescent="0.2">
      <c r="A67" s="2"/>
      <c r="B67" s="524" t="s">
        <v>895</v>
      </c>
      <c r="C67" s="525" t="s">
        <v>896</v>
      </c>
      <c r="D67" s="1"/>
      <c r="E67" s="1"/>
      <c r="F67" s="1"/>
      <c r="G67" s="1"/>
      <c r="H67" s="1"/>
      <c r="I67" s="1"/>
      <c r="J67" s="1"/>
      <c r="K67" s="1"/>
      <c r="L67" s="1"/>
      <c r="M67" s="1"/>
      <c r="N67" s="1"/>
      <c r="O67" s="1"/>
      <c r="P67" s="1"/>
      <c r="Q67" s="1"/>
      <c r="R67" s="1"/>
    </row>
    <row r="68" spans="1:18" x14ac:dyDescent="0.2">
      <c r="A68" s="2"/>
      <c r="B68" s="524" t="s">
        <v>897</v>
      </c>
      <c r="C68" s="525" t="s">
        <v>898</v>
      </c>
      <c r="D68" s="1"/>
      <c r="E68" s="1"/>
      <c r="F68" s="1"/>
      <c r="G68" s="1"/>
      <c r="H68" s="1"/>
      <c r="I68" s="1"/>
      <c r="J68" s="1"/>
      <c r="K68" s="1"/>
      <c r="L68" s="1"/>
      <c r="M68" s="1"/>
      <c r="N68" s="1"/>
      <c r="O68" s="1"/>
      <c r="P68" s="1"/>
      <c r="Q68" s="1"/>
      <c r="R68" s="1"/>
    </row>
    <row r="69" spans="1:18" x14ac:dyDescent="0.2">
      <c r="A69" s="2"/>
      <c r="B69" s="524" t="s">
        <v>899</v>
      </c>
      <c r="C69" s="525" t="s">
        <v>900</v>
      </c>
      <c r="D69" s="1"/>
      <c r="E69" s="1"/>
      <c r="F69" s="1"/>
      <c r="G69" s="1"/>
      <c r="H69" s="1"/>
      <c r="I69" s="1"/>
      <c r="J69" s="1"/>
      <c r="K69" s="1"/>
      <c r="L69" s="1"/>
      <c r="M69" s="1"/>
      <c r="N69" s="1"/>
      <c r="O69" s="1"/>
      <c r="P69" s="1"/>
      <c r="Q69" s="1"/>
      <c r="R69" s="1"/>
    </row>
    <row r="70" spans="1:18" x14ac:dyDescent="0.2">
      <c r="A70" s="2"/>
      <c r="B70" s="524" t="s">
        <v>901</v>
      </c>
      <c r="C70" s="525" t="s">
        <v>902</v>
      </c>
      <c r="D70" s="1"/>
      <c r="E70" s="1"/>
      <c r="F70" s="1"/>
      <c r="G70" s="1"/>
      <c r="H70" s="1"/>
      <c r="I70" s="1"/>
      <c r="J70" s="1"/>
      <c r="K70" s="1"/>
      <c r="L70" s="1"/>
      <c r="M70" s="1"/>
      <c r="N70" s="1"/>
      <c r="O70" s="1"/>
      <c r="P70" s="1"/>
      <c r="Q70" s="1"/>
      <c r="R70" s="1"/>
    </row>
    <row r="71" spans="1:18" x14ac:dyDescent="0.2">
      <c r="A71" s="2"/>
      <c r="B71" s="524" t="s">
        <v>903</v>
      </c>
      <c r="C71" s="525" t="s">
        <v>904</v>
      </c>
      <c r="D71" s="1"/>
      <c r="E71" s="1"/>
      <c r="F71" s="1"/>
      <c r="G71" s="1"/>
      <c r="H71" s="1"/>
      <c r="I71" s="1"/>
      <c r="J71" s="1"/>
      <c r="K71" s="1"/>
      <c r="L71" s="1"/>
      <c r="M71" s="1"/>
      <c r="N71" s="1"/>
      <c r="O71" s="1"/>
      <c r="P71" s="1"/>
      <c r="Q71" s="1"/>
      <c r="R71" s="1"/>
    </row>
    <row r="72" spans="1:18" x14ac:dyDescent="0.2">
      <c r="A72" s="2"/>
      <c r="B72" s="524" t="s">
        <v>905</v>
      </c>
      <c r="C72" s="525" t="s">
        <v>906</v>
      </c>
      <c r="D72" s="1"/>
      <c r="E72" s="1"/>
      <c r="F72" s="1"/>
      <c r="G72" s="1"/>
      <c r="H72" s="1"/>
      <c r="I72" s="1"/>
      <c r="J72" s="1"/>
      <c r="K72" s="1"/>
      <c r="L72" s="1"/>
      <c r="M72" s="1"/>
      <c r="N72" s="1"/>
      <c r="O72" s="1"/>
      <c r="P72" s="1"/>
      <c r="Q72" s="1"/>
      <c r="R72" s="1"/>
    </row>
    <row r="73" spans="1:18" x14ac:dyDescent="0.2">
      <c r="A73" s="2"/>
      <c r="B73" s="524" t="s">
        <v>907</v>
      </c>
      <c r="C73" s="525" t="s">
        <v>908</v>
      </c>
      <c r="D73" s="1"/>
      <c r="E73" s="1"/>
      <c r="F73" s="1"/>
      <c r="G73" s="1"/>
      <c r="H73" s="1"/>
      <c r="I73" s="1"/>
      <c r="J73" s="1"/>
      <c r="K73" s="1"/>
      <c r="L73" s="1"/>
      <c r="M73" s="1"/>
      <c r="N73" s="1"/>
      <c r="O73" s="1"/>
      <c r="P73" s="1"/>
      <c r="Q73" s="1"/>
      <c r="R73" s="1"/>
    </row>
    <row r="74" spans="1:18" x14ac:dyDescent="0.2">
      <c r="A74" s="2"/>
      <c r="B74" s="524" t="s">
        <v>909</v>
      </c>
      <c r="C74" s="525" t="s">
        <v>910</v>
      </c>
      <c r="D74" s="1"/>
      <c r="E74" s="1"/>
      <c r="F74" s="1"/>
      <c r="G74" s="1"/>
      <c r="H74" s="1"/>
      <c r="I74" s="1"/>
      <c r="J74" s="1"/>
      <c r="K74" s="1"/>
      <c r="L74" s="1"/>
      <c r="M74" s="1"/>
      <c r="N74" s="1"/>
      <c r="O74" s="1"/>
      <c r="P74" s="1"/>
      <c r="Q74" s="1"/>
      <c r="R74" s="1"/>
    </row>
    <row r="75" spans="1:18" x14ac:dyDescent="0.2">
      <c r="A75" s="2"/>
      <c r="B75" s="524" t="s">
        <v>911</v>
      </c>
      <c r="C75" s="525" t="s">
        <v>912</v>
      </c>
      <c r="D75" s="1"/>
      <c r="E75" s="1"/>
      <c r="F75" s="1"/>
      <c r="G75" s="1"/>
      <c r="H75" s="1"/>
      <c r="I75" s="1"/>
      <c r="J75" s="1"/>
      <c r="K75" s="1"/>
      <c r="L75" s="1"/>
      <c r="M75" s="1"/>
      <c r="N75" s="1"/>
      <c r="O75" s="1"/>
      <c r="P75" s="1"/>
      <c r="Q75" s="1"/>
      <c r="R75" s="1"/>
    </row>
    <row r="76" spans="1:18" ht="15" thickBot="1" x14ac:dyDescent="0.25">
      <c r="A76" s="2"/>
      <c r="B76" s="526" t="s">
        <v>913</v>
      </c>
      <c r="C76" s="527" t="s">
        <v>914</v>
      </c>
      <c r="D76" s="1"/>
      <c r="E76" s="1"/>
      <c r="F76" s="1"/>
      <c r="G76" s="1"/>
      <c r="H76" s="1"/>
      <c r="I76" s="1"/>
      <c r="J76" s="1"/>
      <c r="K76" s="1"/>
      <c r="L76" s="1"/>
      <c r="M76" s="1"/>
      <c r="N76" s="1"/>
      <c r="O76" s="1"/>
      <c r="P76" s="1"/>
      <c r="Q76" s="1"/>
      <c r="R76" s="1"/>
    </row>
    <row r="77" spans="1:18" x14ac:dyDescent="0.2">
      <c r="A77" s="528"/>
      <c r="B77" s="3"/>
      <c r="C77" s="3"/>
      <c r="D77" s="3"/>
      <c r="E77" s="3"/>
      <c r="F77" s="3"/>
      <c r="G77" s="3"/>
      <c r="H77" s="3"/>
      <c r="I77" s="3"/>
      <c r="J77" s="3"/>
      <c r="K77" s="3"/>
      <c r="L77" s="3"/>
      <c r="M77" s="3"/>
      <c r="N77" s="3"/>
      <c r="O77" s="3"/>
      <c r="P77" s="3"/>
      <c r="Q77" s="3"/>
      <c r="R77" s="3"/>
    </row>
    <row r="78" spans="1:18" x14ac:dyDescent="0.2">
      <c r="A78" s="2"/>
      <c r="B78" s="1"/>
      <c r="C78" s="1"/>
      <c r="D78" s="1"/>
      <c r="E78" s="1"/>
      <c r="F78" s="1"/>
      <c r="G78" s="1"/>
      <c r="H78" s="1"/>
      <c r="I78" s="1"/>
      <c r="J78" s="1"/>
      <c r="K78" s="1"/>
      <c r="L78" s="1"/>
      <c r="M78" s="1"/>
      <c r="N78" s="1"/>
      <c r="O78" s="1"/>
      <c r="P78" s="1"/>
      <c r="Q78" s="1"/>
      <c r="R78" s="1"/>
    </row>
    <row r="79" spans="1:18" ht="15" thickBot="1" x14ac:dyDescent="0.25">
      <c r="A79" s="2"/>
      <c r="B79" s="1"/>
      <c r="C79" s="1"/>
      <c r="D79" s="1"/>
      <c r="E79" s="1"/>
      <c r="F79" s="1"/>
      <c r="G79" s="1"/>
      <c r="H79" s="1"/>
      <c r="I79" s="1"/>
      <c r="J79" s="1"/>
      <c r="K79" s="1"/>
      <c r="L79" s="1"/>
      <c r="M79" s="1"/>
      <c r="N79" s="1"/>
      <c r="O79" s="1"/>
      <c r="P79" s="1"/>
      <c r="Q79" s="1"/>
      <c r="R79" s="1"/>
    </row>
    <row r="80" spans="1:18" ht="15" thickBot="1" x14ac:dyDescent="0.25">
      <c r="A80" s="2"/>
      <c r="B80" s="529" t="s">
        <v>915</v>
      </c>
      <c r="C80" s="530" t="s">
        <v>916</v>
      </c>
      <c r="D80" s="530" t="s">
        <v>917</v>
      </c>
      <c r="E80" s="530" t="s">
        <v>918</v>
      </c>
      <c r="F80" s="530" t="s">
        <v>919</v>
      </c>
      <c r="G80" s="531"/>
      <c r="H80" s="531"/>
      <c r="I80" s="1"/>
      <c r="J80" s="532" t="s">
        <v>920</v>
      </c>
      <c r="K80" s="533" t="s">
        <v>916</v>
      </c>
      <c r="L80" s="534" t="s">
        <v>917</v>
      </c>
      <c r="M80" s="534" t="s">
        <v>918</v>
      </c>
      <c r="N80" s="535" t="s">
        <v>919</v>
      </c>
      <c r="O80" s="1"/>
      <c r="P80" s="1"/>
      <c r="Q80" s="1"/>
      <c r="R80" s="1"/>
    </row>
    <row r="81" spans="1:18" x14ac:dyDescent="0.2">
      <c r="A81" s="2"/>
      <c r="B81" s="536" t="s">
        <v>916</v>
      </c>
      <c r="C81" s="537">
        <v>1</v>
      </c>
      <c r="D81" s="537">
        <v>0.25</v>
      </c>
      <c r="E81" s="537">
        <v>0.25</v>
      </c>
      <c r="F81" s="537">
        <v>0.25</v>
      </c>
      <c r="G81" s="531"/>
      <c r="H81" s="531"/>
      <c r="I81" s="1"/>
      <c r="J81" s="37" t="s">
        <v>916</v>
      </c>
      <c r="K81" s="538">
        <v>1</v>
      </c>
      <c r="L81" s="539">
        <v>0</v>
      </c>
      <c r="M81" s="539">
        <v>0</v>
      </c>
      <c r="N81" s="540">
        <v>0</v>
      </c>
      <c r="O81" s="1"/>
      <c r="P81" s="1"/>
      <c r="Q81" s="1"/>
      <c r="R81" s="1"/>
    </row>
    <row r="82" spans="1:18" x14ac:dyDescent="0.2">
      <c r="A82" s="2"/>
      <c r="B82" s="536" t="s">
        <v>917</v>
      </c>
      <c r="C82" s="537">
        <v>0.25</v>
      </c>
      <c r="D82" s="537">
        <v>1</v>
      </c>
      <c r="E82" s="537">
        <v>0.25</v>
      </c>
      <c r="F82" s="537">
        <v>0.5</v>
      </c>
      <c r="G82" s="531"/>
      <c r="H82" s="531"/>
      <c r="I82" s="1"/>
      <c r="J82" s="38" t="s">
        <v>917</v>
      </c>
      <c r="K82" s="541">
        <v>0</v>
      </c>
      <c r="L82" s="542">
        <v>1</v>
      </c>
      <c r="M82" s="542">
        <v>0</v>
      </c>
      <c r="N82" s="543">
        <v>0.25</v>
      </c>
      <c r="O82" s="1"/>
      <c r="P82" s="1"/>
      <c r="Q82" s="1"/>
      <c r="R82" s="1"/>
    </row>
    <row r="83" spans="1:18" x14ac:dyDescent="0.2">
      <c r="A83" s="2"/>
      <c r="B83" s="536" t="s">
        <v>918</v>
      </c>
      <c r="C83" s="537">
        <v>0.25</v>
      </c>
      <c r="D83" s="537">
        <v>0.25</v>
      </c>
      <c r="E83" s="537">
        <v>1</v>
      </c>
      <c r="F83" s="537">
        <v>0</v>
      </c>
      <c r="G83" s="531"/>
      <c r="H83" s="531"/>
      <c r="I83" s="1"/>
      <c r="J83" s="38" t="s">
        <v>918</v>
      </c>
      <c r="K83" s="541">
        <v>0</v>
      </c>
      <c r="L83" s="542">
        <v>0</v>
      </c>
      <c r="M83" s="542">
        <v>1</v>
      </c>
      <c r="N83" s="543">
        <v>0</v>
      </c>
      <c r="O83" s="1"/>
      <c r="P83" s="1"/>
      <c r="Q83" s="1"/>
      <c r="R83" s="1"/>
    </row>
    <row r="84" spans="1:18" ht="15" thickBot="1" x14ac:dyDescent="0.25">
      <c r="A84" s="2"/>
      <c r="B84" s="536" t="s">
        <v>919</v>
      </c>
      <c r="C84" s="537">
        <v>0.25</v>
      </c>
      <c r="D84" s="537">
        <v>0.5</v>
      </c>
      <c r="E84" s="537">
        <v>0</v>
      </c>
      <c r="F84" s="537">
        <v>1</v>
      </c>
      <c r="G84" s="531"/>
      <c r="H84" s="531"/>
      <c r="I84" s="1"/>
      <c r="J84" s="39" t="s">
        <v>919</v>
      </c>
      <c r="K84" s="544">
        <v>0</v>
      </c>
      <c r="L84" s="545">
        <v>0.25</v>
      </c>
      <c r="M84" s="545">
        <v>0</v>
      </c>
      <c r="N84" s="546">
        <v>1</v>
      </c>
      <c r="O84" s="1"/>
      <c r="P84" s="1"/>
      <c r="Q84" s="1"/>
      <c r="R84" s="1"/>
    </row>
    <row r="85" spans="1:18" x14ac:dyDescent="0.2">
      <c r="A85" s="2"/>
      <c r="B85" s="531"/>
      <c r="C85" s="531"/>
      <c r="D85" s="531"/>
      <c r="E85" s="531"/>
      <c r="F85" s="531"/>
      <c r="G85" s="531"/>
      <c r="H85" s="531"/>
      <c r="I85" s="1"/>
      <c r="J85" s="1"/>
      <c r="K85" s="1"/>
      <c r="L85" s="1"/>
      <c r="M85" s="1"/>
      <c r="N85" s="1"/>
      <c r="O85" s="1"/>
      <c r="P85" s="1"/>
      <c r="Q85" s="1"/>
      <c r="R85" s="1"/>
    </row>
    <row r="86" spans="1:18" ht="15" thickBot="1" x14ac:dyDescent="0.25">
      <c r="A86" s="2"/>
      <c r="B86" s="531"/>
      <c r="C86" s="531"/>
      <c r="D86" s="531"/>
      <c r="E86" s="531"/>
      <c r="F86" s="531"/>
      <c r="G86" s="531"/>
      <c r="H86" s="531"/>
      <c r="I86" s="1"/>
      <c r="J86" s="1"/>
      <c r="K86" s="1"/>
      <c r="L86" s="1"/>
      <c r="M86" s="1"/>
      <c r="N86" s="1"/>
      <c r="O86" s="1"/>
      <c r="P86" s="1"/>
      <c r="Q86" s="1"/>
      <c r="R86" s="1"/>
    </row>
    <row r="87" spans="1:18" ht="15" thickBot="1" x14ac:dyDescent="0.25">
      <c r="A87" s="2"/>
      <c r="B87" s="529" t="s">
        <v>921</v>
      </c>
      <c r="C87" s="530" t="s">
        <v>922</v>
      </c>
      <c r="D87" s="530" t="s">
        <v>923</v>
      </c>
      <c r="E87" s="530" t="s">
        <v>924</v>
      </c>
      <c r="F87" s="530" t="s">
        <v>770</v>
      </c>
      <c r="G87" s="530" t="s">
        <v>925</v>
      </c>
      <c r="H87" s="530" t="s">
        <v>926</v>
      </c>
      <c r="I87" s="1"/>
      <c r="J87" s="532" t="s">
        <v>927</v>
      </c>
      <c r="K87" s="533" t="s">
        <v>922</v>
      </c>
      <c r="L87" s="534" t="s">
        <v>923</v>
      </c>
      <c r="M87" s="534" t="s">
        <v>924</v>
      </c>
      <c r="N87" s="534" t="s">
        <v>770</v>
      </c>
      <c r="O87" s="534" t="s">
        <v>925</v>
      </c>
      <c r="P87" s="535" t="s">
        <v>926</v>
      </c>
      <c r="Q87" s="1"/>
      <c r="R87" s="1"/>
    </row>
    <row r="88" spans="1:18" x14ac:dyDescent="0.2">
      <c r="A88" s="2"/>
      <c r="B88" s="536" t="s">
        <v>922</v>
      </c>
      <c r="C88" s="537">
        <v>1</v>
      </c>
      <c r="D88" s="537">
        <f t="array" ref="D88:H88">TRANSPOSE(C89:C$93)</f>
        <v>0</v>
      </c>
      <c r="E88" s="537">
        <v>0</v>
      </c>
      <c r="F88" s="537">
        <v>0.25</v>
      </c>
      <c r="G88" s="537">
        <v>0</v>
      </c>
      <c r="H88" s="537">
        <v>0</v>
      </c>
      <c r="I88" s="1"/>
      <c r="J88" s="37" t="s">
        <v>922</v>
      </c>
      <c r="K88" s="538">
        <v>1</v>
      </c>
      <c r="L88" s="547">
        <f t="array" ref="L88:P88">TRANSPOSE(K89:K$93)</f>
        <v>0</v>
      </c>
      <c r="M88" s="547">
        <v>0</v>
      </c>
      <c r="N88" s="539">
        <v>0</v>
      </c>
      <c r="O88" s="547">
        <v>0</v>
      </c>
      <c r="P88" s="540">
        <v>0</v>
      </c>
      <c r="Q88" s="1"/>
      <c r="R88" s="1"/>
    </row>
    <row r="89" spans="1:18" x14ac:dyDescent="0.2">
      <c r="A89" s="2"/>
      <c r="B89" s="536" t="s">
        <v>923</v>
      </c>
      <c r="C89" s="537">
        <f>A_200</f>
        <v>0</v>
      </c>
      <c r="D89" s="537">
        <v>1</v>
      </c>
      <c r="E89" s="537">
        <f t="array" ref="E89:H89">TRANSPOSE(D90:D$93)</f>
        <v>0.75</v>
      </c>
      <c r="F89" s="537">
        <v>0.25</v>
      </c>
      <c r="G89" s="537">
        <v>0.75</v>
      </c>
      <c r="H89" s="537">
        <v>0</v>
      </c>
      <c r="I89" s="1"/>
      <c r="J89" s="38" t="s">
        <v>923</v>
      </c>
      <c r="K89" s="548">
        <f>A_10</f>
        <v>0</v>
      </c>
      <c r="L89" s="542">
        <v>1</v>
      </c>
      <c r="M89" s="542">
        <f t="array" ref="M89:P89">TRANSPOSE(L90:L$93)</f>
        <v>0.5</v>
      </c>
      <c r="N89" s="542">
        <v>0</v>
      </c>
      <c r="O89" s="542">
        <v>0.5</v>
      </c>
      <c r="P89" s="543">
        <v>0</v>
      </c>
      <c r="Q89" s="1"/>
      <c r="R89" s="1"/>
    </row>
    <row r="90" spans="1:18" x14ac:dyDescent="0.2">
      <c r="A90" s="2"/>
      <c r="B90" s="536" t="s">
        <v>924</v>
      </c>
      <c r="C90" s="537">
        <f>A_200</f>
        <v>0</v>
      </c>
      <c r="D90" s="537">
        <v>0.75</v>
      </c>
      <c r="E90" s="537">
        <v>1</v>
      </c>
      <c r="F90" s="537">
        <f t="array" ref="F90:H90">TRANSPOSE(E91:E$93)</f>
        <v>0.25</v>
      </c>
      <c r="G90" s="537">
        <v>0.5</v>
      </c>
      <c r="H90" s="537">
        <v>0</v>
      </c>
      <c r="I90" s="1"/>
      <c r="J90" s="38" t="s">
        <v>924</v>
      </c>
      <c r="K90" s="548">
        <f>A_10</f>
        <v>0</v>
      </c>
      <c r="L90" s="542">
        <v>0.5</v>
      </c>
      <c r="M90" s="542">
        <v>1</v>
      </c>
      <c r="N90" s="542">
        <f t="array" ref="N90:P90">TRANSPOSE(M91:M$93)</f>
        <v>0</v>
      </c>
      <c r="O90" s="542">
        <v>0.25</v>
      </c>
      <c r="P90" s="543">
        <v>0</v>
      </c>
      <c r="Q90" s="1"/>
      <c r="R90" s="1"/>
    </row>
    <row r="91" spans="1:18" x14ac:dyDescent="0.2">
      <c r="A91" s="2"/>
      <c r="B91" s="536" t="s">
        <v>770</v>
      </c>
      <c r="C91" s="537">
        <v>0.25</v>
      </c>
      <c r="D91" s="537">
        <v>0.25</v>
      </c>
      <c r="E91" s="537">
        <v>0.25</v>
      </c>
      <c r="F91" s="537">
        <v>1</v>
      </c>
      <c r="G91" s="537">
        <f t="array" ref="G91:H91">TRANSPOSE(F92:F$93)</f>
        <v>0.25</v>
      </c>
      <c r="H91" s="537">
        <v>0</v>
      </c>
      <c r="I91" s="1"/>
      <c r="J91" s="38" t="s">
        <v>770</v>
      </c>
      <c r="K91" s="541">
        <f>0</f>
        <v>0</v>
      </c>
      <c r="L91" s="542">
        <v>0</v>
      </c>
      <c r="M91" s="542">
        <v>0</v>
      </c>
      <c r="N91" s="542">
        <v>1</v>
      </c>
      <c r="O91" s="542">
        <f t="array" ref="O91:P91">TRANSPOSE(N92:N$93)</f>
        <v>0</v>
      </c>
      <c r="P91" s="543">
        <v>0</v>
      </c>
      <c r="Q91" s="1"/>
      <c r="R91" s="1"/>
    </row>
    <row r="92" spans="1:18" x14ac:dyDescent="0.2">
      <c r="A92" s="2"/>
      <c r="B92" s="536" t="s">
        <v>925</v>
      </c>
      <c r="C92" s="537">
        <f>A_200</f>
        <v>0</v>
      </c>
      <c r="D92" s="537">
        <v>0.75</v>
      </c>
      <c r="E92" s="537">
        <v>0.5</v>
      </c>
      <c r="F92" s="537">
        <v>0.25</v>
      </c>
      <c r="G92" s="537">
        <v>1</v>
      </c>
      <c r="H92" s="537">
        <f t="array" ref="H92">TRANSPOSE(G93:G$93)</f>
        <v>0</v>
      </c>
      <c r="I92" s="1"/>
      <c r="J92" s="38" t="s">
        <v>925</v>
      </c>
      <c r="K92" s="548">
        <f>A_10</f>
        <v>0</v>
      </c>
      <c r="L92" s="542">
        <v>0.5</v>
      </c>
      <c r="M92" s="542">
        <v>0.25</v>
      </c>
      <c r="N92" s="542">
        <v>0</v>
      </c>
      <c r="O92" s="542">
        <v>1</v>
      </c>
      <c r="P92" s="543">
        <f t="array" ref="P92">TRANSPOSE(O93:O$93)</f>
        <v>0</v>
      </c>
      <c r="Q92" s="1"/>
      <c r="R92" s="1"/>
    </row>
    <row r="93" spans="1:18" ht="15" thickBot="1" x14ac:dyDescent="0.25">
      <c r="A93" s="2"/>
      <c r="B93" s="536" t="s">
        <v>926</v>
      </c>
      <c r="C93" s="537">
        <v>0</v>
      </c>
      <c r="D93" s="537">
        <v>0</v>
      </c>
      <c r="E93" s="537">
        <v>0</v>
      </c>
      <c r="F93" s="537">
        <v>0</v>
      </c>
      <c r="G93" s="537">
        <v>0</v>
      </c>
      <c r="H93" s="537">
        <v>1</v>
      </c>
      <c r="I93" s="1"/>
      <c r="J93" s="39" t="s">
        <v>926</v>
      </c>
      <c r="K93" s="544">
        <v>0</v>
      </c>
      <c r="L93" s="545">
        <v>0</v>
      </c>
      <c r="M93" s="545">
        <v>0</v>
      </c>
      <c r="N93" s="545">
        <v>0</v>
      </c>
      <c r="O93" s="545">
        <v>0</v>
      </c>
      <c r="P93" s="546">
        <v>1</v>
      </c>
      <c r="Q93" s="1"/>
      <c r="R93" s="1"/>
    </row>
    <row r="94" spans="1:18" ht="15" thickBot="1" x14ac:dyDescent="0.25">
      <c r="A94" s="2"/>
      <c r="B94" s="531"/>
      <c r="C94" s="531"/>
      <c r="D94" s="531"/>
      <c r="E94" s="531"/>
      <c r="F94" s="531"/>
      <c r="G94" s="531"/>
      <c r="H94" s="531"/>
      <c r="I94" s="1"/>
      <c r="J94" s="1"/>
      <c r="K94" s="1"/>
      <c r="L94" s="1"/>
      <c r="M94" s="1"/>
      <c r="N94" s="1"/>
      <c r="O94" s="1"/>
      <c r="P94" s="1"/>
      <c r="Q94" s="1"/>
      <c r="R94" s="1"/>
    </row>
    <row r="95" spans="1:18" ht="15" thickBot="1" x14ac:dyDescent="0.25">
      <c r="A95" s="2"/>
      <c r="B95" s="894" t="s">
        <v>928</v>
      </c>
      <c r="C95" s="894"/>
      <c r="D95" s="530" t="s">
        <v>929</v>
      </c>
      <c r="E95" s="531"/>
      <c r="F95" s="531"/>
      <c r="G95" s="531"/>
      <c r="H95" s="531"/>
      <c r="I95" s="1"/>
      <c r="J95" s="1"/>
      <c r="K95" s="1"/>
      <c r="L95" s="549" t="s">
        <v>930</v>
      </c>
      <c r="M95" s="1"/>
      <c r="N95" s="1"/>
      <c r="O95" s="1"/>
      <c r="P95" s="1"/>
      <c r="Q95" s="1"/>
      <c r="R95" s="1"/>
    </row>
    <row r="96" spans="1:18" ht="15.75" x14ac:dyDescent="0.3">
      <c r="A96" s="2"/>
      <c r="B96" s="895" t="s">
        <v>931</v>
      </c>
      <c r="C96" s="895"/>
      <c r="D96" s="537">
        <v>0</v>
      </c>
      <c r="E96" s="531"/>
      <c r="F96" s="531"/>
      <c r="G96" s="531"/>
      <c r="H96" s="531"/>
      <c r="I96" s="1"/>
      <c r="J96" s="1"/>
      <c r="K96" s="1"/>
      <c r="L96" s="550">
        <v>0</v>
      </c>
      <c r="M96" s="1"/>
      <c r="N96" s="1"/>
      <c r="O96" s="1"/>
      <c r="P96" s="1"/>
      <c r="Q96" s="1"/>
      <c r="R96" s="1"/>
    </row>
    <row r="97" spans="1:18" ht="16.5" thickBot="1" x14ac:dyDescent="0.35">
      <c r="A97" s="2"/>
      <c r="B97" s="895" t="s">
        <v>932</v>
      </c>
      <c r="C97" s="895"/>
      <c r="D97" s="537">
        <v>0.5</v>
      </c>
      <c r="E97" s="531"/>
      <c r="F97" s="531"/>
      <c r="G97" s="531"/>
      <c r="H97" s="531"/>
      <c r="I97" s="1"/>
      <c r="J97" s="1"/>
      <c r="K97" s="1"/>
      <c r="L97" s="551">
        <v>0.25</v>
      </c>
      <c r="M97" s="1"/>
      <c r="N97" s="1"/>
      <c r="O97" s="1"/>
      <c r="P97" s="1"/>
      <c r="Q97" s="1"/>
      <c r="R97" s="1"/>
    </row>
    <row r="98" spans="1:18" ht="15" thickBot="1" x14ac:dyDescent="0.25">
      <c r="A98" s="2"/>
      <c r="B98" s="552"/>
      <c r="C98" s="553" t="s">
        <v>933</v>
      </c>
      <c r="D98" s="537">
        <f>0</f>
        <v>0</v>
      </c>
      <c r="E98" s="531"/>
      <c r="F98" s="531"/>
      <c r="G98" s="531"/>
      <c r="H98" s="531"/>
      <c r="I98" s="1"/>
      <c r="J98" s="1"/>
      <c r="K98" s="554" t="s">
        <v>933</v>
      </c>
      <c r="L98" s="555">
        <f>IF(Mkt_Interest_10=Mkt_Int_Up_10,$L$96,$L$97)</f>
        <v>0</v>
      </c>
      <c r="M98" s="556"/>
      <c r="N98" s="1"/>
      <c r="O98" s="1"/>
      <c r="P98" s="1"/>
      <c r="Q98" s="1"/>
      <c r="R98" s="1"/>
    </row>
    <row r="99" spans="1:18" x14ac:dyDescent="0.2">
      <c r="A99" s="2"/>
      <c r="B99" s="531"/>
      <c r="C99" s="531"/>
      <c r="D99" s="531"/>
      <c r="E99" s="531"/>
      <c r="F99" s="531"/>
      <c r="G99" s="531"/>
      <c r="H99" s="531"/>
      <c r="I99" s="1"/>
      <c r="J99" s="1"/>
      <c r="K99" s="1"/>
      <c r="L99" s="1"/>
      <c r="M99" s="1"/>
      <c r="N99" s="1"/>
      <c r="O99" s="1"/>
      <c r="P99" s="1"/>
      <c r="Q99" s="1"/>
      <c r="R99" s="1"/>
    </row>
    <row r="100" spans="1:18" ht="15" thickBot="1" x14ac:dyDescent="0.25">
      <c r="A100" s="2"/>
      <c r="B100" s="531"/>
      <c r="C100" s="531"/>
      <c r="D100" s="531"/>
      <c r="E100" s="531"/>
      <c r="F100" s="531"/>
      <c r="G100" s="531"/>
      <c r="H100" s="531"/>
      <c r="I100" s="1"/>
      <c r="J100" s="1"/>
      <c r="K100" s="1"/>
      <c r="L100" s="1"/>
      <c r="M100" s="1"/>
      <c r="N100" s="1"/>
      <c r="O100" s="1"/>
      <c r="P100" s="1"/>
      <c r="Q100" s="1"/>
      <c r="R100" s="1"/>
    </row>
    <row r="101" spans="1:18" ht="15" thickBot="1" x14ac:dyDescent="0.25">
      <c r="A101" s="2"/>
      <c r="B101" s="529" t="s">
        <v>934</v>
      </c>
      <c r="C101" s="530" t="s">
        <v>935</v>
      </c>
      <c r="D101" s="530" t="s">
        <v>936</v>
      </c>
      <c r="E101" s="531"/>
      <c r="F101" s="531"/>
      <c r="G101" s="531"/>
      <c r="H101" s="531"/>
      <c r="I101" s="1"/>
      <c r="J101" s="532" t="s">
        <v>937</v>
      </c>
      <c r="K101" s="533" t="s">
        <v>935</v>
      </c>
      <c r="L101" s="535" t="s">
        <v>936</v>
      </c>
      <c r="M101" s="1"/>
      <c r="N101" s="1"/>
      <c r="O101" s="1"/>
      <c r="P101" s="1"/>
      <c r="Q101" s="1"/>
      <c r="R101" s="1"/>
    </row>
    <row r="102" spans="1:18" x14ac:dyDescent="0.2">
      <c r="A102" s="2"/>
      <c r="B102" s="536" t="s">
        <v>935</v>
      </c>
      <c r="C102" s="537">
        <v>1</v>
      </c>
      <c r="D102" s="537">
        <v>0.75</v>
      </c>
      <c r="E102" s="531"/>
      <c r="F102" s="531"/>
      <c r="G102" s="531"/>
      <c r="H102" s="531"/>
      <c r="I102" s="1"/>
      <c r="J102" s="37" t="s">
        <v>935</v>
      </c>
      <c r="K102" s="538">
        <v>1</v>
      </c>
      <c r="L102" s="540">
        <v>0.5</v>
      </c>
      <c r="M102" s="1"/>
      <c r="N102" s="1"/>
      <c r="O102" s="1"/>
      <c r="P102" s="1"/>
      <c r="Q102" s="1"/>
      <c r="R102" s="1"/>
    </row>
    <row r="103" spans="1:18" ht="15" thickBot="1" x14ac:dyDescent="0.25">
      <c r="A103" s="2"/>
      <c r="B103" s="536" t="s">
        <v>936</v>
      </c>
      <c r="C103" s="537">
        <v>0.75</v>
      </c>
      <c r="D103" s="537">
        <v>1</v>
      </c>
      <c r="E103" s="531"/>
      <c r="F103" s="531"/>
      <c r="G103" s="531"/>
      <c r="H103" s="531"/>
      <c r="I103" s="1"/>
      <c r="J103" s="39" t="s">
        <v>936</v>
      </c>
      <c r="K103" s="544">
        <v>0.5</v>
      </c>
      <c r="L103" s="546">
        <v>1</v>
      </c>
      <c r="M103" s="1"/>
      <c r="N103" s="1"/>
      <c r="O103" s="1"/>
      <c r="P103" s="1"/>
      <c r="Q103" s="1"/>
      <c r="R103" s="1"/>
    </row>
    <row r="104" spans="1:18" x14ac:dyDescent="0.2">
      <c r="A104" s="2"/>
      <c r="B104" s="531"/>
      <c r="C104" s="531"/>
      <c r="D104" s="531"/>
      <c r="E104" s="531"/>
      <c r="F104" s="531"/>
      <c r="G104" s="531"/>
      <c r="H104" s="531"/>
      <c r="I104" s="1"/>
      <c r="J104" s="1"/>
      <c r="K104" s="1"/>
      <c r="L104" s="1"/>
      <c r="M104" s="1"/>
      <c r="N104" s="1"/>
      <c r="O104" s="1"/>
      <c r="P104" s="1"/>
      <c r="Q104" s="1"/>
      <c r="R104" s="1"/>
    </row>
    <row r="105" spans="1:18" x14ac:dyDescent="0.2">
      <c r="A105" s="2"/>
      <c r="B105" s="1"/>
      <c r="C105" s="1"/>
      <c r="D105" s="1"/>
      <c r="E105" s="1"/>
      <c r="F105" s="1"/>
      <c r="G105" s="1"/>
      <c r="H105" s="1"/>
      <c r="I105" s="1"/>
      <c r="J105" s="1"/>
      <c r="K105" s="1"/>
      <c r="L105" s="1"/>
      <c r="M105" s="1"/>
      <c r="N105" s="1"/>
      <c r="O105" s="1"/>
      <c r="P105" s="1"/>
      <c r="Q105" s="1"/>
      <c r="R105" s="1"/>
    </row>
    <row r="106" spans="1:18" ht="15" hidden="1" thickBot="1" x14ac:dyDescent="0.25">
      <c r="A106" s="2"/>
      <c r="B106" s="557" t="s">
        <v>938</v>
      </c>
      <c r="C106" s="558">
        <v>1</v>
      </c>
      <c r="D106" s="559">
        <v>2</v>
      </c>
      <c r="E106" s="559">
        <v>3</v>
      </c>
      <c r="F106" s="559">
        <v>4</v>
      </c>
      <c r="G106" s="559">
        <v>5</v>
      </c>
      <c r="H106" s="559">
        <v>6</v>
      </c>
      <c r="I106" s="559">
        <v>7</v>
      </c>
      <c r="J106" s="559">
        <v>8</v>
      </c>
      <c r="K106" s="559">
        <v>9</v>
      </c>
      <c r="L106" s="559">
        <v>10</v>
      </c>
      <c r="M106" s="559">
        <v>11</v>
      </c>
      <c r="N106" s="559">
        <v>12</v>
      </c>
      <c r="O106" s="559">
        <v>13</v>
      </c>
      <c r="P106" s="559">
        <v>14</v>
      </c>
      <c r="Q106" s="560">
        <v>15</v>
      </c>
      <c r="R106" s="1"/>
    </row>
    <row r="107" spans="1:18" hidden="1" x14ac:dyDescent="0.2">
      <c r="A107" s="2"/>
      <c r="B107" s="561" t="s">
        <v>939</v>
      </c>
      <c r="C107" s="562">
        <v>1</v>
      </c>
      <c r="D107" s="563">
        <f t="array" ref="D107:Q107">TRANSPOSE(C108:C$121)</f>
        <v>0.5</v>
      </c>
      <c r="E107" s="563">
        <v>0.5</v>
      </c>
      <c r="F107" s="563">
        <v>0.5</v>
      </c>
      <c r="G107" s="563">
        <v>0.5</v>
      </c>
      <c r="H107" s="563">
        <v>0.5</v>
      </c>
      <c r="I107" s="563">
        <v>0.5</v>
      </c>
      <c r="J107" s="563">
        <v>0.5</v>
      </c>
      <c r="K107" s="563">
        <v>0.5</v>
      </c>
      <c r="L107" s="563">
        <v>0.5</v>
      </c>
      <c r="M107" s="563">
        <v>0.5</v>
      </c>
      <c r="N107" s="563">
        <v>0.5</v>
      </c>
      <c r="O107" s="563">
        <v>0.5</v>
      </c>
      <c r="P107" s="563">
        <v>0.5</v>
      </c>
      <c r="Q107" s="564">
        <v>0.5</v>
      </c>
      <c r="R107" s="1"/>
    </row>
    <row r="108" spans="1:18" hidden="1" x14ac:dyDescent="0.2">
      <c r="A108" s="2"/>
      <c r="B108" s="565" t="s">
        <v>940</v>
      </c>
      <c r="C108" s="566">
        <v>0.5</v>
      </c>
      <c r="D108" s="567">
        <v>1</v>
      </c>
      <c r="E108" s="567">
        <f t="array" ref="E108:Q108">TRANSPOSE(D109:D$121)</f>
        <v>0.5</v>
      </c>
      <c r="F108" s="567">
        <v>0.5</v>
      </c>
      <c r="G108" s="567">
        <v>0.5</v>
      </c>
      <c r="H108" s="567">
        <v>0.5</v>
      </c>
      <c r="I108" s="567">
        <v>0.5</v>
      </c>
      <c r="J108" s="567">
        <v>0.5</v>
      </c>
      <c r="K108" s="567">
        <v>0.5</v>
      </c>
      <c r="L108" s="567">
        <v>0.5</v>
      </c>
      <c r="M108" s="567">
        <v>0.5</v>
      </c>
      <c r="N108" s="567">
        <v>0.5</v>
      </c>
      <c r="O108" s="567">
        <v>0.5</v>
      </c>
      <c r="P108" s="567">
        <v>0.5</v>
      </c>
      <c r="Q108" s="568">
        <v>0.5</v>
      </c>
      <c r="R108" s="1"/>
    </row>
    <row r="109" spans="1:18" hidden="1" x14ac:dyDescent="0.2">
      <c r="A109" s="2"/>
      <c r="B109" s="565" t="s">
        <v>941</v>
      </c>
      <c r="C109" s="566">
        <v>0.5</v>
      </c>
      <c r="D109" s="567">
        <v>0.5</v>
      </c>
      <c r="E109" s="567">
        <v>1</v>
      </c>
      <c r="F109" s="567">
        <f t="array" ref="F109:Q109">TRANSPOSE(E110:E$121)</f>
        <v>0.5</v>
      </c>
      <c r="G109" s="567">
        <v>0.5</v>
      </c>
      <c r="H109" s="567">
        <v>0.5</v>
      </c>
      <c r="I109" s="567">
        <v>0.5</v>
      </c>
      <c r="J109" s="567">
        <v>0.5</v>
      </c>
      <c r="K109" s="567">
        <v>0.5</v>
      </c>
      <c r="L109" s="567">
        <v>0.5</v>
      </c>
      <c r="M109" s="567">
        <v>0.5</v>
      </c>
      <c r="N109" s="567">
        <v>0.5</v>
      </c>
      <c r="O109" s="567">
        <v>0.5</v>
      </c>
      <c r="P109" s="567">
        <v>0.5</v>
      </c>
      <c r="Q109" s="568">
        <v>0.5</v>
      </c>
      <c r="R109" s="1"/>
    </row>
    <row r="110" spans="1:18" hidden="1" x14ac:dyDescent="0.2">
      <c r="A110" s="2"/>
      <c r="B110" s="565" t="s">
        <v>942</v>
      </c>
      <c r="C110" s="566">
        <v>0.5</v>
      </c>
      <c r="D110" s="567">
        <v>0.5</v>
      </c>
      <c r="E110" s="567">
        <v>0.5</v>
      </c>
      <c r="F110" s="567">
        <v>1</v>
      </c>
      <c r="G110" s="567">
        <f t="array" ref="G110:Q110">TRANSPOSE(F111:F$121)</f>
        <v>0.5</v>
      </c>
      <c r="H110" s="567">
        <v>0.5</v>
      </c>
      <c r="I110" s="567">
        <v>0.5</v>
      </c>
      <c r="J110" s="567">
        <v>0.5</v>
      </c>
      <c r="K110" s="567">
        <v>0.5</v>
      </c>
      <c r="L110" s="567">
        <v>0.5</v>
      </c>
      <c r="M110" s="567">
        <v>0.5</v>
      </c>
      <c r="N110" s="567">
        <v>0.5</v>
      </c>
      <c r="O110" s="567">
        <v>0.5</v>
      </c>
      <c r="P110" s="567">
        <v>0.5</v>
      </c>
      <c r="Q110" s="568">
        <v>0.5</v>
      </c>
      <c r="R110" s="1"/>
    </row>
    <row r="111" spans="1:18" hidden="1" x14ac:dyDescent="0.2">
      <c r="A111" s="2"/>
      <c r="B111" s="565" t="s">
        <v>943</v>
      </c>
      <c r="C111" s="566">
        <v>0.5</v>
      </c>
      <c r="D111" s="567">
        <v>0.5</v>
      </c>
      <c r="E111" s="567">
        <v>0.5</v>
      </c>
      <c r="F111" s="567">
        <v>0.5</v>
      </c>
      <c r="G111" s="567">
        <v>1</v>
      </c>
      <c r="H111" s="567">
        <f t="array" ref="H111:Q111">TRANSPOSE(G112:G$121)</f>
        <v>0.5</v>
      </c>
      <c r="I111" s="567">
        <v>0.5</v>
      </c>
      <c r="J111" s="567">
        <v>0.5</v>
      </c>
      <c r="K111" s="567">
        <v>0.5</v>
      </c>
      <c r="L111" s="567">
        <v>0.5</v>
      </c>
      <c r="M111" s="567">
        <v>0.5</v>
      </c>
      <c r="N111" s="567">
        <v>0.5</v>
      </c>
      <c r="O111" s="567">
        <v>0.5</v>
      </c>
      <c r="P111" s="567">
        <v>0.5</v>
      </c>
      <c r="Q111" s="568">
        <v>0.5</v>
      </c>
      <c r="R111" s="1"/>
    </row>
    <row r="112" spans="1:18" hidden="1" x14ac:dyDescent="0.2">
      <c r="A112" s="2"/>
      <c r="B112" s="565" t="s">
        <v>944</v>
      </c>
      <c r="C112" s="566">
        <v>0.5</v>
      </c>
      <c r="D112" s="567">
        <v>0.5</v>
      </c>
      <c r="E112" s="567">
        <v>0.5</v>
      </c>
      <c r="F112" s="567">
        <v>0.5</v>
      </c>
      <c r="G112" s="567">
        <v>0.5</v>
      </c>
      <c r="H112" s="567">
        <v>1</v>
      </c>
      <c r="I112" s="567">
        <f t="array" ref="I112:Q112">TRANSPOSE(H113:H$121)</f>
        <v>0.5</v>
      </c>
      <c r="J112" s="567">
        <v>0.5</v>
      </c>
      <c r="K112" s="567">
        <v>0.5</v>
      </c>
      <c r="L112" s="567">
        <v>0.5</v>
      </c>
      <c r="M112" s="567">
        <v>0.5</v>
      </c>
      <c r="N112" s="567">
        <v>0.5</v>
      </c>
      <c r="O112" s="567">
        <v>0.5</v>
      </c>
      <c r="P112" s="567">
        <v>0.5</v>
      </c>
      <c r="Q112" s="568">
        <v>0.5</v>
      </c>
      <c r="R112" s="1"/>
    </row>
    <row r="113" spans="1:18" hidden="1" x14ac:dyDescent="0.2">
      <c r="A113" s="2"/>
      <c r="B113" s="565" t="s">
        <v>945</v>
      </c>
      <c r="C113" s="566">
        <v>0.5</v>
      </c>
      <c r="D113" s="567">
        <v>0.5</v>
      </c>
      <c r="E113" s="567">
        <v>0.5</v>
      </c>
      <c r="F113" s="567">
        <v>0.5</v>
      </c>
      <c r="G113" s="567">
        <v>0.5</v>
      </c>
      <c r="H113" s="567">
        <v>0.5</v>
      </c>
      <c r="I113" s="567">
        <v>1</v>
      </c>
      <c r="J113" s="567">
        <f t="array" ref="J113:Q113">TRANSPOSE(I114:I$121)</f>
        <v>0.5</v>
      </c>
      <c r="K113" s="567">
        <v>0.5</v>
      </c>
      <c r="L113" s="567">
        <v>0.5</v>
      </c>
      <c r="M113" s="567">
        <v>0.5</v>
      </c>
      <c r="N113" s="567">
        <v>0.5</v>
      </c>
      <c r="O113" s="567">
        <v>0.5</v>
      </c>
      <c r="P113" s="567">
        <v>0.5</v>
      </c>
      <c r="Q113" s="568">
        <v>0.5</v>
      </c>
      <c r="R113" s="1"/>
    </row>
    <row r="114" spans="1:18" hidden="1" x14ac:dyDescent="0.2">
      <c r="A114" s="2"/>
      <c r="B114" s="565" t="s">
        <v>946</v>
      </c>
      <c r="C114" s="566">
        <v>0.5</v>
      </c>
      <c r="D114" s="567">
        <v>0.5</v>
      </c>
      <c r="E114" s="567">
        <v>0.5</v>
      </c>
      <c r="F114" s="567">
        <v>0.5</v>
      </c>
      <c r="G114" s="567">
        <v>0.5</v>
      </c>
      <c r="H114" s="567">
        <v>0.5</v>
      </c>
      <c r="I114" s="567">
        <v>0.5</v>
      </c>
      <c r="J114" s="567">
        <v>1</v>
      </c>
      <c r="K114" s="567">
        <f t="array" ref="K114:Q114">TRANSPOSE(J115:J$121)</f>
        <v>0.5</v>
      </c>
      <c r="L114" s="567">
        <v>0.5</v>
      </c>
      <c r="M114" s="567">
        <v>0.5</v>
      </c>
      <c r="N114" s="567">
        <v>0.5</v>
      </c>
      <c r="O114" s="567">
        <v>0.5</v>
      </c>
      <c r="P114" s="567">
        <v>0.5</v>
      </c>
      <c r="Q114" s="568">
        <v>0.5</v>
      </c>
      <c r="R114" s="1"/>
    </row>
    <row r="115" spans="1:18" hidden="1" x14ac:dyDescent="0.2">
      <c r="A115" s="2"/>
      <c r="B115" s="565" t="s">
        <v>947</v>
      </c>
      <c r="C115" s="566">
        <v>0.5</v>
      </c>
      <c r="D115" s="567">
        <v>0.5</v>
      </c>
      <c r="E115" s="567">
        <v>0.5</v>
      </c>
      <c r="F115" s="567">
        <v>0.5</v>
      </c>
      <c r="G115" s="567">
        <v>0.5</v>
      </c>
      <c r="H115" s="567">
        <v>0.5</v>
      </c>
      <c r="I115" s="567">
        <v>0.5</v>
      </c>
      <c r="J115" s="567">
        <v>0.5</v>
      </c>
      <c r="K115" s="567">
        <v>1</v>
      </c>
      <c r="L115" s="567">
        <f t="array" ref="L115:Q115">TRANSPOSE(K116:K$121)</f>
        <v>0.5</v>
      </c>
      <c r="M115" s="567">
        <v>0.5</v>
      </c>
      <c r="N115" s="567">
        <v>0.5</v>
      </c>
      <c r="O115" s="567">
        <v>0.5</v>
      </c>
      <c r="P115" s="567">
        <v>0.5</v>
      </c>
      <c r="Q115" s="568">
        <v>0.5</v>
      </c>
      <c r="R115" s="1"/>
    </row>
    <row r="116" spans="1:18" hidden="1" x14ac:dyDescent="0.2">
      <c r="A116" s="2"/>
      <c r="B116" s="565" t="s">
        <v>948</v>
      </c>
      <c r="C116" s="566">
        <v>0.5</v>
      </c>
      <c r="D116" s="567">
        <v>0.5</v>
      </c>
      <c r="E116" s="567">
        <v>0.5</v>
      </c>
      <c r="F116" s="567">
        <v>0.5</v>
      </c>
      <c r="G116" s="567">
        <v>0.5</v>
      </c>
      <c r="H116" s="567">
        <v>0.5</v>
      </c>
      <c r="I116" s="567">
        <v>0.5</v>
      </c>
      <c r="J116" s="567">
        <v>0.5</v>
      </c>
      <c r="K116" s="567">
        <v>0.5</v>
      </c>
      <c r="L116" s="567">
        <v>1</v>
      </c>
      <c r="M116" s="567">
        <f t="array" ref="M116:Q116">TRANSPOSE(L117:L$121)</f>
        <v>0.5</v>
      </c>
      <c r="N116" s="567">
        <v>0.5</v>
      </c>
      <c r="O116" s="567">
        <v>0.5</v>
      </c>
      <c r="P116" s="567">
        <v>0.5</v>
      </c>
      <c r="Q116" s="568">
        <v>0.5</v>
      </c>
      <c r="R116" s="1"/>
    </row>
    <row r="117" spans="1:18" hidden="1" x14ac:dyDescent="0.2">
      <c r="A117" s="2"/>
      <c r="B117" s="565" t="s">
        <v>949</v>
      </c>
      <c r="C117" s="566">
        <v>0.5</v>
      </c>
      <c r="D117" s="567">
        <v>0.5</v>
      </c>
      <c r="E117" s="567">
        <v>0.5</v>
      </c>
      <c r="F117" s="567">
        <v>0.5</v>
      </c>
      <c r="G117" s="567">
        <v>0.5</v>
      </c>
      <c r="H117" s="567">
        <v>0.5</v>
      </c>
      <c r="I117" s="567">
        <v>0.5</v>
      </c>
      <c r="J117" s="567">
        <v>0.5</v>
      </c>
      <c r="K117" s="567">
        <v>0.5</v>
      </c>
      <c r="L117" s="567">
        <v>0.5</v>
      </c>
      <c r="M117" s="567">
        <v>1</v>
      </c>
      <c r="N117" s="567">
        <f t="array" ref="N117:Q117">TRANSPOSE(M118:M$121)</f>
        <v>0.5</v>
      </c>
      <c r="O117" s="567">
        <v>0.5</v>
      </c>
      <c r="P117" s="567">
        <v>0.5</v>
      </c>
      <c r="Q117" s="568">
        <v>0.5</v>
      </c>
      <c r="R117" s="1"/>
    </row>
    <row r="118" spans="1:18" hidden="1" x14ac:dyDescent="0.2">
      <c r="A118" s="2"/>
      <c r="B118" s="565" t="s">
        <v>950</v>
      </c>
      <c r="C118" s="566">
        <v>0.5</v>
      </c>
      <c r="D118" s="567">
        <v>0.5</v>
      </c>
      <c r="E118" s="567">
        <v>0.5</v>
      </c>
      <c r="F118" s="567">
        <v>0.5</v>
      </c>
      <c r="G118" s="567">
        <v>0.5</v>
      </c>
      <c r="H118" s="567">
        <v>0.5</v>
      </c>
      <c r="I118" s="567">
        <v>0.5</v>
      </c>
      <c r="J118" s="567">
        <v>0.5</v>
      </c>
      <c r="K118" s="567">
        <v>0.5</v>
      </c>
      <c r="L118" s="567">
        <v>0.5</v>
      </c>
      <c r="M118" s="567">
        <v>0.5</v>
      </c>
      <c r="N118" s="567">
        <v>1</v>
      </c>
      <c r="O118" s="567">
        <f t="array" ref="O118:Q118">TRANSPOSE(N119:N$121)</f>
        <v>0.5</v>
      </c>
      <c r="P118" s="567">
        <v>0.5</v>
      </c>
      <c r="Q118" s="568">
        <v>0.5</v>
      </c>
      <c r="R118" s="1"/>
    </row>
    <row r="119" spans="1:18" hidden="1" x14ac:dyDescent="0.2">
      <c r="A119" s="2"/>
      <c r="B119" s="565" t="s">
        <v>951</v>
      </c>
      <c r="C119" s="566">
        <v>0.5</v>
      </c>
      <c r="D119" s="567">
        <v>0.5</v>
      </c>
      <c r="E119" s="567">
        <v>0.5</v>
      </c>
      <c r="F119" s="567">
        <v>0.5</v>
      </c>
      <c r="G119" s="567">
        <v>0.5</v>
      </c>
      <c r="H119" s="567">
        <v>0.5</v>
      </c>
      <c r="I119" s="567">
        <v>0.5</v>
      </c>
      <c r="J119" s="567">
        <v>0.5</v>
      </c>
      <c r="K119" s="567">
        <v>0.5</v>
      </c>
      <c r="L119" s="567">
        <v>0.5</v>
      </c>
      <c r="M119" s="567">
        <v>0.5</v>
      </c>
      <c r="N119" s="567">
        <v>0.5</v>
      </c>
      <c r="O119" s="567">
        <v>1</v>
      </c>
      <c r="P119" s="567">
        <f t="array" ref="P119:Q119">TRANSPOSE(O120:O$121)</f>
        <v>0.5</v>
      </c>
      <c r="Q119" s="568">
        <v>0.5</v>
      </c>
      <c r="R119" s="1"/>
    </row>
    <row r="120" spans="1:18" hidden="1" x14ac:dyDescent="0.2">
      <c r="A120" s="2"/>
      <c r="B120" s="565" t="s">
        <v>952</v>
      </c>
      <c r="C120" s="566">
        <v>0.5</v>
      </c>
      <c r="D120" s="567">
        <v>0.5</v>
      </c>
      <c r="E120" s="567">
        <v>0.5</v>
      </c>
      <c r="F120" s="567">
        <v>0.5</v>
      </c>
      <c r="G120" s="567">
        <v>0.5</v>
      </c>
      <c r="H120" s="567">
        <v>0.5</v>
      </c>
      <c r="I120" s="567">
        <v>0.5</v>
      </c>
      <c r="J120" s="567">
        <v>0.5</v>
      </c>
      <c r="K120" s="567">
        <v>0.5</v>
      </c>
      <c r="L120" s="567">
        <v>0.5</v>
      </c>
      <c r="M120" s="567">
        <v>0.5</v>
      </c>
      <c r="N120" s="567">
        <v>0.5</v>
      </c>
      <c r="O120" s="567">
        <v>0.5</v>
      </c>
      <c r="P120" s="567">
        <v>1</v>
      </c>
      <c r="Q120" s="568">
        <f t="array" ref="Q120">TRANSPOSE(P121:P$121)</f>
        <v>0.5</v>
      </c>
      <c r="R120" s="1"/>
    </row>
    <row r="121" spans="1:18" ht="15" hidden="1" thickBot="1" x14ac:dyDescent="0.25">
      <c r="A121" s="2"/>
      <c r="B121" s="569" t="s">
        <v>953</v>
      </c>
      <c r="C121" s="570">
        <v>0.5</v>
      </c>
      <c r="D121" s="571">
        <v>0.5</v>
      </c>
      <c r="E121" s="571">
        <v>0.5</v>
      </c>
      <c r="F121" s="571">
        <v>0.5</v>
      </c>
      <c r="G121" s="571">
        <v>0.5</v>
      </c>
      <c r="H121" s="571">
        <v>0.5</v>
      </c>
      <c r="I121" s="571">
        <v>0.5</v>
      </c>
      <c r="J121" s="571">
        <v>0.5</v>
      </c>
      <c r="K121" s="571">
        <v>0.5</v>
      </c>
      <c r="L121" s="571">
        <v>0.5</v>
      </c>
      <c r="M121" s="571">
        <v>0.5</v>
      </c>
      <c r="N121" s="571">
        <v>0.5</v>
      </c>
      <c r="O121" s="571">
        <v>0.5</v>
      </c>
      <c r="P121" s="571">
        <v>0.5</v>
      </c>
      <c r="Q121" s="572">
        <v>1</v>
      </c>
      <c r="R121" s="1"/>
    </row>
    <row r="122" spans="1:18" hidden="1" x14ac:dyDescent="0.2">
      <c r="A122" s="2"/>
      <c r="B122" s="1"/>
      <c r="C122" s="1"/>
      <c r="D122" s="1"/>
      <c r="E122" s="1"/>
      <c r="F122" s="1"/>
      <c r="G122" s="1"/>
      <c r="H122" s="1"/>
      <c r="I122" s="1"/>
      <c r="J122" s="1"/>
      <c r="K122" s="1"/>
      <c r="L122" s="1"/>
      <c r="M122" s="1"/>
      <c r="N122" s="1"/>
      <c r="O122" s="1"/>
      <c r="P122" s="1"/>
      <c r="Q122" s="1"/>
      <c r="R122" s="1"/>
    </row>
    <row r="123" spans="1:18" ht="15" thickBot="1" x14ac:dyDescent="0.25">
      <c r="A123" s="2"/>
      <c r="B123" s="1"/>
      <c r="C123" s="1"/>
      <c r="D123" s="1"/>
      <c r="E123" s="1"/>
      <c r="F123" s="1"/>
      <c r="G123" s="1"/>
      <c r="H123" s="1"/>
      <c r="I123" s="1"/>
      <c r="J123" s="1"/>
      <c r="K123" s="1"/>
      <c r="L123" s="1"/>
      <c r="M123" s="1"/>
      <c r="N123" s="1"/>
      <c r="O123" s="1"/>
      <c r="P123" s="1"/>
      <c r="Q123" s="1"/>
      <c r="R123" s="1"/>
    </row>
    <row r="124" spans="1:18" ht="26.25" thickBot="1" x14ac:dyDescent="0.25">
      <c r="A124" s="2"/>
      <c r="B124" s="8" t="s">
        <v>954</v>
      </c>
      <c r="C124" s="9" t="s">
        <v>955</v>
      </c>
      <c r="D124" s="9" t="s">
        <v>956</v>
      </c>
      <c r="E124" s="9" t="s">
        <v>957</v>
      </c>
      <c r="F124" s="10"/>
      <c r="G124" s="7"/>
      <c r="H124" s="7"/>
      <c r="I124" s="7"/>
      <c r="J124" s="7"/>
      <c r="K124" s="7"/>
      <c r="L124" s="1"/>
      <c r="M124" s="1"/>
      <c r="N124" s="1"/>
      <c r="O124" s="1"/>
      <c r="P124" s="1"/>
      <c r="Q124" s="1"/>
      <c r="R124" s="1"/>
    </row>
    <row r="125" spans="1:18" x14ac:dyDescent="0.2">
      <c r="A125" s="2"/>
      <c r="B125" s="5"/>
      <c r="C125" s="6"/>
      <c r="D125" s="6"/>
      <c r="E125" s="40"/>
      <c r="F125" s="11"/>
      <c r="G125" s="7"/>
      <c r="H125" s="7"/>
      <c r="I125" s="7"/>
      <c r="J125" s="7"/>
      <c r="K125" s="7"/>
      <c r="L125" s="1"/>
      <c r="M125" s="1"/>
      <c r="N125" s="1"/>
      <c r="O125" s="1"/>
      <c r="P125" s="1"/>
      <c r="Q125" s="1"/>
      <c r="R125" s="1"/>
    </row>
    <row r="126" spans="1:18" x14ac:dyDescent="0.2">
      <c r="A126" s="2"/>
      <c r="B126" s="12">
        <v>0</v>
      </c>
      <c r="C126" s="708" t="s">
        <v>958</v>
      </c>
      <c r="D126" s="708" t="s">
        <v>959</v>
      </c>
      <c r="E126" s="708" t="s">
        <v>960</v>
      </c>
      <c r="F126" s="13"/>
      <c r="G126" s="7"/>
      <c r="H126" s="7"/>
      <c r="I126" s="7"/>
      <c r="J126" s="7"/>
      <c r="K126" s="7"/>
      <c r="L126" s="1"/>
      <c r="M126" s="1"/>
      <c r="N126" s="1"/>
      <c r="O126" s="1"/>
      <c r="P126" s="1"/>
      <c r="Q126" s="1"/>
      <c r="R126" s="1"/>
    </row>
    <row r="127" spans="1:18" x14ac:dyDescent="0.2">
      <c r="A127" s="2"/>
      <c r="B127" s="12">
        <v>1</v>
      </c>
      <c r="C127" s="708" t="s">
        <v>961</v>
      </c>
      <c r="D127" s="708" t="s">
        <v>962</v>
      </c>
      <c r="E127" s="708" t="s">
        <v>963</v>
      </c>
      <c r="F127" s="13"/>
      <c r="G127" s="7"/>
      <c r="H127" s="7"/>
      <c r="I127" s="7"/>
      <c r="J127" s="7"/>
      <c r="K127" s="7"/>
      <c r="L127" s="1"/>
      <c r="M127" s="1"/>
      <c r="N127" s="1"/>
      <c r="O127" s="1"/>
      <c r="P127" s="1"/>
      <c r="Q127" s="1"/>
      <c r="R127" s="1"/>
    </row>
    <row r="128" spans="1:18" x14ac:dyDescent="0.2">
      <c r="A128" s="2"/>
      <c r="B128" s="12">
        <v>2</v>
      </c>
      <c r="C128" s="708" t="s">
        <v>678</v>
      </c>
      <c r="D128" s="708" t="s">
        <v>678</v>
      </c>
      <c r="E128" s="708" t="s">
        <v>678</v>
      </c>
      <c r="F128" s="13"/>
      <c r="G128" s="7"/>
      <c r="H128" s="7"/>
      <c r="I128" s="7"/>
      <c r="J128" s="7"/>
      <c r="K128" s="7"/>
      <c r="L128" s="1"/>
      <c r="M128" s="1"/>
      <c r="N128" s="1"/>
      <c r="O128" s="1"/>
      <c r="P128" s="1"/>
      <c r="Q128" s="1"/>
      <c r="R128" s="1"/>
    </row>
    <row r="129" spans="1:18" x14ac:dyDescent="0.2">
      <c r="A129" s="2"/>
      <c r="B129" s="12">
        <v>3</v>
      </c>
      <c r="C129" s="708" t="s">
        <v>964</v>
      </c>
      <c r="D129" s="708" t="s">
        <v>965</v>
      </c>
      <c r="E129" s="708" t="s">
        <v>966</v>
      </c>
      <c r="F129" s="13"/>
      <c r="G129" s="7"/>
      <c r="H129" s="7"/>
      <c r="I129" s="7"/>
      <c r="J129" s="7"/>
      <c r="K129" s="7"/>
      <c r="L129" s="1"/>
      <c r="M129" s="1"/>
      <c r="N129" s="1"/>
      <c r="O129" s="1"/>
      <c r="P129" s="1"/>
      <c r="Q129" s="1"/>
      <c r="R129" s="1"/>
    </row>
    <row r="130" spans="1:18" x14ac:dyDescent="0.2">
      <c r="A130" s="2"/>
      <c r="B130" s="12">
        <v>4</v>
      </c>
      <c r="C130" s="708" t="s">
        <v>967</v>
      </c>
      <c r="D130" s="708" t="s">
        <v>968</v>
      </c>
      <c r="E130" s="708" t="s">
        <v>969</v>
      </c>
      <c r="F130" s="13"/>
      <c r="G130" s="7"/>
      <c r="H130" s="7"/>
      <c r="I130" s="7"/>
      <c r="J130" s="7"/>
      <c r="K130" s="7"/>
      <c r="L130" s="1"/>
      <c r="M130" s="1"/>
      <c r="N130" s="1"/>
      <c r="O130" s="1"/>
      <c r="P130" s="1"/>
      <c r="Q130" s="1"/>
      <c r="R130" s="1"/>
    </row>
    <row r="131" spans="1:18" x14ac:dyDescent="0.2">
      <c r="A131" s="2"/>
      <c r="B131" s="12">
        <v>5</v>
      </c>
      <c r="C131" s="708" t="s">
        <v>679</v>
      </c>
      <c r="D131" s="708" t="s">
        <v>679</v>
      </c>
      <c r="E131" s="708" t="s">
        <v>970</v>
      </c>
      <c r="F131" s="13"/>
      <c r="G131" s="7"/>
      <c r="H131" s="7"/>
      <c r="I131" s="7"/>
      <c r="J131" s="7"/>
      <c r="K131" s="7"/>
      <c r="L131" s="1"/>
      <c r="M131" s="1"/>
      <c r="N131" s="1"/>
      <c r="O131" s="1"/>
      <c r="P131" s="1"/>
      <c r="Q131" s="1"/>
      <c r="R131" s="1"/>
    </row>
    <row r="132" spans="1:18" x14ac:dyDescent="0.2">
      <c r="A132" s="2"/>
      <c r="B132" s="12">
        <v>6</v>
      </c>
      <c r="C132" s="708" t="s">
        <v>971</v>
      </c>
      <c r="D132" s="708" t="s">
        <v>972</v>
      </c>
      <c r="E132" s="708" t="s">
        <v>973</v>
      </c>
      <c r="F132" s="13"/>
      <c r="G132" s="7"/>
      <c r="H132" s="7"/>
      <c r="I132" s="7"/>
      <c r="J132" s="7"/>
      <c r="K132" s="7"/>
      <c r="L132" s="1"/>
      <c r="M132" s="1"/>
      <c r="N132" s="1"/>
      <c r="O132" s="1"/>
      <c r="P132" s="1"/>
      <c r="Q132" s="1"/>
      <c r="R132" s="1"/>
    </row>
    <row r="133" spans="1:18" ht="15" thickBot="1" x14ac:dyDescent="0.25">
      <c r="A133" s="2"/>
      <c r="B133" s="14"/>
      <c r="C133" s="4"/>
      <c r="D133" s="4"/>
      <c r="E133" s="41"/>
      <c r="F133" s="15"/>
      <c r="G133" s="7"/>
      <c r="H133" s="7"/>
      <c r="I133" s="7"/>
      <c r="J133" s="7"/>
      <c r="K133" s="7"/>
      <c r="L133" s="1"/>
      <c r="M133" s="1"/>
      <c r="N133" s="1"/>
      <c r="O133" s="1"/>
      <c r="P133" s="1"/>
      <c r="Q133" s="1"/>
      <c r="R133" s="1"/>
    </row>
    <row r="134" spans="1:18" x14ac:dyDescent="0.2">
      <c r="A134" s="2"/>
      <c r="B134" s="1"/>
      <c r="C134" s="1"/>
      <c r="D134" s="1"/>
      <c r="E134" s="1"/>
      <c r="F134" s="1"/>
      <c r="G134" s="1"/>
      <c r="H134" s="1"/>
      <c r="I134" s="1"/>
      <c r="J134" s="1"/>
      <c r="K134" s="1"/>
      <c r="L134" s="1"/>
      <c r="M134" s="1"/>
      <c r="N134" s="1"/>
      <c r="O134" s="1"/>
      <c r="P134" s="1"/>
      <c r="Q134" s="1"/>
      <c r="R134" s="1"/>
    </row>
    <row r="135" spans="1:18" x14ac:dyDescent="0.2">
      <c r="A135" s="2"/>
      <c r="B135" s="1"/>
      <c r="C135" s="1"/>
      <c r="D135" s="1"/>
      <c r="E135" s="1"/>
      <c r="F135" s="1"/>
      <c r="G135" s="1"/>
      <c r="H135" s="1"/>
      <c r="I135" s="1"/>
      <c r="J135" s="1"/>
      <c r="K135" s="1"/>
      <c r="L135" s="1"/>
      <c r="M135" s="1"/>
      <c r="N135" s="1"/>
      <c r="O135" s="1"/>
      <c r="P135" s="1"/>
      <c r="Q135" s="1"/>
      <c r="R135" s="1"/>
    </row>
    <row r="136" spans="1:18" ht="15" thickBot="1" x14ac:dyDescent="0.25">
      <c r="A136" s="2"/>
      <c r="B136" s="18" t="s">
        <v>974</v>
      </c>
      <c r="C136" s="1"/>
      <c r="D136" s="1"/>
      <c r="E136" s="1"/>
      <c r="F136" s="1"/>
      <c r="G136" s="1"/>
      <c r="H136" s="1"/>
      <c r="I136" s="1"/>
      <c r="J136" s="1"/>
      <c r="K136" s="1"/>
      <c r="L136" s="1"/>
      <c r="M136" s="1"/>
      <c r="N136" s="1"/>
      <c r="O136" s="1"/>
      <c r="P136" s="1"/>
      <c r="Q136" s="1"/>
      <c r="R136" s="1"/>
    </row>
    <row r="137" spans="1:18" ht="15" thickBot="1" x14ac:dyDescent="0.25">
      <c r="A137" s="2"/>
      <c r="B137" s="890" t="s">
        <v>975</v>
      </c>
      <c r="C137" s="891"/>
      <c r="D137" s="892" t="s">
        <v>417</v>
      </c>
      <c r="E137" s="892"/>
      <c r="F137" s="892"/>
      <c r="G137" s="892"/>
      <c r="H137" s="892"/>
      <c r="I137" s="892"/>
      <c r="J137" s="893"/>
      <c r="K137" s="19"/>
      <c r="L137" s="46"/>
      <c r="M137" s="47"/>
      <c r="N137" s="888" t="s">
        <v>976</v>
      </c>
      <c r="O137" s="1"/>
      <c r="P137" s="1"/>
      <c r="Q137" s="1"/>
      <c r="R137" s="1"/>
    </row>
    <row r="138" spans="1:18" ht="15" thickBot="1" x14ac:dyDescent="0.25">
      <c r="A138" s="2"/>
      <c r="B138" s="21" t="s">
        <v>977</v>
      </c>
      <c r="C138" s="22" t="s">
        <v>978</v>
      </c>
      <c r="D138" s="23">
        <v>0</v>
      </c>
      <c r="E138" s="23">
        <v>1</v>
      </c>
      <c r="F138" s="23">
        <v>2</v>
      </c>
      <c r="G138" s="23">
        <v>3</v>
      </c>
      <c r="H138" s="23">
        <v>4</v>
      </c>
      <c r="I138" s="23">
        <v>5</v>
      </c>
      <c r="J138" s="24">
        <v>6</v>
      </c>
      <c r="K138" s="17"/>
      <c r="L138" s="45" t="s">
        <v>423</v>
      </c>
      <c r="M138" s="47"/>
      <c r="N138" s="889"/>
      <c r="O138" s="1"/>
      <c r="P138" s="1"/>
      <c r="Q138" s="1"/>
      <c r="R138" s="1"/>
    </row>
    <row r="139" spans="1:18" x14ac:dyDescent="0.2">
      <c r="A139" s="2"/>
      <c r="B139" s="21" t="s">
        <v>979</v>
      </c>
      <c r="C139" s="22">
        <v>0</v>
      </c>
      <c r="D139" s="25">
        <v>0</v>
      </c>
      <c r="E139" s="26">
        <v>0</v>
      </c>
      <c r="F139" s="26">
        <v>0</v>
      </c>
      <c r="G139" s="26">
        <v>0</v>
      </c>
      <c r="H139" s="26">
        <v>0</v>
      </c>
      <c r="I139" s="26">
        <v>0</v>
      </c>
      <c r="J139" s="27">
        <v>0</v>
      </c>
      <c r="K139" s="28"/>
      <c r="L139" s="29">
        <v>0</v>
      </c>
      <c r="M139" s="28"/>
      <c r="N139" s="29">
        <v>0</v>
      </c>
      <c r="O139" s="1"/>
      <c r="P139" s="1"/>
      <c r="Q139" s="1"/>
      <c r="R139" s="1"/>
    </row>
    <row r="140" spans="1:18" ht="15" customHeight="1" x14ac:dyDescent="0.2">
      <c r="A140" s="2"/>
      <c r="B140" s="21" t="s">
        <v>980</v>
      </c>
      <c r="C140" s="22">
        <v>5</v>
      </c>
      <c r="D140" s="709">
        <v>0</v>
      </c>
      <c r="E140" s="710">
        <v>0</v>
      </c>
      <c r="F140" s="710">
        <v>0</v>
      </c>
      <c r="G140" s="710">
        <v>0</v>
      </c>
      <c r="H140" s="710">
        <v>0</v>
      </c>
      <c r="I140" s="710">
        <v>0</v>
      </c>
      <c r="J140" s="30">
        <v>0</v>
      </c>
      <c r="K140" s="28"/>
      <c r="L140" s="31">
        <v>0</v>
      </c>
      <c r="M140" s="28"/>
      <c r="N140" s="31">
        <v>0</v>
      </c>
      <c r="O140" s="1"/>
      <c r="P140" s="1"/>
      <c r="Q140" s="1"/>
      <c r="R140" s="1"/>
    </row>
    <row r="141" spans="1:18" x14ac:dyDescent="0.2">
      <c r="A141" s="2"/>
      <c r="B141" s="21" t="s">
        <v>981</v>
      </c>
      <c r="C141" s="22">
        <v>10</v>
      </c>
      <c r="D141" s="709">
        <v>0</v>
      </c>
      <c r="E141" s="710">
        <v>0</v>
      </c>
      <c r="F141" s="710">
        <v>0</v>
      </c>
      <c r="G141" s="710">
        <v>0</v>
      </c>
      <c r="H141" s="710">
        <v>0</v>
      </c>
      <c r="I141" s="710">
        <v>0</v>
      </c>
      <c r="J141" s="30">
        <v>0</v>
      </c>
      <c r="K141" s="28"/>
      <c r="L141" s="31">
        <v>0</v>
      </c>
      <c r="M141" s="28"/>
      <c r="N141" s="31">
        <v>0</v>
      </c>
      <c r="O141" s="1"/>
      <c r="P141" s="1"/>
      <c r="Q141" s="1"/>
      <c r="R141" s="1"/>
    </row>
    <row r="142" spans="1:18" x14ac:dyDescent="0.2">
      <c r="A142" s="2"/>
      <c r="B142" s="21" t="s">
        <v>982</v>
      </c>
      <c r="C142" s="22">
        <v>15</v>
      </c>
      <c r="D142" s="709">
        <v>0</v>
      </c>
      <c r="E142" s="710">
        <v>0</v>
      </c>
      <c r="F142" s="710">
        <v>0</v>
      </c>
      <c r="G142" s="710">
        <v>0</v>
      </c>
      <c r="H142" s="710">
        <v>0</v>
      </c>
      <c r="I142" s="710">
        <v>0</v>
      </c>
      <c r="J142" s="30">
        <v>0</v>
      </c>
      <c r="K142" s="28"/>
      <c r="L142" s="31">
        <v>0</v>
      </c>
      <c r="M142" s="28"/>
      <c r="N142" s="31">
        <v>0</v>
      </c>
      <c r="O142" s="1"/>
      <c r="P142" s="1"/>
      <c r="Q142" s="1"/>
      <c r="R142" s="1"/>
    </row>
    <row r="143" spans="1:18" ht="15" thickBot="1" x14ac:dyDescent="0.25">
      <c r="A143" s="2"/>
      <c r="B143" s="16" t="s">
        <v>983</v>
      </c>
      <c r="C143" s="32">
        <v>20</v>
      </c>
      <c r="D143" s="33">
        <v>0</v>
      </c>
      <c r="E143" s="34">
        <v>0</v>
      </c>
      <c r="F143" s="34">
        <v>0</v>
      </c>
      <c r="G143" s="34">
        <v>0</v>
      </c>
      <c r="H143" s="34">
        <v>0</v>
      </c>
      <c r="I143" s="34">
        <v>0</v>
      </c>
      <c r="J143" s="35">
        <v>0</v>
      </c>
      <c r="K143" s="28"/>
      <c r="L143" s="36">
        <v>0</v>
      </c>
      <c r="M143" s="28"/>
      <c r="N143" s="36">
        <v>0</v>
      </c>
      <c r="O143" s="1"/>
      <c r="P143" s="1"/>
      <c r="Q143" s="1"/>
      <c r="R143" s="1"/>
    </row>
    <row r="144" spans="1:18" ht="15" thickBot="1" x14ac:dyDescent="0.25">
      <c r="A144" s="2"/>
      <c r="B144" s="18"/>
      <c r="C144" s="1"/>
      <c r="D144" s="1"/>
      <c r="E144" s="1"/>
      <c r="F144" s="1"/>
      <c r="G144" s="1"/>
      <c r="H144" s="1"/>
      <c r="I144" s="1"/>
      <c r="J144" s="1"/>
      <c r="K144" s="1"/>
      <c r="L144" s="1"/>
      <c r="M144" s="1"/>
      <c r="N144" s="1"/>
      <c r="O144" s="1"/>
      <c r="P144" s="1"/>
      <c r="Q144" s="1"/>
      <c r="R144" s="1"/>
    </row>
    <row r="145" spans="1:18" ht="15" thickBot="1" x14ac:dyDescent="0.25">
      <c r="A145" s="2"/>
      <c r="B145" s="890" t="s">
        <v>984</v>
      </c>
      <c r="C145" s="891"/>
      <c r="D145" s="892" t="s">
        <v>417</v>
      </c>
      <c r="E145" s="892"/>
      <c r="F145" s="892"/>
      <c r="G145" s="892"/>
      <c r="H145" s="892"/>
      <c r="I145" s="892"/>
      <c r="J145" s="893"/>
      <c r="K145" s="19"/>
      <c r="L145" s="20"/>
      <c r="M145" s="17"/>
      <c r="N145" s="888" t="s">
        <v>976</v>
      </c>
      <c r="O145" s="1"/>
      <c r="P145" s="1"/>
      <c r="Q145" s="1"/>
      <c r="R145" s="1"/>
    </row>
    <row r="146" spans="1:18" ht="15" thickBot="1" x14ac:dyDescent="0.25">
      <c r="A146" s="2"/>
      <c r="B146" s="21" t="s">
        <v>977</v>
      </c>
      <c r="C146" s="22" t="s">
        <v>978</v>
      </c>
      <c r="D146" s="23">
        <v>0</v>
      </c>
      <c r="E146" s="23">
        <v>1</v>
      </c>
      <c r="F146" s="23">
        <v>2</v>
      </c>
      <c r="G146" s="23">
        <v>3</v>
      </c>
      <c r="H146" s="23">
        <v>4</v>
      </c>
      <c r="I146" s="23">
        <v>5</v>
      </c>
      <c r="J146" s="24">
        <v>6</v>
      </c>
      <c r="K146" s="17"/>
      <c r="L146" s="45" t="s">
        <v>423</v>
      </c>
      <c r="M146" s="17"/>
      <c r="N146" s="889"/>
      <c r="O146" s="1"/>
      <c r="P146" s="1"/>
      <c r="Q146" s="1"/>
      <c r="R146" s="1"/>
    </row>
    <row r="147" spans="1:18" x14ac:dyDescent="0.2">
      <c r="A147" s="2"/>
      <c r="B147" s="21" t="s">
        <v>979</v>
      </c>
      <c r="C147" s="22">
        <v>0</v>
      </c>
      <c r="D147" s="25">
        <v>4.0000000000000001E-3</v>
      </c>
      <c r="E147" s="26">
        <v>5.0000000000000001E-3</v>
      </c>
      <c r="F147" s="26">
        <v>7.0000000000000001E-3</v>
      </c>
      <c r="G147" s="26">
        <v>1.2E-2</v>
      </c>
      <c r="H147" s="26">
        <v>2.1999999999999999E-2</v>
      </c>
      <c r="I147" s="26">
        <v>3.6999999999999998E-2</v>
      </c>
      <c r="J147" s="27">
        <v>3.6999999999999998E-2</v>
      </c>
      <c r="K147" s="28"/>
      <c r="L147" s="29">
        <v>1.4999999999999999E-2</v>
      </c>
      <c r="M147" s="28"/>
      <c r="N147" s="29">
        <v>3.6999999999999998E-2</v>
      </c>
      <c r="O147" s="1"/>
      <c r="P147" s="1"/>
      <c r="Q147" s="1"/>
      <c r="R147" s="1"/>
    </row>
    <row r="148" spans="1:18" ht="15" customHeight="1" x14ac:dyDescent="0.2">
      <c r="A148" s="2"/>
      <c r="B148" s="21" t="s">
        <v>980</v>
      </c>
      <c r="C148" s="22">
        <v>5</v>
      </c>
      <c r="D148" s="709">
        <v>4.0000000000000001E-3</v>
      </c>
      <c r="E148" s="710">
        <v>5.0000000000000001E-3</v>
      </c>
      <c r="F148" s="710">
        <v>7.0000000000000001E-3</v>
      </c>
      <c r="G148" s="710">
        <v>1.2E-2</v>
      </c>
      <c r="H148" s="710">
        <v>2.1999999999999999E-2</v>
      </c>
      <c r="I148" s="710">
        <v>3.6999999999999998E-2</v>
      </c>
      <c r="J148" s="30">
        <v>3.6999999999999998E-2</v>
      </c>
      <c r="K148" s="28"/>
      <c r="L148" s="31">
        <v>1.4999999999999999E-2</v>
      </c>
      <c r="M148" s="28"/>
      <c r="N148" s="31">
        <v>3.6999999999999998E-2</v>
      </c>
      <c r="O148" s="1"/>
      <c r="P148" s="1"/>
      <c r="Q148" s="1"/>
      <c r="R148" s="1"/>
    </row>
    <row r="149" spans="1:18" x14ac:dyDescent="0.2">
      <c r="A149" s="2"/>
      <c r="B149" s="21" t="s">
        <v>981</v>
      </c>
      <c r="C149" s="22">
        <v>10</v>
      </c>
      <c r="D149" s="709">
        <v>4.0000000000000001E-3</v>
      </c>
      <c r="E149" s="710">
        <v>5.0000000000000001E-3</v>
      </c>
      <c r="F149" s="710">
        <v>7.0000000000000001E-3</v>
      </c>
      <c r="G149" s="710">
        <v>1.2E-2</v>
      </c>
      <c r="H149" s="710">
        <v>2.1999999999999999E-2</v>
      </c>
      <c r="I149" s="710">
        <v>3.6999999999999998E-2</v>
      </c>
      <c r="J149" s="30">
        <v>3.6999999999999998E-2</v>
      </c>
      <c r="K149" s="28"/>
      <c r="L149" s="31">
        <v>1.4999999999999999E-2</v>
      </c>
      <c r="M149" s="28"/>
      <c r="N149" s="31">
        <v>3.6999999999999998E-2</v>
      </c>
      <c r="O149" s="1"/>
      <c r="P149" s="1"/>
      <c r="Q149" s="1"/>
      <c r="R149" s="1"/>
    </row>
    <row r="150" spans="1:18" x14ac:dyDescent="0.2">
      <c r="A150" s="2"/>
      <c r="B150" s="21" t="s">
        <v>982</v>
      </c>
      <c r="C150" s="22">
        <v>15</v>
      </c>
      <c r="D150" s="709">
        <v>4.0000000000000001E-3</v>
      </c>
      <c r="E150" s="710">
        <v>5.0000000000000001E-3</v>
      </c>
      <c r="F150" s="710">
        <v>7.0000000000000001E-3</v>
      </c>
      <c r="G150" s="710">
        <v>1.2E-2</v>
      </c>
      <c r="H150" s="710">
        <v>2.1999999999999999E-2</v>
      </c>
      <c r="I150" s="710">
        <v>3.6999999999999998E-2</v>
      </c>
      <c r="J150" s="30">
        <v>3.6999999999999998E-2</v>
      </c>
      <c r="K150" s="28"/>
      <c r="L150" s="31">
        <v>1.4999999999999999E-2</v>
      </c>
      <c r="M150" s="28"/>
      <c r="N150" s="31">
        <v>3.6999999999999998E-2</v>
      </c>
      <c r="O150" s="1"/>
      <c r="P150" s="1"/>
      <c r="Q150" s="1"/>
      <c r="R150" s="1"/>
    </row>
    <row r="151" spans="1:18" ht="15" thickBot="1" x14ac:dyDescent="0.25">
      <c r="A151" s="2"/>
      <c r="B151" s="16" t="s">
        <v>983</v>
      </c>
      <c r="C151" s="32">
        <v>20</v>
      </c>
      <c r="D151" s="33">
        <v>4.0000000000000001E-3</v>
      </c>
      <c r="E151" s="34">
        <v>5.0000000000000001E-3</v>
      </c>
      <c r="F151" s="34">
        <v>7.0000000000000001E-3</v>
      </c>
      <c r="G151" s="34">
        <v>1.2E-2</v>
      </c>
      <c r="H151" s="34">
        <v>2.1999999999999999E-2</v>
      </c>
      <c r="I151" s="34">
        <v>3.6999999999999998E-2</v>
      </c>
      <c r="J151" s="35">
        <v>3.6999999999999998E-2</v>
      </c>
      <c r="K151" s="28"/>
      <c r="L151" s="36">
        <v>1.4999999999999999E-2</v>
      </c>
      <c r="M151" s="28"/>
      <c r="N151" s="36">
        <v>3.6999999999999998E-2</v>
      </c>
      <c r="O151" s="1"/>
      <c r="P151" s="1"/>
      <c r="Q151" s="1"/>
      <c r="R151" s="1"/>
    </row>
    <row r="152" spans="1:18" x14ac:dyDescent="0.2">
      <c r="A152" s="2"/>
      <c r="B152" s="1"/>
      <c r="C152" s="1"/>
      <c r="D152" s="1"/>
      <c r="E152" s="1"/>
      <c r="F152" s="1"/>
      <c r="G152" s="1"/>
      <c r="H152" s="1"/>
      <c r="I152" s="1"/>
      <c r="J152" s="1"/>
      <c r="K152" s="1"/>
      <c r="L152" s="1"/>
      <c r="M152" s="1"/>
      <c r="N152" s="1"/>
      <c r="O152" s="1"/>
      <c r="P152" s="1"/>
      <c r="Q152" s="1"/>
      <c r="R152" s="1"/>
    </row>
    <row r="153" spans="1:18" ht="15" thickBot="1" x14ac:dyDescent="0.25">
      <c r="A153" s="2"/>
      <c r="B153" s="531"/>
      <c r="C153" s="531"/>
      <c r="D153" s="531"/>
      <c r="E153" s="531"/>
      <c r="F153" s="1"/>
      <c r="G153" s="1"/>
      <c r="H153" s="1"/>
      <c r="I153" s="1"/>
      <c r="J153" s="1"/>
      <c r="K153" s="1"/>
      <c r="L153" s="1"/>
      <c r="M153" s="1"/>
      <c r="N153" s="1"/>
      <c r="O153" s="1"/>
      <c r="P153" s="1"/>
      <c r="Q153" s="1"/>
      <c r="R153" s="1"/>
    </row>
    <row r="154" spans="1:18" ht="15" thickBot="1" x14ac:dyDescent="0.25">
      <c r="A154" s="2"/>
      <c r="B154" s="529" t="s">
        <v>985</v>
      </c>
      <c r="C154" s="530" t="s">
        <v>935</v>
      </c>
      <c r="D154" s="530" t="s">
        <v>936</v>
      </c>
      <c r="E154" s="531"/>
      <c r="F154" s="1"/>
      <c r="G154" s="1"/>
      <c r="H154" s="1"/>
      <c r="I154" s="1"/>
      <c r="J154" s="532" t="s">
        <v>986</v>
      </c>
      <c r="K154" s="533" t="s">
        <v>935</v>
      </c>
      <c r="L154" s="535" t="s">
        <v>936</v>
      </c>
      <c r="M154" s="1"/>
      <c r="N154" s="1"/>
      <c r="O154" s="1"/>
      <c r="P154" s="1"/>
      <c r="Q154" s="1"/>
      <c r="R154" s="1"/>
    </row>
    <row r="155" spans="1:18" x14ac:dyDescent="0.2">
      <c r="A155" s="2"/>
      <c r="B155" s="536" t="s">
        <v>935</v>
      </c>
      <c r="C155" s="537">
        <v>1</v>
      </c>
      <c r="D155" s="537">
        <v>0.75</v>
      </c>
      <c r="E155" s="531"/>
      <c r="F155" s="1"/>
      <c r="G155" s="1"/>
      <c r="H155" s="1"/>
      <c r="I155" s="1"/>
      <c r="J155" s="37" t="s">
        <v>935</v>
      </c>
      <c r="K155" s="538">
        <v>1</v>
      </c>
      <c r="L155" s="540">
        <v>0.5</v>
      </c>
      <c r="M155" s="1"/>
      <c r="N155" s="1"/>
      <c r="O155" s="1"/>
      <c r="P155" s="1"/>
      <c r="Q155" s="1"/>
      <c r="R155" s="1"/>
    </row>
    <row r="156" spans="1:18" ht="15" thickBot="1" x14ac:dyDescent="0.25">
      <c r="A156" s="2"/>
      <c r="B156" s="536" t="s">
        <v>936</v>
      </c>
      <c r="C156" s="537">
        <v>0.75</v>
      </c>
      <c r="D156" s="537">
        <v>1</v>
      </c>
      <c r="E156" s="531"/>
      <c r="F156" s="1"/>
      <c r="G156" s="1"/>
      <c r="H156" s="1"/>
      <c r="I156" s="1"/>
      <c r="J156" s="39" t="s">
        <v>936</v>
      </c>
      <c r="K156" s="544">
        <v>0.5</v>
      </c>
      <c r="L156" s="546">
        <v>1</v>
      </c>
      <c r="M156" s="1"/>
      <c r="N156" s="1"/>
      <c r="O156" s="1"/>
      <c r="P156" s="1"/>
      <c r="Q156" s="1"/>
      <c r="R156" s="1"/>
    </row>
    <row r="157" spans="1:18" x14ac:dyDescent="0.2">
      <c r="A157" s="2"/>
      <c r="B157" s="531"/>
      <c r="C157" s="531"/>
      <c r="D157" s="531"/>
      <c r="E157" s="531"/>
      <c r="F157" s="1"/>
      <c r="G157" s="1"/>
      <c r="H157" s="1"/>
      <c r="I157" s="1"/>
      <c r="J157" s="1"/>
      <c r="K157" s="1"/>
      <c r="L157" s="1"/>
      <c r="M157" s="1"/>
      <c r="N157" s="1"/>
      <c r="O157" s="1"/>
      <c r="P157" s="1"/>
      <c r="Q157" s="1"/>
      <c r="R157" s="1"/>
    </row>
    <row r="158" spans="1:18" x14ac:dyDescent="0.2">
      <c r="A158" s="2"/>
      <c r="B158" s="1"/>
      <c r="C158" s="556"/>
      <c r="D158" s="1"/>
      <c r="E158" s="1"/>
      <c r="F158" s="1"/>
      <c r="G158" s="1"/>
      <c r="H158" s="1"/>
      <c r="I158" s="1"/>
      <c r="J158" s="1"/>
      <c r="K158" s="1"/>
      <c r="L158" s="1"/>
      <c r="M158" s="1"/>
      <c r="N158" s="1"/>
      <c r="O158" s="1"/>
      <c r="P158" s="1"/>
      <c r="Q158" s="1"/>
      <c r="R158" s="1"/>
    </row>
    <row r="159" spans="1:18" ht="15" hidden="1" thickBot="1" x14ac:dyDescent="0.25">
      <c r="A159" s="2"/>
      <c r="B159" s="573" t="s">
        <v>987</v>
      </c>
      <c r="C159" s="574" t="s">
        <v>988</v>
      </c>
      <c r="D159" s="575" t="s">
        <v>989</v>
      </c>
      <c r="E159" s="576" t="s">
        <v>990</v>
      </c>
      <c r="F159" s="556"/>
      <c r="G159" s="1"/>
      <c r="H159" s="1"/>
      <c r="I159" s="1"/>
      <c r="J159" s="577" t="s">
        <v>991</v>
      </c>
      <c r="K159" s="574" t="s">
        <v>988</v>
      </c>
      <c r="L159" s="575" t="s">
        <v>989</v>
      </c>
      <c r="M159" s="576" t="s">
        <v>990</v>
      </c>
      <c r="N159" s="1"/>
      <c r="O159" s="1"/>
      <c r="P159" s="1"/>
      <c r="Q159" s="1"/>
      <c r="R159" s="1"/>
    </row>
    <row r="160" spans="1:18" hidden="1" x14ac:dyDescent="0.2">
      <c r="A160" s="2"/>
      <c r="B160" s="578" t="s">
        <v>992</v>
      </c>
      <c r="C160" s="579">
        <v>1</v>
      </c>
      <c r="D160" s="580">
        <f t="array" ref="D160:E160">TRANSPOSE(C161:C$162)</f>
        <v>0</v>
      </c>
      <c r="E160" s="581">
        <v>0.25</v>
      </c>
      <c r="F160" s="1"/>
      <c r="G160" s="1"/>
      <c r="H160" s="1"/>
      <c r="I160" s="1"/>
      <c r="J160" s="578" t="s">
        <v>992</v>
      </c>
      <c r="K160" s="579">
        <v>1</v>
      </c>
      <c r="L160" s="580">
        <f t="array" ref="L160:M160">TRANSPOSE(K161:K$162)</f>
        <v>0</v>
      </c>
      <c r="M160" s="581">
        <v>0.25</v>
      </c>
      <c r="N160" s="1"/>
      <c r="O160" s="1"/>
      <c r="P160" s="1"/>
      <c r="Q160" s="1"/>
      <c r="R160" s="1"/>
    </row>
    <row r="161" spans="1:18" hidden="1" x14ac:dyDescent="0.2">
      <c r="A161" s="2"/>
      <c r="B161" s="582" t="s">
        <v>989</v>
      </c>
      <c r="C161" s="583">
        <v>0</v>
      </c>
      <c r="D161" s="584">
        <v>1</v>
      </c>
      <c r="E161" s="585">
        <f t="array" ref="E161">TRANSPOSE(D162:D$162)</f>
        <v>0</v>
      </c>
      <c r="F161" s="1"/>
      <c r="G161" s="1"/>
      <c r="H161" s="1"/>
      <c r="I161" s="1"/>
      <c r="J161" s="582" t="s">
        <v>989</v>
      </c>
      <c r="K161" s="583">
        <v>0</v>
      </c>
      <c r="L161" s="584">
        <v>1</v>
      </c>
      <c r="M161" s="585">
        <f t="array" ref="M161">TRANSPOSE(L162:L$162)</f>
        <v>0.25</v>
      </c>
      <c r="N161" s="1"/>
      <c r="O161" s="1"/>
      <c r="P161" s="1"/>
      <c r="Q161" s="1"/>
      <c r="R161" s="1"/>
    </row>
    <row r="162" spans="1:18" ht="15" hidden="1" thickBot="1" x14ac:dyDescent="0.25">
      <c r="A162" s="2"/>
      <c r="B162" s="586" t="s">
        <v>990</v>
      </c>
      <c r="C162" s="587">
        <v>0.25</v>
      </c>
      <c r="D162" s="588">
        <v>0</v>
      </c>
      <c r="E162" s="589">
        <v>1</v>
      </c>
      <c r="F162" s="1"/>
      <c r="G162" s="1"/>
      <c r="H162" s="1"/>
      <c r="I162" s="1"/>
      <c r="J162" s="586" t="s">
        <v>990</v>
      </c>
      <c r="K162" s="587">
        <v>0.25</v>
      </c>
      <c r="L162" s="588">
        <v>0.25</v>
      </c>
      <c r="M162" s="589">
        <v>1</v>
      </c>
      <c r="N162" s="1"/>
      <c r="O162" s="1"/>
      <c r="P162" s="1"/>
      <c r="Q162" s="1"/>
      <c r="R162" s="1"/>
    </row>
    <row r="163" spans="1:18" hidden="1" x14ac:dyDescent="0.2">
      <c r="A163" s="2"/>
      <c r="B163" s="1"/>
      <c r="C163" s="1"/>
      <c r="D163" s="1"/>
      <c r="E163" s="1"/>
      <c r="F163" s="1"/>
      <c r="G163" s="1"/>
      <c r="H163" s="1"/>
      <c r="I163" s="1"/>
      <c r="J163" s="1"/>
      <c r="K163" s="1"/>
      <c r="L163" s="1"/>
      <c r="M163" s="1"/>
      <c r="N163" s="1"/>
      <c r="O163" s="1"/>
      <c r="P163" s="1"/>
      <c r="Q163" s="1"/>
      <c r="R163" s="1"/>
    </row>
    <row r="164" spans="1:18" ht="15" thickBot="1" x14ac:dyDescent="0.25">
      <c r="A164" s="2"/>
      <c r="B164" s="1"/>
      <c r="C164" s="1"/>
      <c r="D164" s="1"/>
      <c r="E164" s="1"/>
      <c r="F164" s="1"/>
      <c r="G164" s="1"/>
      <c r="H164" s="1"/>
      <c r="I164" s="1"/>
      <c r="J164" s="1"/>
      <c r="K164" s="1"/>
      <c r="L164" s="1"/>
      <c r="M164" s="1"/>
      <c r="N164" s="1"/>
      <c r="O164" s="1"/>
      <c r="P164" s="1"/>
      <c r="Q164" s="1"/>
      <c r="R164" s="1"/>
    </row>
    <row r="165" spans="1:18" ht="15" thickBot="1" x14ac:dyDescent="0.25">
      <c r="A165" s="2"/>
      <c r="B165" s="532" t="s">
        <v>993</v>
      </c>
      <c r="C165" s="590" t="s">
        <v>988</v>
      </c>
      <c r="D165" s="591" t="s">
        <v>989</v>
      </c>
      <c r="E165" s="592" t="s">
        <v>990</v>
      </c>
      <c r="F165" s="1"/>
      <c r="G165" s="1"/>
      <c r="H165" s="1"/>
      <c r="I165" s="1"/>
      <c r="J165" s="532" t="s">
        <v>994</v>
      </c>
      <c r="K165" s="590" t="s">
        <v>988</v>
      </c>
      <c r="L165" s="591" t="s">
        <v>989</v>
      </c>
      <c r="M165" s="592" t="s">
        <v>990</v>
      </c>
      <c r="N165" s="1"/>
      <c r="O165" s="1"/>
      <c r="P165" s="1"/>
      <c r="Q165" s="1"/>
      <c r="R165" s="1"/>
    </row>
    <row r="166" spans="1:18" x14ac:dyDescent="0.2">
      <c r="A166" s="2"/>
      <c r="B166" s="5" t="s">
        <v>992</v>
      </c>
      <c r="C166" s="538">
        <v>1</v>
      </c>
      <c r="D166" s="539">
        <v>0</v>
      </c>
      <c r="E166" s="540">
        <v>0</v>
      </c>
      <c r="F166" s="1"/>
      <c r="G166" s="1"/>
      <c r="H166" s="1"/>
      <c r="I166" s="1"/>
      <c r="J166" s="5" t="s">
        <v>992</v>
      </c>
      <c r="K166" s="538">
        <v>1</v>
      </c>
      <c r="L166" s="539">
        <v>0</v>
      </c>
      <c r="M166" s="540">
        <v>0</v>
      </c>
      <c r="N166" s="1"/>
      <c r="O166" s="1"/>
      <c r="P166" s="1"/>
      <c r="Q166" s="1"/>
      <c r="R166" s="1"/>
    </row>
    <row r="167" spans="1:18" x14ac:dyDescent="0.2">
      <c r="A167" s="2"/>
      <c r="B167" s="593" t="s">
        <v>989</v>
      </c>
      <c r="C167" s="541">
        <v>0</v>
      </c>
      <c r="D167" s="542">
        <v>1</v>
      </c>
      <c r="E167" s="543">
        <v>0</v>
      </c>
      <c r="F167" s="1"/>
      <c r="G167" s="1"/>
      <c r="H167" s="1"/>
      <c r="I167" s="1"/>
      <c r="J167" s="593" t="s">
        <v>989</v>
      </c>
      <c r="K167" s="541">
        <v>0</v>
      </c>
      <c r="L167" s="542">
        <v>1</v>
      </c>
      <c r="M167" s="543">
        <v>0</v>
      </c>
      <c r="N167" s="1"/>
      <c r="O167" s="1"/>
      <c r="P167" s="1"/>
      <c r="Q167" s="1"/>
      <c r="R167" s="1"/>
    </row>
    <row r="168" spans="1:18" ht="15" thickBot="1" x14ac:dyDescent="0.25">
      <c r="A168" s="2"/>
      <c r="B168" s="594" t="s">
        <v>990</v>
      </c>
      <c r="C168" s="544">
        <v>0</v>
      </c>
      <c r="D168" s="545">
        <v>0</v>
      </c>
      <c r="E168" s="546">
        <v>1</v>
      </c>
      <c r="F168" s="1"/>
      <c r="G168" s="1"/>
      <c r="H168" s="1"/>
      <c r="I168" s="1"/>
      <c r="J168" s="594" t="s">
        <v>990</v>
      </c>
      <c r="K168" s="544">
        <v>0</v>
      </c>
      <c r="L168" s="545">
        <v>0</v>
      </c>
      <c r="M168" s="546">
        <v>1</v>
      </c>
      <c r="N168" s="1"/>
      <c r="O168" s="1"/>
      <c r="P168" s="1"/>
      <c r="Q168" s="1"/>
      <c r="R168" s="1"/>
    </row>
    <row r="169" spans="1:18" x14ac:dyDescent="0.2">
      <c r="A169" s="2"/>
      <c r="B169" s="1"/>
      <c r="C169" s="1"/>
      <c r="D169" s="1"/>
      <c r="E169" s="1"/>
      <c r="F169" s="1"/>
      <c r="G169" s="1"/>
      <c r="H169" s="1"/>
      <c r="I169" s="1"/>
      <c r="J169" s="1"/>
      <c r="K169" s="1"/>
      <c r="L169" s="1"/>
      <c r="M169" s="1"/>
      <c r="N169" s="1"/>
      <c r="O169" s="1"/>
      <c r="P169" s="1"/>
      <c r="Q169" s="1"/>
      <c r="R169" s="1"/>
    </row>
    <row r="170" spans="1:18" x14ac:dyDescent="0.2">
      <c r="A170" s="2"/>
      <c r="B170" s="1"/>
      <c r="C170" s="1"/>
      <c r="D170" s="1"/>
      <c r="E170" s="1"/>
      <c r="F170" s="1"/>
      <c r="G170" s="1"/>
      <c r="H170" s="1"/>
      <c r="I170" s="1"/>
      <c r="J170" s="1"/>
      <c r="K170" s="1"/>
      <c r="L170" s="1"/>
      <c r="M170" s="1"/>
      <c r="N170" s="1"/>
      <c r="O170" s="1"/>
      <c r="P170" s="1"/>
      <c r="Q170" s="1"/>
      <c r="R170" s="1"/>
    </row>
    <row r="171" spans="1:18" ht="0.95" customHeight="1" x14ac:dyDescent="0.2">
      <c r="A171" s="2"/>
      <c r="B171" s="1"/>
      <c r="C171" s="1"/>
      <c r="D171" s="1"/>
      <c r="E171" s="1"/>
      <c r="F171" s="1"/>
      <c r="G171" s="1"/>
      <c r="H171" s="1"/>
      <c r="I171" s="1"/>
      <c r="J171" s="1"/>
      <c r="K171" s="1"/>
      <c r="L171" s="1"/>
      <c r="M171" s="1"/>
      <c r="N171" s="1"/>
      <c r="O171" s="1"/>
      <c r="P171" s="1"/>
      <c r="Q171" s="1"/>
      <c r="R171" s="1"/>
    </row>
    <row r="172" spans="1:18" ht="1.5" customHeight="1" x14ac:dyDescent="0.2">
      <c r="A172" s="2"/>
      <c r="B172" s="1"/>
      <c r="C172" s="1"/>
      <c r="D172" s="1"/>
      <c r="E172" s="1"/>
      <c r="F172" s="1"/>
      <c r="G172" s="1"/>
      <c r="H172" s="1"/>
      <c r="I172" s="1"/>
      <c r="J172" s="1"/>
      <c r="K172" s="1"/>
      <c r="L172" s="1"/>
      <c r="M172" s="1"/>
      <c r="N172" s="1"/>
      <c r="O172" s="1"/>
      <c r="P172" s="1"/>
      <c r="Q172" s="1"/>
      <c r="R172" s="1"/>
    </row>
    <row r="173" spans="1:18" ht="15" hidden="1" thickBot="1" x14ac:dyDescent="0.25">
      <c r="A173" s="2"/>
      <c r="B173" s="573" t="s">
        <v>995</v>
      </c>
      <c r="C173" s="574">
        <v>1</v>
      </c>
      <c r="D173" s="575">
        <v>2</v>
      </c>
      <c r="E173" s="575">
        <v>3</v>
      </c>
      <c r="F173" s="575">
        <v>4</v>
      </c>
      <c r="G173" s="575">
        <v>5</v>
      </c>
      <c r="H173" s="575">
        <v>6</v>
      </c>
      <c r="I173" s="575">
        <v>7</v>
      </c>
      <c r="J173" s="575">
        <v>8</v>
      </c>
      <c r="K173" s="575">
        <v>9</v>
      </c>
      <c r="L173" s="575">
        <v>10</v>
      </c>
      <c r="M173" s="575">
        <v>11</v>
      </c>
      <c r="N173" s="576">
        <v>12</v>
      </c>
      <c r="O173" s="556"/>
      <c r="P173" s="1"/>
      <c r="Q173" s="1"/>
      <c r="R173" s="1"/>
    </row>
    <row r="174" spans="1:18" hidden="1" x14ac:dyDescent="0.2">
      <c r="A174" s="2"/>
      <c r="B174" s="578" t="s">
        <v>996</v>
      </c>
      <c r="C174" s="579">
        <v>1</v>
      </c>
      <c r="D174" s="580">
        <v>0.5</v>
      </c>
      <c r="E174" s="580">
        <v>0.5</v>
      </c>
      <c r="F174" s="580">
        <v>0.25</v>
      </c>
      <c r="G174" s="580">
        <v>0.5</v>
      </c>
      <c r="H174" s="580">
        <v>0.25</v>
      </c>
      <c r="I174" s="580">
        <v>0.5</v>
      </c>
      <c r="J174" s="580">
        <v>0.25</v>
      </c>
      <c r="K174" s="580">
        <v>0.5</v>
      </c>
      <c r="L174" s="580">
        <v>0.25</v>
      </c>
      <c r="M174" s="580">
        <v>0.25</v>
      </c>
      <c r="N174" s="581">
        <v>0.25</v>
      </c>
      <c r="O174" s="1"/>
      <c r="P174" s="1"/>
      <c r="Q174" s="1"/>
      <c r="R174" s="1"/>
    </row>
    <row r="175" spans="1:18" hidden="1" x14ac:dyDescent="0.2">
      <c r="A175" s="2"/>
      <c r="B175" s="582" t="s">
        <v>997</v>
      </c>
      <c r="C175" s="583">
        <v>0.5</v>
      </c>
      <c r="D175" s="584">
        <v>1</v>
      </c>
      <c r="E175" s="584">
        <v>0.25</v>
      </c>
      <c r="F175" s="584">
        <v>0.25</v>
      </c>
      <c r="G175" s="584">
        <v>0.25</v>
      </c>
      <c r="H175" s="584">
        <v>0.25</v>
      </c>
      <c r="I175" s="584">
        <v>0.5</v>
      </c>
      <c r="J175" s="584">
        <v>0.5</v>
      </c>
      <c r="K175" s="584">
        <v>0.5</v>
      </c>
      <c r="L175" s="584">
        <v>0.25</v>
      </c>
      <c r="M175" s="584">
        <v>0.25</v>
      </c>
      <c r="N175" s="585">
        <v>0.25</v>
      </c>
      <c r="O175" s="1"/>
      <c r="P175" s="1"/>
      <c r="Q175" s="1"/>
      <c r="R175" s="1"/>
    </row>
    <row r="176" spans="1:18" hidden="1" x14ac:dyDescent="0.2">
      <c r="A176" s="2"/>
      <c r="B176" s="582" t="s">
        <v>998</v>
      </c>
      <c r="C176" s="583">
        <v>0.5</v>
      </c>
      <c r="D176" s="584">
        <v>0.25</v>
      </c>
      <c r="E176" s="584">
        <v>1</v>
      </c>
      <c r="F176" s="584">
        <v>0.25</v>
      </c>
      <c r="G176" s="584">
        <v>0.25</v>
      </c>
      <c r="H176" s="584">
        <v>0.25</v>
      </c>
      <c r="I176" s="584">
        <v>0.25</v>
      </c>
      <c r="J176" s="584">
        <v>0.5</v>
      </c>
      <c r="K176" s="584">
        <v>0.5</v>
      </c>
      <c r="L176" s="584">
        <v>0.25</v>
      </c>
      <c r="M176" s="584">
        <v>0.5</v>
      </c>
      <c r="N176" s="585">
        <v>0.25</v>
      </c>
      <c r="O176" s="1"/>
      <c r="P176" s="1"/>
      <c r="Q176" s="1"/>
      <c r="R176" s="1"/>
    </row>
    <row r="177" spans="1:18" hidden="1" x14ac:dyDescent="0.2">
      <c r="A177" s="2"/>
      <c r="B177" s="582" t="s">
        <v>999</v>
      </c>
      <c r="C177" s="583">
        <v>0.25</v>
      </c>
      <c r="D177" s="584">
        <v>0.25</v>
      </c>
      <c r="E177" s="584">
        <v>0.25</v>
      </c>
      <c r="F177" s="584">
        <v>1</v>
      </c>
      <c r="G177" s="584">
        <v>0.25</v>
      </c>
      <c r="H177" s="584">
        <v>0.25</v>
      </c>
      <c r="I177" s="584">
        <v>0.25</v>
      </c>
      <c r="J177" s="584">
        <v>0.5</v>
      </c>
      <c r="K177" s="584">
        <v>0.5</v>
      </c>
      <c r="L177" s="584">
        <v>0.25</v>
      </c>
      <c r="M177" s="584">
        <v>0.5</v>
      </c>
      <c r="N177" s="585">
        <v>0.5</v>
      </c>
      <c r="O177" s="1"/>
      <c r="P177" s="1"/>
      <c r="Q177" s="1"/>
      <c r="R177" s="1"/>
    </row>
    <row r="178" spans="1:18" hidden="1" x14ac:dyDescent="0.2">
      <c r="A178" s="2"/>
      <c r="B178" s="582" t="s">
        <v>1000</v>
      </c>
      <c r="C178" s="583">
        <v>0.5</v>
      </c>
      <c r="D178" s="584">
        <v>0.25</v>
      </c>
      <c r="E178" s="584">
        <v>0.25</v>
      </c>
      <c r="F178" s="584">
        <v>0.25</v>
      </c>
      <c r="G178" s="584">
        <v>1</v>
      </c>
      <c r="H178" s="584">
        <v>0.5</v>
      </c>
      <c r="I178" s="584">
        <v>0.5</v>
      </c>
      <c r="J178" s="584">
        <v>0.25</v>
      </c>
      <c r="K178" s="584">
        <v>0.5</v>
      </c>
      <c r="L178" s="584">
        <v>0.5</v>
      </c>
      <c r="M178" s="584">
        <v>0.25</v>
      </c>
      <c r="N178" s="585">
        <v>0.25</v>
      </c>
      <c r="O178" s="1"/>
      <c r="P178" s="1"/>
      <c r="Q178" s="1"/>
      <c r="R178" s="1"/>
    </row>
    <row r="179" spans="1:18" hidden="1" x14ac:dyDescent="0.2">
      <c r="A179" s="2"/>
      <c r="B179" s="582" t="s">
        <v>1001</v>
      </c>
      <c r="C179" s="583">
        <v>0.25</v>
      </c>
      <c r="D179" s="584">
        <v>0.25</v>
      </c>
      <c r="E179" s="584">
        <v>0.25</v>
      </c>
      <c r="F179" s="584">
        <v>0.25</v>
      </c>
      <c r="G179" s="584">
        <v>0.5</v>
      </c>
      <c r="H179" s="584">
        <v>1</v>
      </c>
      <c r="I179" s="584">
        <v>0.5</v>
      </c>
      <c r="J179" s="584">
        <v>0.25</v>
      </c>
      <c r="K179" s="584">
        <v>0.5</v>
      </c>
      <c r="L179" s="584">
        <v>0.5</v>
      </c>
      <c r="M179" s="584">
        <v>0.25</v>
      </c>
      <c r="N179" s="585">
        <v>0.25</v>
      </c>
      <c r="O179" s="1"/>
      <c r="P179" s="1"/>
      <c r="Q179" s="1"/>
      <c r="R179" s="1"/>
    </row>
    <row r="180" spans="1:18" hidden="1" x14ac:dyDescent="0.2">
      <c r="A180" s="2"/>
      <c r="B180" s="582" t="s">
        <v>1002</v>
      </c>
      <c r="C180" s="583">
        <v>0.5</v>
      </c>
      <c r="D180" s="584">
        <v>0.5</v>
      </c>
      <c r="E180" s="584">
        <v>0.25</v>
      </c>
      <c r="F180" s="584">
        <v>0.25</v>
      </c>
      <c r="G180" s="584">
        <v>0.5</v>
      </c>
      <c r="H180" s="584">
        <v>0.5</v>
      </c>
      <c r="I180" s="584">
        <v>1</v>
      </c>
      <c r="J180" s="584">
        <v>0.25</v>
      </c>
      <c r="K180" s="584">
        <v>0.5</v>
      </c>
      <c r="L180" s="584">
        <v>0.5</v>
      </c>
      <c r="M180" s="584">
        <v>0.25</v>
      </c>
      <c r="N180" s="585">
        <v>0.25</v>
      </c>
      <c r="O180" s="1"/>
      <c r="P180" s="1"/>
      <c r="Q180" s="1"/>
      <c r="R180" s="1"/>
    </row>
    <row r="181" spans="1:18" hidden="1" x14ac:dyDescent="0.2">
      <c r="A181" s="2"/>
      <c r="B181" s="582" t="s">
        <v>1003</v>
      </c>
      <c r="C181" s="583">
        <v>0.25</v>
      </c>
      <c r="D181" s="584">
        <v>0.5</v>
      </c>
      <c r="E181" s="584">
        <v>0.5</v>
      </c>
      <c r="F181" s="584">
        <v>0.5</v>
      </c>
      <c r="G181" s="584">
        <v>0.25</v>
      </c>
      <c r="H181" s="584">
        <v>0.25</v>
      </c>
      <c r="I181" s="584">
        <v>0.25</v>
      </c>
      <c r="J181" s="584">
        <v>1</v>
      </c>
      <c r="K181" s="584">
        <v>0.5</v>
      </c>
      <c r="L181" s="584">
        <v>0.25</v>
      </c>
      <c r="M181" s="584">
        <v>0.25</v>
      </c>
      <c r="N181" s="585">
        <v>0.5</v>
      </c>
      <c r="O181" s="1"/>
      <c r="P181" s="1"/>
      <c r="Q181" s="1"/>
      <c r="R181" s="1"/>
    </row>
    <row r="182" spans="1:18" hidden="1" x14ac:dyDescent="0.2">
      <c r="A182" s="2"/>
      <c r="B182" s="582" t="s">
        <v>1004</v>
      </c>
      <c r="C182" s="583">
        <v>0.5</v>
      </c>
      <c r="D182" s="584">
        <v>0.5</v>
      </c>
      <c r="E182" s="584">
        <v>0.5</v>
      </c>
      <c r="F182" s="584">
        <v>0.5</v>
      </c>
      <c r="G182" s="584">
        <v>0.5</v>
      </c>
      <c r="H182" s="584">
        <v>0.5</v>
      </c>
      <c r="I182" s="584">
        <v>0.5</v>
      </c>
      <c r="J182" s="584">
        <v>0.5</v>
      </c>
      <c r="K182" s="584">
        <v>1</v>
      </c>
      <c r="L182" s="584">
        <v>0.25</v>
      </c>
      <c r="M182" s="584">
        <v>0.5</v>
      </c>
      <c r="N182" s="585">
        <v>0.25</v>
      </c>
      <c r="O182" s="1"/>
      <c r="P182" s="1"/>
      <c r="Q182" s="1"/>
      <c r="R182" s="1"/>
    </row>
    <row r="183" spans="1:18" hidden="1" x14ac:dyDescent="0.2">
      <c r="A183" s="2"/>
      <c r="B183" s="582" t="s">
        <v>1005</v>
      </c>
      <c r="C183" s="583">
        <v>0.25</v>
      </c>
      <c r="D183" s="584">
        <v>0.25</v>
      </c>
      <c r="E183" s="584">
        <v>0.25</v>
      </c>
      <c r="F183" s="584">
        <v>0.25</v>
      </c>
      <c r="G183" s="584">
        <v>0.5</v>
      </c>
      <c r="H183" s="584">
        <v>0.5</v>
      </c>
      <c r="I183" s="584">
        <v>0.5</v>
      </c>
      <c r="J183" s="584">
        <v>0.25</v>
      </c>
      <c r="K183" s="584">
        <v>0.25</v>
      </c>
      <c r="L183" s="584">
        <v>1</v>
      </c>
      <c r="M183" s="584">
        <v>0.25</v>
      </c>
      <c r="N183" s="585">
        <v>0.25</v>
      </c>
      <c r="O183" s="1"/>
      <c r="P183" s="1"/>
      <c r="Q183" s="1"/>
      <c r="R183" s="1"/>
    </row>
    <row r="184" spans="1:18" hidden="1" x14ac:dyDescent="0.2">
      <c r="A184" s="2"/>
      <c r="B184" s="582" t="s">
        <v>1006</v>
      </c>
      <c r="C184" s="583">
        <v>0.25</v>
      </c>
      <c r="D184" s="584">
        <v>0.25</v>
      </c>
      <c r="E184" s="584">
        <v>0.5</v>
      </c>
      <c r="F184" s="584">
        <v>0.5</v>
      </c>
      <c r="G184" s="584">
        <v>0.25</v>
      </c>
      <c r="H184" s="584">
        <v>0.25</v>
      </c>
      <c r="I184" s="584">
        <v>0.25</v>
      </c>
      <c r="J184" s="584">
        <v>0.25</v>
      </c>
      <c r="K184" s="584">
        <v>0.5</v>
      </c>
      <c r="L184" s="584">
        <v>0.25</v>
      </c>
      <c r="M184" s="584">
        <v>1</v>
      </c>
      <c r="N184" s="585">
        <v>0.25</v>
      </c>
      <c r="O184" s="1"/>
      <c r="P184" s="1"/>
      <c r="Q184" s="1"/>
      <c r="R184" s="1"/>
    </row>
    <row r="185" spans="1:18" ht="15" hidden="1" thickBot="1" x14ac:dyDescent="0.25">
      <c r="A185" s="2"/>
      <c r="B185" s="586" t="s">
        <v>1007</v>
      </c>
      <c r="C185" s="587">
        <v>0.25</v>
      </c>
      <c r="D185" s="588">
        <v>0.25</v>
      </c>
      <c r="E185" s="588">
        <v>0.25</v>
      </c>
      <c r="F185" s="588">
        <v>0.5</v>
      </c>
      <c r="G185" s="588">
        <v>0.25</v>
      </c>
      <c r="H185" s="588">
        <v>0.25</v>
      </c>
      <c r="I185" s="588">
        <v>0.25</v>
      </c>
      <c r="J185" s="588">
        <v>0.5</v>
      </c>
      <c r="K185" s="588">
        <v>0.25</v>
      </c>
      <c r="L185" s="588">
        <v>0.25</v>
      </c>
      <c r="M185" s="588">
        <v>0.25</v>
      </c>
      <c r="N185" s="589">
        <v>1</v>
      </c>
      <c r="O185" s="1"/>
      <c r="P185" s="1"/>
      <c r="Q185" s="1"/>
      <c r="R185" s="1"/>
    </row>
    <row r="186" spans="1:18" hidden="1" x14ac:dyDescent="0.2">
      <c r="A186" s="2"/>
      <c r="B186" s="1"/>
      <c r="C186" s="1"/>
      <c r="D186" s="1"/>
      <c r="E186" s="1"/>
      <c r="F186" s="1"/>
      <c r="G186" s="1"/>
      <c r="H186" s="1"/>
      <c r="I186" s="1"/>
      <c r="J186" s="1"/>
      <c r="K186" s="1"/>
      <c r="L186" s="1"/>
      <c r="M186" s="1"/>
      <c r="N186" s="1"/>
      <c r="O186" s="1"/>
      <c r="P186" s="1"/>
      <c r="Q186" s="1"/>
      <c r="R186" s="1"/>
    </row>
    <row r="187" spans="1:18" ht="15" thickBot="1" x14ac:dyDescent="0.25">
      <c r="A187" s="2"/>
      <c r="B187" s="1"/>
      <c r="C187" s="1"/>
      <c r="D187" s="1"/>
      <c r="E187" s="1"/>
      <c r="F187" s="1"/>
      <c r="G187" s="1"/>
      <c r="H187" s="1"/>
      <c r="I187" s="1"/>
      <c r="J187" s="1"/>
      <c r="K187" s="1"/>
      <c r="L187" s="1"/>
      <c r="M187" s="1"/>
      <c r="N187" s="1"/>
      <c r="O187" s="1"/>
      <c r="P187" s="1"/>
      <c r="Q187" s="1"/>
      <c r="R187" s="1"/>
    </row>
    <row r="188" spans="1:18" ht="15" thickBot="1" x14ac:dyDescent="0.25">
      <c r="A188" s="2"/>
      <c r="B188" s="532" t="s">
        <v>1008</v>
      </c>
      <c r="C188" s="590">
        <v>1</v>
      </c>
      <c r="D188" s="591">
        <v>2</v>
      </c>
      <c r="E188" s="591">
        <v>3</v>
      </c>
      <c r="F188" s="591">
        <v>4</v>
      </c>
      <c r="G188" s="591">
        <v>5</v>
      </c>
      <c r="H188" s="591">
        <v>6</v>
      </c>
      <c r="I188" s="591">
        <v>7</v>
      </c>
      <c r="J188" s="591">
        <v>8</v>
      </c>
      <c r="K188" s="591">
        <v>9</v>
      </c>
      <c r="L188" s="591">
        <v>10</v>
      </c>
      <c r="M188" s="591">
        <v>11</v>
      </c>
      <c r="N188" s="592">
        <v>12</v>
      </c>
      <c r="O188" s="1"/>
      <c r="P188" s="1"/>
      <c r="Q188" s="1"/>
      <c r="R188" s="1"/>
    </row>
    <row r="189" spans="1:18" x14ac:dyDescent="0.2">
      <c r="A189" s="2"/>
      <c r="B189" s="5" t="s">
        <v>996</v>
      </c>
      <c r="C189" s="538">
        <v>1</v>
      </c>
      <c r="D189" s="539">
        <f>D174-0.25</f>
        <v>0.25</v>
      </c>
      <c r="E189" s="539">
        <f t="shared" ref="E189:F191" si="0">E174-0.25</f>
        <v>0.25</v>
      </c>
      <c r="F189" s="539">
        <f t="shared" si="0"/>
        <v>0</v>
      </c>
      <c r="G189" s="539">
        <f t="shared" ref="G189:H192" si="1">G174-0.25</f>
        <v>0.25</v>
      </c>
      <c r="H189" s="539">
        <f t="shared" si="1"/>
        <v>0</v>
      </c>
      <c r="I189" s="539">
        <f t="shared" ref="I189:J195" si="2">I174-0.25</f>
        <v>0.25</v>
      </c>
      <c r="J189" s="539">
        <f t="shared" si="2"/>
        <v>0</v>
      </c>
      <c r="K189" s="539">
        <f t="shared" ref="K189:N196" si="3">K174-0.25</f>
        <v>0.25</v>
      </c>
      <c r="L189" s="539">
        <f t="shared" si="3"/>
        <v>0</v>
      </c>
      <c r="M189" s="539">
        <f t="shared" si="3"/>
        <v>0</v>
      </c>
      <c r="N189" s="540">
        <f t="shared" si="3"/>
        <v>0</v>
      </c>
      <c r="O189" s="1"/>
      <c r="P189" s="1"/>
      <c r="Q189" s="1"/>
      <c r="R189" s="1"/>
    </row>
    <row r="190" spans="1:18" x14ac:dyDescent="0.2">
      <c r="A190" s="2"/>
      <c r="B190" s="593" t="s">
        <v>997</v>
      </c>
      <c r="C190" s="541">
        <f>C175-0.25</f>
        <v>0.25</v>
      </c>
      <c r="D190" s="542">
        <v>1</v>
      </c>
      <c r="E190" s="542">
        <f t="shared" si="0"/>
        <v>0</v>
      </c>
      <c r="F190" s="542">
        <f t="shared" si="0"/>
        <v>0</v>
      </c>
      <c r="G190" s="542">
        <f t="shared" si="1"/>
        <v>0</v>
      </c>
      <c r="H190" s="542">
        <f t="shared" si="1"/>
        <v>0</v>
      </c>
      <c r="I190" s="542">
        <f>I175-0.25</f>
        <v>0.25</v>
      </c>
      <c r="J190" s="542">
        <f t="shared" si="2"/>
        <v>0.25</v>
      </c>
      <c r="K190" s="542">
        <f t="shared" si="3"/>
        <v>0.25</v>
      </c>
      <c r="L190" s="542">
        <f t="shared" si="3"/>
        <v>0</v>
      </c>
      <c r="M190" s="542">
        <f t="shared" si="3"/>
        <v>0</v>
      </c>
      <c r="N190" s="543">
        <f t="shared" si="3"/>
        <v>0</v>
      </c>
      <c r="O190" s="1"/>
      <c r="P190" s="1"/>
      <c r="Q190" s="1"/>
      <c r="R190" s="1"/>
    </row>
    <row r="191" spans="1:18" x14ac:dyDescent="0.2">
      <c r="A191" s="2"/>
      <c r="B191" s="593" t="s">
        <v>998</v>
      </c>
      <c r="C191" s="541">
        <f t="shared" ref="C191:D200" si="4">C176-0.25</f>
        <v>0.25</v>
      </c>
      <c r="D191" s="542">
        <f t="shared" si="4"/>
        <v>0</v>
      </c>
      <c r="E191" s="542">
        <v>1</v>
      </c>
      <c r="F191" s="542">
        <f t="shared" si="0"/>
        <v>0</v>
      </c>
      <c r="G191" s="542">
        <f t="shared" si="1"/>
        <v>0</v>
      </c>
      <c r="H191" s="542">
        <f t="shared" si="1"/>
        <v>0</v>
      </c>
      <c r="I191" s="542">
        <f>I176-0.25</f>
        <v>0</v>
      </c>
      <c r="J191" s="542">
        <f t="shared" si="2"/>
        <v>0.25</v>
      </c>
      <c r="K191" s="542">
        <f t="shared" si="3"/>
        <v>0.25</v>
      </c>
      <c r="L191" s="542">
        <f t="shared" si="3"/>
        <v>0</v>
      </c>
      <c r="M191" s="542">
        <f t="shared" si="3"/>
        <v>0.25</v>
      </c>
      <c r="N191" s="543">
        <f t="shared" si="3"/>
        <v>0</v>
      </c>
      <c r="O191" s="1"/>
      <c r="P191" s="1"/>
      <c r="Q191" s="1"/>
      <c r="R191" s="1"/>
    </row>
    <row r="192" spans="1:18" x14ac:dyDescent="0.2">
      <c r="A192" s="2"/>
      <c r="B192" s="593" t="s">
        <v>999</v>
      </c>
      <c r="C192" s="541">
        <f t="shared" si="4"/>
        <v>0</v>
      </c>
      <c r="D192" s="542">
        <f t="shared" si="4"/>
        <v>0</v>
      </c>
      <c r="E192" s="542">
        <f t="shared" ref="E192:E200" si="5">E177-0.25</f>
        <v>0</v>
      </c>
      <c r="F192" s="542">
        <v>1</v>
      </c>
      <c r="G192" s="542">
        <f t="shared" si="1"/>
        <v>0</v>
      </c>
      <c r="H192" s="542">
        <f t="shared" si="1"/>
        <v>0</v>
      </c>
      <c r="I192" s="542">
        <f>I177-0.25</f>
        <v>0</v>
      </c>
      <c r="J192" s="542">
        <f t="shared" si="2"/>
        <v>0.25</v>
      </c>
      <c r="K192" s="542">
        <f t="shared" si="3"/>
        <v>0.25</v>
      </c>
      <c r="L192" s="542">
        <f t="shared" si="3"/>
        <v>0</v>
      </c>
      <c r="M192" s="542">
        <f t="shared" si="3"/>
        <v>0.25</v>
      </c>
      <c r="N192" s="543">
        <f t="shared" si="3"/>
        <v>0.25</v>
      </c>
      <c r="O192" s="1"/>
      <c r="P192" s="1"/>
      <c r="Q192" s="1"/>
      <c r="R192" s="1"/>
    </row>
    <row r="193" spans="1:18" x14ac:dyDescent="0.2">
      <c r="A193" s="2"/>
      <c r="B193" s="593" t="s">
        <v>1000</v>
      </c>
      <c r="C193" s="541">
        <f t="shared" si="4"/>
        <v>0.25</v>
      </c>
      <c r="D193" s="542">
        <f t="shared" si="4"/>
        <v>0</v>
      </c>
      <c r="E193" s="542">
        <f t="shared" si="5"/>
        <v>0</v>
      </c>
      <c r="F193" s="542">
        <f>F178-0.25</f>
        <v>0</v>
      </c>
      <c r="G193" s="542">
        <v>1</v>
      </c>
      <c r="H193" s="542">
        <f>H178-0.25</f>
        <v>0.25</v>
      </c>
      <c r="I193" s="542">
        <f>I178-0.25</f>
        <v>0.25</v>
      </c>
      <c r="J193" s="542">
        <f t="shared" si="2"/>
        <v>0</v>
      </c>
      <c r="K193" s="542">
        <f t="shared" si="3"/>
        <v>0.25</v>
      </c>
      <c r="L193" s="542">
        <f t="shared" si="3"/>
        <v>0.25</v>
      </c>
      <c r="M193" s="542">
        <f t="shared" si="3"/>
        <v>0</v>
      </c>
      <c r="N193" s="543">
        <f t="shared" si="3"/>
        <v>0</v>
      </c>
      <c r="O193" s="1"/>
      <c r="P193" s="1"/>
      <c r="Q193" s="1"/>
      <c r="R193" s="1"/>
    </row>
    <row r="194" spans="1:18" x14ac:dyDescent="0.2">
      <c r="A194" s="2"/>
      <c r="B194" s="593" t="s">
        <v>1001</v>
      </c>
      <c r="C194" s="541">
        <f t="shared" si="4"/>
        <v>0</v>
      </c>
      <c r="D194" s="542">
        <f t="shared" si="4"/>
        <v>0</v>
      </c>
      <c r="E194" s="542">
        <f t="shared" si="5"/>
        <v>0</v>
      </c>
      <c r="F194" s="542">
        <f t="shared" ref="F194:M200" si="6">F179-0.25</f>
        <v>0</v>
      </c>
      <c r="G194" s="542">
        <f t="shared" si="6"/>
        <v>0.25</v>
      </c>
      <c r="H194" s="542">
        <v>1</v>
      </c>
      <c r="I194" s="542">
        <f>I179-0.25</f>
        <v>0.25</v>
      </c>
      <c r="J194" s="542">
        <f t="shared" si="2"/>
        <v>0</v>
      </c>
      <c r="K194" s="542">
        <f t="shared" si="3"/>
        <v>0.25</v>
      </c>
      <c r="L194" s="542">
        <f t="shared" si="3"/>
        <v>0.25</v>
      </c>
      <c r="M194" s="542">
        <f t="shared" si="3"/>
        <v>0</v>
      </c>
      <c r="N194" s="543">
        <f t="shared" si="3"/>
        <v>0</v>
      </c>
      <c r="O194" s="1"/>
      <c r="P194" s="1"/>
      <c r="Q194" s="1"/>
      <c r="R194" s="1"/>
    </row>
    <row r="195" spans="1:18" x14ac:dyDescent="0.2">
      <c r="A195" s="2"/>
      <c r="B195" s="593" t="s">
        <v>1002</v>
      </c>
      <c r="C195" s="541">
        <f t="shared" si="4"/>
        <v>0.25</v>
      </c>
      <c r="D195" s="542">
        <f t="shared" si="4"/>
        <v>0.25</v>
      </c>
      <c r="E195" s="542">
        <f t="shared" si="5"/>
        <v>0</v>
      </c>
      <c r="F195" s="542">
        <f t="shared" ref="F195:F200" si="7">F180-0.25</f>
        <v>0</v>
      </c>
      <c r="G195" s="542">
        <f t="shared" si="6"/>
        <v>0.25</v>
      </c>
      <c r="H195" s="542">
        <f t="shared" si="6"/>
        <v>0.25</v>
      </c>
      <c r="I195" s="542">
        <v>1</v>
      </c>
      <c r="J195" s="542">
        <f t="shared" si="2"/>
        <v>0</v>
      </c>
      <c r="K195" s="542">
        <f t="shared" si="3"/>
        <v>0.25</v>
      </c>
      <c r="L195" s="542">
        <f t="shared" si="3"/>
        <v>0.25</v>
      </c>
      <c r="M195" s="542">
        <f t="shared" si="3"/>
        <v>0</v>
      </c>
      <c r="N195" s="543">
        <f t="shared" si="3"/>
        <v>0</v>
      </c>
      <c r="O195" s="1"/>
      <c r="P195" s="1"/>
      <c r="Q195" s="1"/>
      <c r="R195" s="1"/>
    </row>
    <row r="196" spans="1:18" x14ac:dyDescent="0.2">
      <c r="A196" s="2"/>
      <c r="B196" s="593" t="s">
        <v>1003</v>
      </c>
      <c r="C196" s="541">
        <f t="shared" si="4"/>
        <v>0</v>
      </c>
      <c r="D196" s="542">
        <f t="shared" si="4"/>
        <v>0.25</v>
      </c>
      <c r="E196" s="542">
        <f t="shared" si="5"/>
        <v>0.25</v>
      </c>
      <c r="F196" s="542">
        <f t="shared" si="7"/>
        <v>0.25</v>
      </c>
      <c r="G196" s="542">
        <f t="shared" si="6"/>
        <v>0</v>
      </c>
      <c r="H196" s="542">
        <f t="shared" si="6"/>
        <v>0</v>
      </c>
      <c r="I196" s="542">
        <f t="shared" si="6"/>
        <v>0</v>
      </c>
      <c r="J196" s="542">
        <v>1</v>
      </c>
      <c r="K196" s="542">
        <f t="shared" si="3"/>
        <v>0.25</v>
      </c>
      <c r="L196" s="542">
        <f t="shared" si="3"/>
        <v>0</v>
      </c>
      <c r="M196" s="542">
        <f t="shared" si="3"/>
        <v>0</v>
      </c>
      <c r="N196" s="543">
        <f t="shared" si="3"/>
        <v>0.25</v>
      </c>
      <c r="O196" s="1"/>
      <c r="P196" s="1"/>
      <c r="Q196" s="1"/>
      <c r="R196" s="1"/>
    </row>
    <row r="197" spans="1:18" x14ac:dyDescent="0.2">
      <c r="A197" s="2"/>
      <c r="B197" s="593" t="s">
        <v>1004</v>
      </c>
      <c r="C197" s="541">
        <f t="shared" si="4"/>
        <v>0.25</v>
      </c>
      <c r="D197" s="542">
        <f t="shared" si="4"/>
        <v>0.25</v>
      </c>
      <c r="E197" s="542">
        <f t="shared" si="5"/>
        <v>0.25</v>
      </c>
      <c r="F197" s="542">
        <f t="shared" si="7"/>
        <v>0.25</v>
      </c>
      <c r="G197" s="542">
        <f t="shared" si="6"/>
        <v>0.25</v>
      </c>
      <c r="H197" s="542">
        <f t="shared" si="6"/>
        <v>0.25</v>
      </c>
      <c r="I197" s="542">
        <f t="shared" si="6"/>
        <v>0.25</v>
      </c>
      <c r="J197" s="542">
        <f t="shared" si="6"/>
        <v>0.25</v>
      </c>
      <c r="K197" s="542">
        <v>1</v>
      </c>
      <c r="L197" s="542">
        <f>L182-0.25</f>
        <v>0</v>
      </c>
      <c r="M197" s="542">
        <f>M182-0.25</f>
        <v>0.25</v>
      </c>
      <c r="N197" s="543">
        <f>N182-0.25</f>
        <v>0</v>
      </c>
      <c r="O197" s="1"/>
      <c r="P197" s="1"/>
      <c r="Q197" s="1"/>
      <c r="R197" s="1"/>
    </row>
    <row r="198" spans="1:18" x14ac:dyDescent="0.2">
      <c r="A198" s="2"/>
      <c r="B198" s="593" t="s">
        <v>1005</v>
      </c>
      <c r="C198" s="541">
        <f t="shared" si="4"/>
        <v>0</v>
      </c>
      <c r="D198" s="542">
        <f t="shared" si="4"/>
        <v>0</v>
      </c>
      <c r="E198" s="542">
        <f t="shared" si="5"/>
        <v>0</v>
      </c>
      <c r="F198" s="542">
        <f t="shared" si="7"/>
        <v>0</v>
      </c>
      <c r="G198" s="542">
        <f t="shared" si="6"/>
        <v>0.25</v>
      </c>
      <c r="H198" s="542">
        <f t="shared" si="6"/>
        <v>0.25</v>
      </c>
      <c r="I198" s="542">
        <f t="shared" si="6"/>
        <v>0.25</v>
      </c>
      <c r="J198" s="542">
        <f t="shared" si="6"/>
        <v>0</v>
      </c>
      <c r="K198" s="542">
        <f t="shared" si="6"/>
        <v>0</v>
      </c>
      <c r="L198" s="542">
        <v>1</v>
      </c>
      <c r="M198" s="542">
        <f>M183-0.25</f>
        <v>0</v>
      </c>
      <c r="N198" s="543">
        <f>N183-0.25</f>
        <v>0</v>
      </c>
      <c r="O198" s="1"/>
      <c r="P198" s="1"/>
      <c r="Q198" s="1"/>
      <c r="R198" s="1"/>
    </row>
    <row r="199" spans="1:18" x14ac:dyDescent="0.2">
      <c r="A199" s="2"/>
      <c r="B199" s="593" t="s">
        <v>1006</v>
      </c>
      <c r="C199" s="541">
        <f t="shared" si="4"/>
        <v>0</v>
      </c>
      <c r="D199" s="542">
        <f t="shared" si="4"/>
        <v>0</v>
      </c>
      <c r="E199" s="542">
        <f t="shared" si="5"/>
        <v>0.25</v>
      </c>
      <c r="F199" s="542">
        <f t="shared" si="7"/>
        <v>0.25</v>
      </c>
      <c r="G199" s="542">
        <f t="shared" si="6"/>
        <v>0</v>
      </c>
      <c r="H199" s="542">
        <f t="shared" si="6"/>
        <v>0</v>
      </c>
      <c r="I199" s="542">
        <f t="shared" si="6"/>
        <v>0</v>
      </c>
      <c r="J199" s="542">
        <f t="shared" si="6"/>
        <v>0</v>
      </c>
      <c r="K199" s="542">
        <f t="shared" si="6"/>
        <v>0.25</v>
      </c>
      <c r="L199" s="542">
        <f t="shared" si="6"/>
        <v>0</v>
      </c>
      <c r="M199" s="542">
        <v>1</v>
      </c>
      <c r="N199" s="543">
        <f>N184-0.25</f>
        <v>0</v>
      </c>
      <c r="O199" s="1"/>
      <c r="P199" s="1"/>
      <c r="Q199" s="1"/>
      <c r="R199" s="1"/>
    </row>
    <row r="200" spans="1:18" ht="15" thickBot="1" x14ac:dyDescent="0.25">
      <c r="A200" s="2"/>
      <c r="B200" s="594" t="s">
        <v>1007</v>
      </c>
      <c r="C200" s="544">
        <f t="shared" si="4"/>
        <v>0</v>
      </c>
      <c r="D200" s="545">
        <f t="shared" si="4"/>
        <v>0</v>
      </c>
      <c r="E200" s="545">
        <f t="shared" si="5"/>
        <v>0</v>
      </c>
      <c r="F200" s="545">
        <f t="shared" si="7"/>
        <v>0.25</v>
      </c>
      <c r="G200" s="545">
        <f t="shared" si="6"/>
        <v>0</v>
      </c>
      <c r="H200" s="545">
        <f t="shared" si="6"/>
        <v>0</v>
      </c>
      <c r="I200" s="545">
        <f t="shared" si="6"/>
        <v>0</v>
      </c>
      <c r="J200" s="545">
        <f t="shared" si="6"/>
        <v>0.25</v>
      </c>
      <c r="K200" s="545">
        <f t="shared" si="6"/>
        <v>0</v>
      </c>
      <c r="L200" s="545">
        <f t="shared" si="6"/>
        <v>0</v>
      </c>
      <c r="M200" s="545">
        <f t="shared" si="6"/>
        <v>0</v>
      </c>
      <c r="N200" s="546">
        <v>1</v>
      </c>
      <c r="O200" s="1"/>
      <c r="P200" s="1"/>
      <c r="Q200" s="1"/>
      <c r="R200" s="1"/>
    </row>
    <row r="201" spans="1:18" x14ac:dyDescent="0.2">
      <c r="A201" s="2"/>
      <c r="B201" s="1"/>
      <c r="C201" s="1"/>
      <c r="D201" s="1"/>
      <c r="E201" s="1"/>
      <c r="F201" s="1"/>
      <c r="G201" s="1"/>
      <c r="H201" s="1"/>
      <c r="I201" s="1"/>
      <c r="J201" s="1"/>
      <c r="K201" s="1"/>
      <c r="L201" s="1"/>
      <c r="M201" s="1"/>
      <c r="N201" s="1"/>
      <c r="O201" s="1"/>
      <c r="P201" s="1"/>
      <c r="Q201" s="1"/>
      <c r="R201" s="1"/>
    </row>
    <row r="202" spans="1:18" x14ac:dyDescent="0.2">
      <c r="A202" s="2"/>
      <c r="B202" s="1"/>
      <c r="C202" s="1"/>
      <c r="D202" s="1"/>
      <c r="E202" s="1"/>
      <c r="F202" s="1"/>
      <c r="G202" s="1"/>
      <c r="H202" s="1"/>
      <c r="I202" s="1"/>
      <c r="J202" s="1"/>
      <c r="K202" s="1"/>
      <c r="L202" s="1"/>
      <c r="M202" s="1"/>
      <c r="N202" s="1"/>
      <c r="O202" s="1"/>
      <c r="P202" s="1"/>
      <c r="Q202" s="1"/>
      <c r="R202" s="1"/>
    </row>
    <row r="203" spans="1:18" ht="15" hidden="1" thickBot="1" x14ac:dyDescent="0.25">
      <c r="A203" s="2"/>
      <c r="B203" s="573" t="s">
        <v>1009</v>
      </c>
      <c r="C203" s="574" t="s">
        <v>1010</v>
      </c>
      <c r="D203" s="575" t="s">
        <v>1011</v>
      </c>
      <c r="E203" s="575" t="s">
        <v>1012</v>
      </c>
      <c r="F203" s="576" t="s">
        <v>340</v>
      </c>
      <c r="G203" s="1"/>
      <c r="H203" s="1"/>
      <c r="I203" s="1"/>
      <c r="J203" s="1"/>
      <c r="K203" s="1"/>
      <c r="L203" s="1"/>
      <c r="M203" s="1"/>
      <c r="N203" s="1"/>
      <c r="O203" s="1"/>
      <c r="P203" s="1"/>
      <c r="Q203" s="1"/>
      <c r="R203" s="1"/>
    </row>
    <row r="204" spans="1:18" hidden="1" x14ac:dyDescent="0.2">
      <c r="A204" s="2"/>
      <c r="B204" s="578" t="s">
        <v>1010</v>
      </c>
      <c r="C204" s="579">
        <v>1</v>
      </c>
      <c r="D204" s="580">
        <f t="array" ref="D204:F204">TRANSPOSE(C205:C$207)</f>
        <v>1</v>
      </c>
      <c r="E204" s="580">
        <v>0</v>
      </c>
      <c r="F204" s="581">
        <v>0</v>
      </c>
      <c r="G204" s="1"/>
      <c r="H204" s="1"/>
      <c r="I204" s="1"/>
      <c r="J204" s="1"/>
      <c r="K204" s="1"/>
      <c r="L204" s="1"/>
      <c r="M204" s="1"/>
      <c r="N204" s="1"/>
      <c r="O204" s="1"/>
      <c r="P204" s="1"/>
      <c r="Q204" s="1"/>
      <c r="R204" s="1"/>
    </row>
    <row r="205" spans="1:18" hidden="1" x14ac:dyDescent="0.2">
      <c r="A205" s="2"/>
      <c r="B205" s="582" t="s">
        <v>1011</v>
      </c>
      <c r="C205" s="583">
        <v>1</v>
      </c>
      <c r="D205" s="584">
        <v>1</v>
      </c>
      <c r="E205" s="584">
        <f t="array" ref="E205:F205">TRANSPOSE(D206:D$207)</f>
        <v>0</v>
      </c>
      <c r="F205" s="585">
        <v>0</v>
      </c>
      <c r="G205" s="1"/>
      <c r="H205" s="1"/>
      <c r="I205" s="1"/>
      <c r="J205" s="1"/>
      <c r="K205" s="1"/>
      <c r="L205" s="1"/>
      <c r="M205" s="1"/>
      <c r="N205" s="1"/>
      <c r="O205" s="1"/>
      <c r="P205" s="1"/>
      <c r="Q205" s="1"/>
      <c r="R205" s="1"/>
    </row>
    <row r="206" spans="1:18" hidden="1" x14ac:dyDescent="0.2">
      <c r="A206" s="2"/>
      <c r="B206" s="582" t="s">
        <v>1012</v>
      </c>
      <c r="C206" s="583">
        <v>0</v>
      </c>
      <c r="D206" s="584">
        <v>0</v>
      </c>
      <c r="E206" s="584">
        <v>1</v>
      </c>
      <c r="F206" s="585">
        <f t="array" ref="F206">TRANSPOSE(E207:E$207)</f>
        <v>0</v>
      </c>
      <c r="G206" s="1"/>
      <c r="H206" s="1"/>
      <c r="I206" s="1"/>
      <c r="J206" s="1"/>
      <c r="K206" s="1"/>
      <c r="L206" s="1"/>
      <c r="M206" s="1"/>
      <c r="N206" s="1"/>
      <c r="O206" s="1"/>
      <c r="P206" s="1"/>
      <c r="Q206" s="1"/>
      <c r="R206" s="1"/>
    </row>
    <row r="207" spans="1:18" ht="15" hidden="1" thickBot="1" x14ac:dyDescent="0.25">
      <c r="A207" s="2"/>
      <c r="B207" s="586" t="s">
        <v>340</v>
      </c>
      <c r="C207" s="587">
        <v>0</v>
      </c>
      <c r="D207" s="588">
        <v>0</v>
      </c>
      <c r="E207" s="588">
        <v>0</v>
      </c>
      <c r="F207" s="589">
        <v>1</v>
      </c>
      <c r="G207" s="1"/>
      <c r="H207" s="1"/>
      <c r="I207" s="1"/>
      <c r="J207" s="1"/>
      <c r="K207" s="1"/>
      <c r="L207" s="1"/>
      <c r="M207" s="1"/>
      <c r="N207" s="1"/>
      <c r="O207" s="1"/>
      <c r="P207" s="1"/>
      <c r="Q207" s="1"/>
      <c r="R207" s="1"/>
    </row>
    <row r="208" spans="1:18" hidden="1" x14ac:dyDescent="0.2">
      <c r="A208" s="2"/>
      <c r="B208" s="1"/>
      <c r="C208" s="1"/>
      <c r="D208" s="1"/>
      <c r="E208" s="1"/>
      <c r="F208" s="1"/>
      <c r="G208" s="1"/>
      <c r="H208" s="1"/>
      <c r="I208" s="1"/>
      <c r="J208" s="1"/>
      <c r="K208" s="1"/>
      <c r="L208" s="1"/>
      <c r="M208" s="1"/>
      <c r="N208" s="1"/>
      <c r="O208" s="1"/>
      <c r="P208" s="1"/>
      <c r="Q208" s="1"/>
      <c r="R208" s="1"/>
    </row>
    <row r="209" spans="1:18" hidden="1" x14ac:dyDescent="0.2">
      <c r="A209" s="2"/>
      <c r="B209" s="1"/>
      <c r="C209" s="1"/>
      <c r="D209" s="1"/>
      <c r="E209" s="1"/>
      <c r="F209" s="1"/>
      <c r="G209" s="1"/>
      <c r="H209" s="1"/>
      <c r="I209" s="1"/>
      <c r="J209" s="1"/>
      <c r="K209" s="1"/>
      <c r="L209" s="1"/>
      <c r="M209" s="1"/>
      <c r="N209" s="1"/>
      <c r="O209" s="1"/>
      <c r="P209" s="1"/>
      <c r="Q209" s="1"/>
      <c r="R209" s="1"/>
    </row>
    <row r="210" spans="1:18" ht="15" hidden="1" thickBot="1" x14ac:dyDescent="0.25">
      <c r="A210" s="2"/>
      <c r="B210" s="573" t="s">
        <v>1013</v>
      </c>
      <c r="C210" s="574" t="s">
        <v>1010</v>
      </c>
      <c r="D210" s="575" t="s">
        <v>1011</v>
      </c>
      <c r="E210" s="575" t="s">
        <v>1012</v>
      </c>
      <c r="F210" s="576" t="s">
        <v>340</v>
      </c>
      <c r="G210" s="1"/>
      <c r="H210" s="1"/>
      <c r="I210" s="1"/>
      <c r="J210" s="1"/>
      <c r="K210" s="1"/>
      <c r="L210" s="1"/>
      <c r="M210" s="1"/>
      <c r="N210" s="1"/>
      <c r="O210" s="1"/>
      <c r="P210" s="1"/>
      <c r="Q210" s="1"/>
      <c r="R210" s="1"/>
    </row>
    <row r="211" spans="1:18" hidden="1" x14ac:dyDescent="0.2">
      <c r="A211" s="2"/>
      <c r="B211" s="578" t="s">
        <v>1010</v>
      </c>
      <c r="C211" s="579">
        <v>1</v>
      </c>
      <c r="D211" s="580">
        <f t="array" ref="D211:F211">TRANSPOSE(C$212:C214)</f>
        <v>0.75</v>
      </c>
      <c r="E211" s="580">
        <v>0</v>
      </c>
      <c r="F211" s="581">
        <v>0</v>
      </c>
      <c r="G211" s="1"/>
      <c r="H211" s="1"/>
      <c r="I211" s="1"/>
      <c r="J211" s="1"/>
      <c r="K211" s="1"/>
      <c r="L211" s="1"/>
      <c r="M211" s="1"/>
      <c r="N211" s="1"/>
      <c r="O211" s="1"/>
      <c r="P211" s="1"/>
      <c r="Q211" s="1"/>
      <c r="R211" s="1"/>
    </row>
    <row r="212" spans="1:18" hidden="1" x14ac:dyDescent="0.2">
      <c r="A212" s="2"/>
      <c r="B212" s="582" t="s">
        <v>1011</v>
      </c>
      <c r="C212" s="583">
        <v>0.75</v>
      </c>
      <c r="D212" s="584">
        <v>1</v>
      </c>
      <c r="E212" s="584">
        <f t="array" ref="E212:F212">TRANSPOSE(D$213:D214)</f>
        <v>0</v>
      </c>
      <c r="F212" s="585">
        <v>0</v>
      </c>
      <c r="G212" s="1"/>
      <c r="H212" s="1"/>
      <c r="I212" s="1"/>
      <c r="J212" s="1"/>
      <c r="K212" s="1"/>
      <c r="L212" s="1"/>
      <c r="M212" s="1"/>
      <c r="N212" s="1"/>
      <c r="O212" s="1"/>
      <c r="P212" s="1"/>
      <c r="Q212" s="1"/>
      <c r="R212" s="1"/>
    </row>
    <row r="213" spans="1:18" hidden="1" x14ac:dyDescent="0.2">
      <c r="A213" s="2"/>
      <c r="B213" s="582" t="s">
        <v>1012</v>
      </c>
      <c r="C213" s="583">
        <v>0</v>
      </c>
      <c r="D213" s="584">
        <v>0</v>
      </c>
      <c r="E213" s="584">
        <v>1</v>
      </c>
      <c r="F213" s="585">
        <f>E214</f>
        <v>0</v>
      </c>
      <c r="G213" s="1"/>
      <c r="H213" s="1"/>
      <c r="I213" s="1"/>
      <c r="J213" s="1"/>
      <c r="K213" s="1"/>
      <c r="L213" s="1"/>
      <c r="M213" s="1"/>
      <c r="N213" s="1"/>
      <c r="O213" s="1"/>
      <c r="P213" s="1"/>
      <c r="Q213" s="1"/>
      <c r="R213" s="1"/>
    </row>
    <row r="214" spans="1:18" ht="15" hidden="1" thickBot="1" x14ac:dyDescent="0.25">
      <c r="A214" s="2"/>
      <c r="B214" s="586" t="s">
        <v>340</v>
      </c>
      <c r="C214" s="587">
        <v>0</v>
      </c>
      <c r="D214" s="588">
        <v>0</v>
      </c>
      <c r="E214" s="588">
        <v>0</v>
      </c>
      <c r="F214" s="589">
        <v>1</v>
      </c>
      <c r="G214" s="1"/>
      <c r="H214" s="1"/>
      <c r="I214" s="1"/>
      <c r="J214" s="1"/>
      <c r="K214" s="1"/>
      <c r="L214" s="1"/>
      <c r="M214" s="1"/>
      <c r="N214" s="1"/>
      <c r="O214" s="1"/>
      <c r="P214" s="1"/>
      <c r="Q214" s="1"/>
      <c r="R214" s="1"/>
    </row>
    <row r="215" spans="1:18" hidden="1" x14ac:dyDescent="0.2">
      <c r="A215" s="2"/>
      <c r="B215" s="595"/>
      <c r="C215" s="542"/>
      <c r="D215" s="542"/>
      <c r="E215" s="542"/>
      <c r="F215" s="542"/>
      <c r="G215" s="1"/>
      <c r="H215" s="1"/>
      <c r="I215" s="1"/>
      <c r="J215" s="1"/>
      <c r="K215" s="1"/>
      <c r="L215" s="1"/>
      <c r="M215" s="1"/>
      <c r="N215" s="1"/>
      <c r="O215" s="1"/>
      <c r="P215" s="1"/>
      <c r="Q215" s="1"/>
      <c r="R215" s="1"/>
    </row>
    <row r="216" spans="1:18" hidden="1" x14ac:dyDescent="0.2">
      <c r="A216" s="2"/>
      <c r="B216" s="1"/>
      <c r="C216" s="1"/>
      <c r="D216" s="1"/>
      <c r="E216" s="1"/>
      <c r="F216" s="1"/>
      <c r="G216" s="1"/>
      <c r="H216" s="1"/>
      <c r="I216" s="1"/>
      <c r="J216" s="1"/>
      <c r="K216" s="1"/>
      <c r="L216" s="1"/>
      <c r="M216" s="1"/>
      <c r="N216" s="1"/>
      <c r="O216" s="1"/>
      <c r="P216" s="1"/>
      <c r="Q216" s="1"/>
      <c r="R216" s="1"/>
    </row>
    <row r="217" spans="1:18" ht="15" hidden="1" thickBot="1" x14ac:dyDescent="0.25">
      <c r="A217" s="2"/>
      <c r="B217" s="573" t="s">
        <v>1014</v>
      </c>
      <c r="C217" s="574">
        <v>1</v>
      </c>
      <c r="D217" s="575">
        <v>2</v>
      </c>
      <c r="E217" s="575">
        <v>3</v>
      </c>
      <c r="F217" s="575">
        <v>4</v>
      </c>
      <c r="G217" s="576">
        <v>5</v>
      </c>
      <c r="H217" s="1"/>
      <c r="I217" s="1"/>
      <c r="J217" s="1"/>
      <c r="K217" s="1"/>
      <c r="L217" s="1"/>
      <c r="M217" s="1"/>
      <c r="N217" s="1"/>
      <c r="O217" s="1"/>
      <c r="P217" s="1"/>
      <c r="Q217" s="1"/>
      <c r="R217" s="1"/>
    </row>
    <row r="218" spans="1:18" hidden="1" x14ac:dyDescent="0.2">
      <c r="A218" s="2"/>
      <c r="B218" s="578" t="s">
        <v>1015</v>
      </c>
      <c r="C218" s="579">
        <v>1</v>
      </c>
      <c r="D218" s="580">
        <f t="array" ref="D218:G218">TRANSPOSE(C219:C$222)</f>
        <v>0</v>
      </c>
      <c r="E218" s="580">
        <v>0.5</v>
      </c>
      <c r="F218" s="580">
        <v>0.25</v>
      </c>
      <c r="G218" s="581">
        <v>0.5</v>
      </c>
      <c r="H218" s="1"/>
      <c r="I218" s="1"/>
      <c r="J218" s="1"/>
      <c r="K218" s="1"/>
      <c r="L218" s="1"/>
      <c r="M218" s="1"/>
      <c r="N218" s="1"/>
      <c r="O218" s="1"/>
      <c r="P218" s="1"/>
      <c r="Q218" s="1"/>
      <c r="R218" s="1"/>
    </row>
    <row r="219" spans="1:18" hidden="1" x14ac:dyDescent="0.2">
      <c r="A219" s="2"/>
      <c r="B219" s="582" t="s">
        <v>1016</v>
      </c>
      <c r="C219" s="583">
        <v>0</v>
      </c>
      <c r="D219" s="584">
        <v>1</v>
      </c>
      <c r="E219" s="584">
        <f t="array" ref="E219:G219">TRANSPOSE(D220:D$222)</f>
        <v>0</v>
      </c>
      <c r="F219" s="584">
        <v>0.25</v>
      </c>
      <c r="G219" s="585">
        <v>0.5</v>
      </c>
      <c r="H219" s="1"/>
      <c r="I219" s="1"/>
      <c r="J219" s="1"/>
      <c r="K219" s="1"/>
      <c r="L219" s="1"/>
      <c r="M219" s="1"/>
      <c r="N219" s="1"/>
      <c r="O219" s="1"/>
      <c r="P219" s="1"/>
      <c r="Q219" s="1"/>
      <c r="R219" s="1"/>
    </row>
    <row r="220" spans="1:18" hidden="1" x14ac:dyDescent="0.2">
      <c r="A220" s="2"/>
      <c r="B220" s="582" t="s">
        <v>1017</v>
      </c>
      <c r="C220" s="583">
        <v>0.5</v>
      </c>
      <c r="D220" s="584">
        <v>0</v>
      </c>
      <c r="E220" s="584">
        <v>1</v>
      </c>
      <c r="F220" s="584">
        <f t="array" ref="F220:G220">TRANSPOSE(E221:E$222)</f>
        <v>0.25</v>
      </c>
      <c r="G220" s="585">
        <v>0.5</v>
      </c>
      <c r="H220" s="1"/>
      <c r="I220" s="1"/>
      <c r="J220" s="1"/>
      <c r="K220" s="1"/>
      <c r="L220" s="1"/>
      <c r="M220" s="1"/>
      <c r="N220" s="1"/>
      <c r="O220" s="1"/>
      <c r="P220" s="1"/>
      <c r="Q220" s="1"/>
      <c r="R220" s="1"/>
    </row>
    <row r="221" spans="1:18" hidden="1" x14ac:dyDescent="0.2">
      <c r="A221" s="2"/>
      <c r="B221" s="582" t="s">
        <v>1018</v>
      </c>
      <c r="C221" s="583">
        <v>0.25</v>
      </c>
      <c r="D221" s="584">
        <v>0.25</v>
      </c>
      <c r="E221" s="584">
        <v>0.25</v>
      </c>
      <c r="F221" s="584">
        <v>1</v>
      </c>
      <c r="G221" s="585">
        <f t="array" ref="G221">TRANSPOSE(F222:F$222)</f>
        <v>0.5</v>
      </c>
      <c r="H221" s="1"/>
      <c r="I221" s="1"/>
      <c r="J221" s="1"/>
      <c r="K221" s="1"/>
      <c r="L221" s="1"/>
      <c r="M221" s="1"/>
      <c r="N221" s="1"/>
      <c r="O221" s="1"/>
      <c r="P221" s="1"/>
      <c r="Q221" s="1"/>
      <c r="R221" s="1"/>
    </row>
    <row r="222" spans="1:18" ht="15" hidden="1" thickBot="1" x14ac:dyDescent="0.25">
      <c r="A222" s="2"/>
      <c r="B222" s="586" t="s">
        <v>1019</v>
      </c>
      <c r="C222" s="587">
        <v>0.5</v>
      </c>
      <c r="D222" s="588">
        <v>0.5</v>
      </c>
      <c r="E222" s="588">
        <v>0.5</v>
      </c>
      <c r="F222" s="588">
        <v>0.5</v>
      </c>
      <c r="G222" s="589">
        <v>1</v>
      </c>
      <c r="H222" s="1"/>
      <c r="I222" s="1"/>
      <c r="J222" s="1"/>
      <c r="K222" s="1"/>
      <c r="L222" s="1"/>
      <c r="M222" s="1"/>
      <c r="N222" s="1"/>
      <c r="O222" s="1"/>
      <c r="P222" s="1"/>
      <c r="Q222" s="1"/>
      <c r="R222" s="1"/>
    </row>
    <row r="223" spans="1:18" hidden="1" x14ac:dyDescent="0.2">
      <c r="A223" s="2"/>
      <c r="B223" s="1"/>
      <c r="C223" s="1"/>
      <c r="D223" s="1"/>
      <c r="E223" s="1"/>
      <c r="F223" s="1"/>
      <c r="G223" s="1"/>
      <c r="H223" s="1"/>
      <c r="I223" s="1"/>
      <c r="J223" s="1"/>
      <c r="K223" s="1"/>
      <c r="L223" s="1"/>
      <c r="M223" s="1"/>
      <c r="N223" s="1"/>
      <c r="O223" s="1"/>
      <c r="P223" s="1"/>
      <c r="Q223" s="1"/>
      <c r="R223" s="1"/>
    </row>
    <row r="224" spans="1:18" hidden="1" x14ac:dyDescent="0.2">
      <c r="A224" s="2"/>
      <c r="B224" s="1"/>
      <c r="C224" s="1"/>
      <c r="D224" s="1"/>
      <c r="E224" s="1"/>
      <c r="F224" s="1"/>
      <c r="G224" s="1"/>
      <c r="H224" s="1"/>
      <c r="I224" s="1"/>
      <c r="J224" s="1"/>
      <c r="K224" s="1"/>
      <c r="L224" s="1"/>
      <c r="M224" s="1"/>
      <c r="N224" s="1"/>
      <c r="O224" s="1"/>
      <c r="P224" s="1"/>
      <c r="Q224" s="1"/>
      <c r="R224" s="1"/>
    </row>
    <row r="225" spans="1:18" ht="15" hidden="1" thickBot="1" x14ac:dyDescent="0.25">
      <c r="A225" s="2"/>
      <c r="B225" s="573" t="s">
        <v>1020</v>
      </c>
      <c r="C225" s="574">
        <v>1</v>
      </c>
      <c r="D225" s="575">
        <v>2</v>
      </c>
      <c r="E225" s="575">
        <v>3</v>
      </c>
      <c r="F225" s="575">
        <v>4</v>
      </c>
      <c r="G225" s="576">
        <v>5</v>
      </c>
      <c r="H225" s="1"/>
      <c r="I225" s="1"/>
      <c r="J225" s="1"/>
      <c r="K225" s="1"/>
      <c r="L225" s="1"/>
      <c r="M225" s="1"/>
      <c r="N225" s="1"/>
      <c r="O225" s="1"/>
      <c r="P225" s="1"/>
      <c r="Q225" s="1"/>
      <c r="R225" s="1"/>
    </row>
    <row r="226" spans="1:18" hidden="1" x14ac:dyDescent="0.2">
      <c r="A226" s="2"/>
      <c r="B226" s="578" t="s">
        <v>1015</v>
      </c>
      <c r="C226" s="579">
        <v>1</v>
      </c>
      <c r="D226" s="580">
        <v>0</v>
      </c>
      <c r="E226" s="580">
        <v>0.25</v>
      </c>
      <c r="F226" s="580">
        <v>0</v>
      </c>
      <c r="G226" s="581">
        <v>0.25</v>
      </c>
      <c r="H226" s="1"/>
      <c r="I226" s="1"/>
      <c r="J226" s="1"/>
      <c r="K226" s="1"/>
      <c r="L226" s="1"/>
      <c r="M226" s="1"/>
      <c r="N226" s="1"/>
      <c r="O226" s="1"/>
      <c r="P226" s="1"/>
      <c r="Q226" s="1"/>
      <c r="R226" s="1"/>
    </row>
    <row r="227" spans="1:18" hidden="1" x14ac:dyDescent="0.2">
      <c r="A227" s="2"/>
      <c r="B227" s="582" t="s">
        <v>1016</v>
      </c>
      <c r="C227" s="583">
        <v>0</v>
      </c>
      <c r="D227" s="584">
        <v>1</v>
      </c>
      <c r="E227" s="584">
        <v>0</v>
      </c>
      <c r="F227" s="584">
        <v>0</v>
      </c>
      <c r="G227" s="585">
        <v>0.25</v>
      </c>
      <c r="H227" s="1"/>
      <c r="I227" s="1"/>
      <c r="J227" s="1"/>
      <c r="K227" s="1"/>
      <c r="L227" s="1"/>
      <c r="M227" s="1"/>
      <c r="N227" s="1"/>
      <c r="O227" s="1"/>
      <c r="P227" s="1"/>
      <c r="Q227" s="1"/>
      <c r="R227" s="1"/>
    </row>
    <row r="228" spans="1:18" hidden="1" x14ac:dyDescent="0.2">
      <c r="A228" s="2"/>
      <c r="B228" s="582" t="s">
        <v>1017</v>
      </c>
      <c r="C228" s="583">
        <v>0.25</v>
      </c>
      <c r="D228" s="584">
        <v>0</v>
      </c>
      <c r="E228" s="584">
        <v>1</v>
      </c>
      <c r="F228" s="584">
        <v>0</v>
      </c>
      <c r="G228" s="585">
        <v>0.25</v>
      </c>
      <c r="H228" s="1"/>
      <c r="I228" s="1"/>
      <c r="J228" s="1"/>
      <c r="K228" s="1"/>
      <c r="L228" s="1"/>
      <c r="M228" s="1"/>
      <c r="N228" s="1"/>
      <c r="O228" s="1"/>
      <c r="P228" s="1"/>
      <c r="Q228" s="1"/>
      <c r="R228" s="1"/>
    </row>
    <row r="229" spans="1:18" hidden="1" x14ac:dyDescent="0.2">
      <c r="A229" s="2"/>
      <c r="B229" s="582" t="s">
        <v>1018</v>
      </c>
      <c r="C229" s="583">
        <v>0</v>
      </c>
      <c r="D229" s="584">
        <v>0</v>
      </c>
      <c r="E229" s="584">
        <v>0</v>
      </c>
      <c r="F229" s="584">
        <v>1</v>
      </c>
      <c r="G229" s="585">
        <v>0.25</v>
      </c>
      <c r="H229" s="1"/>
      <c r="I229" s="1"/>
      <c r="J229" s="1"/>
      <c r="K229" s="1"/>
      <c r="L229" s="1"/>
      <c r="M229" s="1"/>
      <c r="N229" s="1"/>
      <c r="O229" s="1"/>
      <c r="P229" s="1"/>
      <c r="Q229" s="1"/>
      <c r="R229" s="1"/>
    </row>
    <row r="230" spans="1:18" ht="15" hidden="1" thickBot="1" x14ac:dyDescent="0.25">
      <c r="A230" s="2"/>
      <c r="B230" s="586" t="s">
        <v>1019</v>
      </c>
      <c r="C230" s="587">
        <v>0.25</v>
      </c>
      <c r="D230" s="588">
        <v>0.25</v>
      </c>
      <c r="E230" s="588">
        <v>0.25</v>
      </c>
      <c r="F230" s="588">
        <v>0.25</v>
      </c>
      <c r="G230" s="589">
        <v>1</v>
      </c>
      <c r="H230" s="1"/>
      <c r="I230" s="1"/>
      <c r="J230" s="1"/>
      <c r="K230" s="1"/>
      <c r="L230" s="1"/>
      <c r="M230" s="1"/>
      <c r="N230" s="1"/>
      <c r="O230" s="1"/>
      <c r="P230" s="1"/>
      <c r="Q230" s="1"/>
      <c r="R230" s="1"/>
    </row>
    <row r="231" spans="1:18" hidden="1" x14ac:dyDescent="0.2">
      <c r="A231" s="2"/>
      <c r="B231" s="1"/>
      <c r="C231" s="1"/>
      <c r="D231" s="1"/>
      <c r="E231" s="1"/>
      <c r="F231" s="1"/>
      <c r="G231" s="1"/>
      <c r="H231" s="1"/>
      <c r="I231" s="1"/>
      <c r="J231" s="1"/>
      <c r="K231" s="1"/>
      <c r="L231" s="1"/>
      <c r="M231" s="1"/>
      <c r="N231" s="1"/>
      <c r="O231" s="1"/>
      <c r="P231" s="1"/>
      <c r="Q231" s="1"/>
      <c r="R231" s="1"/>
    </row>
    <row r="232" spans="1:18" hidden="1" x14ac:dyDescent="0.2">
      <c r="A232" s="2"/>
      <c r="B232" s="1"/>
      <c r="C232" s="1"/>
      <c r="D232" s="1"/>
      <c r="E232" s="1"/>
      <c r="F232" s="1"/>
      <c r="G232" s="1"/>
      <c r="H232" s="1"/>
      <c r="I232" s="1"/>
      <c r="J232" s="1"/>
      <c r="K232" s="1"/>
      <c r="L232" s="1"/>
      <c r="M232" s="1"/>
      <c r="N232" s="1"/>
      <c r="O232" s="1"/>
      <c r="P232" s="1"/>
      <c r="Q232" s="1"/>
      <c r="R232" s="1"/>
    </row>
    <row r="233" spans="1:18" ht="15" hidden="1" thickBot="1" x14ac:dyDescent="0.25">
      <c r="A233" s="2"/>
      <c r="B233" s="573" t="s">
        <v>1021</v>
      </c>
      <c r="C233" s="574">
        <v>1</v>
      </c>
      <c r="D233" s="575">
        <v>2</v>
      </c>
      <c r="E233" s="575">
        <v>3</v>
      </c>
      <c r="F233" s="575">
        <v>4</v>
      </c>
      <c r="G233" s="576">
        <v>5</v>
      </c>
      <c r="H233" s="1"/>
      <c r="I233" s="1"/>
      <c r="J233" s="1"/>
      <c r="K233" s="1"/>
      <c r="L233" s="1"/>
      <c r="M233" s="1"/>
      <c r="N233" s="1"/>
      <c r="O233" s="1"/>
      <c r="P233" s="1"/>
      <c r="Q233" s="1"/>
      <c r="R233" s="1"/>
    </row>
    <row r="234" spans="1:18" hidden="1" x14ac:dyDescent="0.2">
      <c r="A234" s="2"/>
      <c r="B234" s="578" t="s">
        <v>1022</v>
      </c>
      <c r="C234" s="579">
        <v>1</v>
      </c>
      <c r="D234" s="580">
        <f t="array" ref="D234:G234">TRANSPOSE(C235:C$238)</f>
        <v>1</v>
      </c>
      <c r="E234" s="580">
        <v>0</v>
      </c>
      <c r="F234" s="580">
        <v>0</v>
      </c>
      <c r="G234" s="581">
        <v>0</v>
      </c>
      <c r="H234" s="1"/>
      <c r="I234" s="1"/>
      <c r="J234" s="1"/>
      <c r="K234" s="1"/>
      <c r="L234" s="1"/>
      <c r="M234" s="1"/>
      <c r="N234" s="1"/>
      <c r="O234" s="1"/>
      <c r="P234" s="1"/>
      <c r="Q234" s="1"/>
      <c r="R234" s="1"/>
    </row>
    <row r="235" spans="1:18" hidden="1" x14ac:dyDescent="0.2">
      <c r="A235" s="2"/>
      <c r="B235" s="582" t="s">
        <v>1023</v>
      </c>
      <c r="C235" s="583">
        <v>1</v>
      </c>
      <c r="D235" s="584">
        <v>1</v>
      </c>
      <c r="E235" s="584">
        <f t="array" ref="E235:G235">TRANSPOSE(D236:D$238)</f>
        <v>0</v>
      </c>
      <c r="F235" s="584">
        <v>0</v>
      </c>
      <c r="G235" s="585">
        <v>0</v>
      </c>
      <c r="H235" s="1"/>
      <c r="I235" s="1"/>
      <c r="J235" s="1"/>
      <c r="K235" s="1"/>
      <c r="L235" s="1"/>
      <c r="M235" s="1"/>
      <c r="N235" s="1"/>
      <c r="O235" s="1"/>
      <c r="P235" s="1"/>
      <c r="Q235" s="1"/>
      <c r="R235" s="1"/>
    </row>
    <row r="236" spans="1:18" hidden="1" x14ac:dyDescent="0.2">
      <c r="A236" s="2"/>
      <c r="B236" s="582" t="s">
        <v>1024</v>
      </c>
      <c r="C236" s="583">
        <v>0</v>
      </c>
      <c r="D236" s="584">
        <v>0</v>
      </c>
      <c r="E236" s="584">
        <v>1</v>
      </c>
      <c r="F236" s="584">
        <f t="array" ref="F236:G236">TRANSPOSE(E237:E$238)</f>
        <v>0</v>
      </c>
      <c r="G236" s="585">
        <v>0</v>
      </c>
      <c r="H236" s="1"/>
      <c r="I236" s="1"/>
      <c r="J236" s="1"/>
      <c r="K236" s="1"/>
      <c r="L236" s="1"/>
      <c r="M236" s="1"/>
      <c r="N236" s="1"/>
      <c r="O236" s="1"/>
      <c r="P236" s="1"/>
      <c r="Q236" s="1"/>
      <c r="R236" s="1"/>
    </row>
    <row r="237" spans="1:18" hidden="1" x14ac:dyDescent="0.2">
      <c r="A237" s="2"/>
      <c r="B237" s="582" t="s">
        <v>1025</v>
      </c>
      <c r="C237" s="583">
        <v>0</v>
      </c>
      <c r="D237" s="584">
        <v>0</v>
      </c>
      <c r="E237" s="584">
        <v>0</v>
      </c>
      <c r="F237" s="584">
        <v>1</v>
      </c>
      <c r="G237" s="585">
        <f t="array" ref="G237">TRANSPOSE(F238:F$238)</f>
        <v>0</v>
      </c>
      <c r="H237" s="1"/>
      <c r="I237" s="1"/>
      <c r="J237" s="1"/>
      <c r="K237" s="1"/>
      <c r="L237" s="1"/>
      <c r="M237" s="1"/>
      <c r="N237" s="1"/>
      <c r="O237" s="1"/>
      <c r="P237" s="1"/>
      <c r="Q237" s="1"/>
      <c r="R237" s="1"/>
    </row>
    <row r="238" spans="1:18" ht="15" hidden="1" thickBot="1" x14ac:dyDescent="0.25">
      <c r="A238" s="2"/>
      <c r="B238" s="586" t="s">
        <v>1026</v>
      </c>
      <c r="C238" s="587">
        <v>0</v>
      </c>
      <c r="D238" s="588">
        <v>0</v>
      </c>
      <c r="E238" s="588">
        <v>0</v>
      </c>
      <c r="F238" s="588">
        <v>0</v>
      </c>
      <c r="G238" s="589">
        <v>1</v>
      </c>
      <c r="H238" s="1"/>
      <c r="I238" s="1"/>
      <c r="J238" s="1"/>
      <c r="K238" s="1"/>
      <c r="L238" s="1"/>
      <c r="M238" s="1"/>
      <c r="N238" s="1"/>
      <c r="O238" s="1"/>
      <c r="P238" s="1"/>
      <c r="Q238" s="1"/>
      <c r="R238" s="1"/>
    </row>
    <row r="239" spans="1:18" hidden="1" x14ac:dyDescent="0.2">
      <c r="A239" s="2"/>
      <c r="B239" s="1"/>
      <c r="C239" s="1"/>
      <c r="D239" s="1"/>
      <c r="E239" s="1"/>
      <c r="F239" s="1"/>
      <c r="G239" s="1"/>
      <c r="H239" s="1"/>
      <c r="I239" s="1"/>
      <c r="J239" s="1"/>
      <c r="K239" s="1"/>
      <c r="L239" s="1"/>
      <c r="M239" s="1"/>
      <c r="N239" s="1"/>
      <c r="O239" s="1"/>
      <c r="P239" s="1"/>
      <c r="Q239" s="1"/>
      <c r="R239" s="1"/>
    </row>
    <row r="240" spans="1:18" hidden="1" x14ac:dyDescent="0.2">
      <c r="A240" s="2"/>
      <c r="B240" s="1"/>
      <c r="C240" s="1"/>
      <c r="D240" s="1"/>
      <c r="E240" s="1"/>
      <c r="F240" s="1"/>
      <c r="G240" s="1"/>
      <c r="H240" s="1"/>
      <c r="I240" s="1"/>
      <c r="J240" s="1"/>
      <c r="K240" s="1"/>
      <c r="L240" s="1"/>
      <c r="M240" s="1"/>
      <c r="N240" s="1"/>
      <c r="O240" s="1"/>
      <c r="P240" s="1"/>
      <c r="Q240" s="1"/>
      <c r="R240" s="1"/>
    </row>
    <row r="241" spans="1:18" ht="15" hidden="1" thickBot="1" x14ac:dyDescent="0.25">
      <c r="A241" s="2"/>
      <c r="B241" s="573" t="s">
        <v>1027</v>
      </c>
      <c r="C241" s="574">
        <v>1</v>
      </c>
      <c r="D241" s="575">
        <v>2</v>
      </c>
      <c r="E241" s="575">
        <v>3</v>
      </c>
      <c r="F241" s="575">
        <v>4</v>
      </c>
      <c r="G241" s="576">
        <v>5</v>
      </c>
      <c r="H241" s="1"/>
      <c r="I241" s="1"/>
      <c r="J241" s="1"/>
      <c r="K241" s="1"/>
      <c r="L241" s="1"/>
      <c r="M241" s="1"/>
      <c r="N241" s="1"/>
      <c r="O241" s="1"/>
      <c r="P241" s="1"/>
      <c r="Q241" s="1"/>
      <c r="R241" s="1"/>
    </row>
    <row r="242" spans="1:18" hidden="1" x14ac:dyDescent="0.2">
      <c r="A242" s="2"/>
      <c r="B242" s="578" t="s">
        <v>1022</v>
      </c>
      <c r="C242" s="579">
        <v>1</v>
      </c>
      <c r="D242" s="580">
        <v>0.75</v>
      </c>
      <c r="E242" s="580">
        <v>0</v>
      </c>
      <c r="F242" s="580">
        <v>0</v>
      </c>
      <c r="G242" s="581">
        <v>0</v>
      </c>
      <c r="H242" s="1"/>
      <c r="I242" s="1"/>
      <c r="J242" s="1"/>
      <c r="K242" s="1"/>
      <c r="L242" s="1"/>
      <c r="M242" s="1"/>
      <c r="N242" s="1"/>
      <c r="O242" s="1"/>
      <c r="P242" s="1"/>
      <c r="Q242" s="1"/>
      <c r="R242" s="1"/>
    </row>
    <row r="243" spans="1:18" hidden="1" x14ac:dyDescent="0.2">
      <c r="A243" s="2"/>
      <c r="B243" s="582" t="s">
        <v>1023</v>
      </c>
      <c r="C243" s="583">
        <v>0.75</v>
      </c>
      <c r="D243" s="584">
        <v>1</v>
      </c>
      <c r="E243" s="584">
        <v>0</v>
      </c>
      <c r="F243" s="584">
        <v>0</v>
      </c>
      <c r="G243" s="585">
        <v>0</v>
      </c>
      <c r="H243" s="1"/>
      <c r="I243" s="1"/>
      <c r="J243" s="1"/>
      <c r="K243" s="1"/>
      <c r="L243" s="1"/>
      <c r="M243" s="1"/>
      <c r="N243" s="1"/>
      <c r="O243" s="1"/>
      <c r="P243" s="1"/>
      <c r="Q243" s="1"/>
      <c r="R243" s="1"/>
    </row>
    <row r="244" spans="1:18" hidden="1" x14ac:dyDescent="0.2">
      <c r="A244" s="2"/>
      <c r="B244" s="582" t="s">
        <v>1024</v>
      </c>
      <c r="C244" s="583">
        <v>0</v>
      </c>
      <c r="D244" s="584">
        <v>0</v>
      </c>
      <c r="E244" s="584">
        <v>1</v>
      </c>
      <c r="F244" s="584">
        <v>0</v>
      </c>
      <c r="G244" s="585">
        <v>0</v>
      </c>
      <c r="H244" s="1"/>
      <c r="I244" s="1"/>
      <c r="J244" s="1"/>
      <c r="K244" s="1"/>
      <c r="L244" s="1"/>
      <c r="M244" s="1"/>
      <c r="N244" s="1"/>
      <c r="O244" s="1"/>
      <c r="P244" s="1"/>
      <c r="Q244" s="1"/>
      <c r="R244" s="1"/>
    </row>
    <row r="245" spans="1:18" hidden="1" x14ac:dyDescent="0.2">
      <c r="A245" s="2"/>
      <c r="B245" s="582" t="s">
        <v>1025</v>
      </c>
      <c r="C245" s="583">
        <v>0</v>
      </c>
      <c r="D245" s="584">
        <v>0</v>
      </c>
      <c r="E245" s="584">
        <v>0</v>
      </c>
      <c r="F245" s="584">
        <v>1</v>
      </c>
      <c r="G245" s="585">
        <v>0</v>
      </c>
      <c r="H245" s="1"/>
      <c r="I245" s="1"/>
      <c r="J245" s="1"/>
      <c r="K245" s="1"/>
      <c r="L245" s="1"/>
      <c r="M245" s="1"/>
      <c r="N245" s="1"/>
      <c r="O245" s="1"/>
      <c r="P245" s="1"/>
      <c r="Q245" s="1"/>
      <c r="R245" s="1"/>
    </row>
    <row r="246" spans="1:18" ht="15" hidden="1" thickBot="1" x14ac:dyDescent="0.25">
      <c r="A246" s="2"/>
      <c r="B246" s="586" t="s">
        <v>1026</v>
      </c>
      <c r="C246" s="587">
        <v>0</v>
      </c>
      <c r="D246" s="588">
        <v>0</v>
      </c>
      <c r="E246" s="588">
        <v>0</v>
      </c>
      <c r="F246" s="588">
        <v>0</v>
      </c>
      <c r="G246" s="589">
        <v>1</v>
      </c>
      <c r="H246" s="1"/>
      <c r="I246" s="1"/>
      <c r="J246" s="1"/>
      <c r="K246" s="1"/>
      <c r="L246" s="1"/>
      <c r="M246" s="1"/>
      <c r="N246" s="1"/>
      <c r="O246" s="1"/>
      <c r="P246" s="1"/>
      <c r="Q246" s="1"/>
      <c r="R246" s="1"/>
    </row>
    <row r="247" spans="1:18" hidden="1" x14ac:dyDescent="0.2">
      <c r="A247" s="2"/>
      <c r="B247" s="2"/>
      <c r="C247" s="596"/>
      <c r="D247" s="596"/>
      <c r="E247" s="596"/>
      <c r="F247" s="596"/>
      <c r="G247" s="596"/>
      <c r="H247" s="1"/>
      <c r="I247" s="1"/>
      <c r="J247" s="1"/>
      <c r="K247" s="1"/>
      <c r="L247" s="1"/>
      <c r="M247" s="1"/>
      <c r="N247" s="1"/>
      <c r="O247" s="1"/>
      <c r="P247" s="1"/>
      <c r="Q247" s="1"/>
      <c r="R247" s="1"/>
    </row>
    <row r="248" spans="1:18" hidden="1" x14ac:dyDescent="0.2">
      <c r="A248" s="2"/>
      <c r="B248" s="1"/>
      <c r="C248" s="1"/>
      <c r="D248" s="1"/>
      <c r="E248" s="1"/>
      <c r="F248" s="1"/>
      <c r="G248" s="1"/>
      <c r="H248" s="1"/>
      <c r="I248" s="1"/>
      <c r="J248" s="1"/>
      <c r="K248" s="1"/>
      <c r="L248" s="1"/>
      <c r="M248" s="1"/>
      <c r="N248" s="1"/>
      <c r="O248" s="1"/>
      <c r="P248" s="1"/>
      <c r="Q248" s="1"/>
      <c r="R248" s="1"/>
    </row>
    <row r="249" spans="1:18" ht="15" hidden="1" thickBot="1" x14ac:dyDescent="0.25">
      <c r="A249" s="2"/>
      <c r="B249" s="573" t="s">
        <v>1028</v>
      </c>
      <c r="C249" s="574">
        <v>1</v>
      </c>
      <c r="D249" s="575">
        <v>2</v>
      </c>
      <c r="E249" s="575">
        <v>3</v>
      </c>
      <c r="F249" s="576">
        <v>4</v>
      </c>
      <c r="G249" s="1"/>
      <c r="H249" s="1"/>
      <c r="I249" s="1"/>
      <c r="J249" s="1"/>
      <c r="K249" s="1"/>
      <c r="L249" s="1"/>
      <c r="M249" s="1"/>
      <c r="N249" s="1"/>
      <c r="O249" s="1"/>
      <c r="P249" s="1"/>
      <c r="Q249" s="1"/>
      <c r="R249" s="1"/>
    </row>
    <row r="250" spans="1:18" hidden="1" x14ac:dyDescent="0.2">
      <c r="A250" s="2"/>
      <c r="B250" s="42" t="s">
        <v>1029</v>
      </c>
      <c r="C250" s="579">
        <v>1</v>
      </c>
      <c r="D250" s="580">
        <v>0.5</v>
      </c>
      <c r="E250" s="580">
        <v>0.5</v>
      </c>
      <c r="F250" s="581">
        <v>0.5</v>
      </c>
      <c r="G250" s="1"/>
      <c r="H250" s="1"/>
      <c r="I250" s="1"/>
      <c r="J250" s="1"/>
      <c r="K250" s="1"/>
      <c r="L250" s="1"/>
      <c r="M250" s="1"/>
      <c r="N250" s="1"/>
      <c r="O250" s="1"/>
      <c r="P250" s="1"/>
      <c r="Q250" s="1"/>
      <c r="R250" s="1"/>
    </row>
    <row r="251" spans="1:18" hidden="1" x14ac:dyDescent="0.2">
      <c r="A251" s="2"/>
      <c r="B251" s="43" t="s">
        <v>1030</v>
      </c>
      <c r="C251" s="583">
        <v>0.5</v>
      </c>
      <c r="D251" s="584">
        <v>1</v>
      </c>
      <c r="E251" s="584">
        <v>0.5</v>
      </c>
      <c r="F251" s="585">
        <v>0.5</v>
      </c>
      <c r="G251" s="1"/>
      <c r="H251" s="1"/>
      <c r="I251" s="1"/>
      <c r="J251" s="1"/>
      <c r="K251" s="1"/>
      <c r="L251" s="1"/>
      <c r="M251" s="1"/>
      <c r="N251" s="1"/>
      <c r="O251" s="1"/>
      <c r="P251" s="1"/>
      <c r="Q251" s="1"/>
      <c r="R251" s="1"/>
    </row>
    <row r="252" spans="1:18" hidden="1" x14ac:dyDescent="0.2">
      <c r="A252" s="2"/>
      <c r="B252" s="43" t="s">
        <v>1031</v>
      </c>
      <c r="C252" s="583">
        <v>0.5</v>
      </c>
      <c r="D252" s="584">
        <v>0.5</v>
      </c>
      <c r="E252" s="584">
        <v>1</v>
      </c>
      <c r="F252" s="585">
        <v>0.5</v>
      </c>
      <c r="G252" s="1"/>
      <c r="H252" s="1"/>
      <c r="I252" s="1"/>
      <c r="J252" s="1"/>
      <c r="K252" s="1"/>
      <c r="L252" s="1"/>
      <c r="M252" s="1"/>
      <c r="N252" s="1"/>
      <c r="O252" s="1"/>
      <c r="P252" s="1"/>
      <c r="Q252" s="1"/>
      <c r="R252" s="1"/>
    </row>
    <row r="253" spans="1:18" ht="15" hidden="1" thickBot="1" x14ac:dyDescent="0.25">
      <c r="A253" s="2"/>
      <c r="B253" s="44" t="s">
        <v>1032</v>
      </c>
      <c r="C253" s="587">
        <v>0.5</v>
      </c>
      <c r="D253" s="588">
        <v>0.5</v>
      </c>
      <c r="E253" s="588">
        <v>0.5</v>
      </c>
      <c r="F253" s="589">
        <v>1</v>
      </c>
      <c r="G253" s="1"/>
      <c r="H253" s="1"/>
      <c r="I253" s="1"/>
      <c r="J253" s="1"/>
      <c r="K253" s="1"/>
      <c r="L253" s="1"/>
      <c r="M253" s="1"/>
      <c r="N253" s="1"/>
      <c r="O253" s="1"/>
      <c r="P253" s="1"/>
      <c r="Q253" s="1"/>
      <c r="R253" s="1"/>
    </row>
    <row r="254" spans="1:18" x14ac:dyDescent="0.2">
      <c r="A254" s="2"/>
      <c r="B254" s="1"/>
      <c r="C254" s="1"/>
      <c r="D254" s="1"/>
      <c r="E254" s="1"/>
      <c r="F254" s="1"/>
      <c r="G254" s="1"/>
      <c r="H254" s="1"/>
      <c r="I254" s="1"/>
      <c r="J254" s="1"/>
      <c r="K254" s="1"/>
      <c r="L254" s="1"/>
      <c r="M254" s="1"/>
      <c r="N254" s="1"/>
      <c r="O254" s="1"/>
      <c r="P254" s="1"/>
      <c r="Q254" s="1"/>
      <c r="R254" s="1"/>
    </row>
    <row r="255" spans="1:18" ht="15" thickBot="1" x14ac:dyDescent="0.25">
      <c r="A255" s="2"/>
      <c r="B255" s="1"/>
      <c r="C255" s="1"/>
      <c r="D255" s="1"/>
      <c r="E255" s="1"/>
      <c r="F255" s="1"/>
      <c r="G255" s="1"/>
      <c r="H255" s="1"/>
      <c r="I255" s="1"/>
      <c r="J255" s="1"/>
      <c r="K255" s="1"/>
      <c r="L255" s="1"/>
      <c r="M255" s="1"/>
      <c r="N255" s="1"/>
      <c r="O255" s="1"/>
      <c r="P255" s="1"/>
      <c r="Q255" s="1"/>
      <c r="R255" s="1"/>
    </row>
    <row r="256" spans="1:18" ht="15" thickBot="1" x14ac:dyDescent="0.25">
      <c r="A256" s="2"/>
      <c r="B256" s="532" t="s">
        <v>1033</v>
      </c>
      <c r="C256" s="590">
        <v>1</v>
      </c>
      <c r="D256" s="591">
        <v>2</v>
      </c>
      <c r="E256" s="591">
        <v>3</v>
      </c>
      <c r="F256" s="592">
        <v>4</v>
      </c>
      <c r="G256" s="1"/>
      <c r="H256" s="1"/>
      <c r="I256" s="1"/>
      <c r="J256" s="1"/>
      <c r="K256" s="1"/>
      <c r="L256" s="1"/>
      <c r="M256" s="1"/>
      <c r="N256" s="1"/>
      <c r="O256" s="1"/>
      <c r="P256" s="1"/>
      <c r="Q256" s="1"/>
      <c r="R256" s="1"/>
    </row>
    <row r="257" spans="1:18" x14ac:dyDescent="0.2">
      <c r="A257" s="2"/>
      <c r="B257" s="37" t="s">
        <v>1029</v>
      </c>
      <c r="C257" s="538">
        <v>1</v>
      </c>
      <c r="D257" s="539">
        <v>0.25</v>
      </c>
      <c r="E257" s="539">
        <v>0.25</v>
      </c>
      <c r="F257" s="540">
        <v>0.25</v>
      </c>
      <c r="G257" s="1"/>
      <c r="H257" s="1"/>
      <c r="I257" s="1"/>
      <c r="J257" s="1"/>
      <c r="K257" s="1"/>
      <c r="L257" s="1"/>
      <c r="M257" s="1"/>
      <c r="N257" s="1"/>
      <c r="O257" s="1"/>
      <c r="P257" s="1"/>
      <c r="Q257" s="1"/>
      <c r="R257" s="1"/>
    </row>
    <row r="258" spans="1:18" x14ac:dyDescent="0.2">
      <c r="A258" s="2"/>
      <c r="B258" s="38" t="s">
        <v>1030</v>
      </c>
      <c r="C258" s="541">
        <v>0.25</v>
      </c>
      <c r="D258" s="542">
        <v>1</v>
      </c>
      <c r="E258" s="542">
        <v>0.25</v>
      </c>
      <c r="F258" s="543">
        <v>0.25</v>
      </c>
      <c r="G258" s="1"/>
      <c r="H258" s="1"/>
      <c r="I258" s="1"/>
      <c r="J258" s="1"/>
      <c r="K258" s="1"/>
      <c r="L258" s="1"/>
      <c r="M258" s="1"/>
      <c r="N258" s="1"/>
      <c r="O258" s="1"/>
      <c r="P258" s="1"/>
      <c r="Q258" s="1"/>
      <c r="R258" s="1"/>
    </row>
    <row r="259" spans="1:18" x14ac:dyDescent="0.2">
      <c r="A259" s="2"/>
      <c r="B259" s="38" t="s">
        <v>1031</v>
      </c>
      <c r="C259" s="541">
        <v>0.25</v>
      </c>
      <c r="D259" s="542">
        <v>0.25</v>
      </c>
      <c r="E259" s="542">
        <v>1</v>
      </c>
      <c r="F259" s="543">
        <v>0.25</v>
      </c>
      <c r="G259" s="1"/>
      <c r="H259" s="1"/>
      <c r="I259" s="1"/>
      <c r="J259" s="1"/>
      <c r="K259" s="1"/>
      <c r="L259" s="1"/>
      <c r="M259" s="1"/>
      <c r="N259" s="1"/>
      <c r="O259" s="1"/>
      <c r="P259" s="1"/>
      <c r="Q259" s="1"/>
      <c r="R259" s="1"/>
    </row>
    <row r="260" spans="1:18" ht="15" thickBot="1" x14ac:dyDescent="0.25">
      <c r="A260" s="2"/>
      <c r="B260" s="39" t="s">
        <v>1032</v>
      </c>
      <c r="C260" s="544">
        <v>0.25</v>
      </c>
      <c r="D260" s="545">
        <v>0.25</v>
      </c>
      <c r="E260" s="545">
        <v>0.25</v>
      </c>
      <c r="F260" s="546">
        <v>1</v>
      </c>
      <c r="G260" s="1"/>
      <c r="H260" s="1"/>
      <c r="I260" s="1"/>
      <c r="J260" s="1"/>
      <c r="K260" s="1"/>
      <c r="L260" s="1"/>
      <c r="M260" s="1"/>
      <c r="N260" s="1"/>
      <c r="O260" s="1"/>
      <c r="P260" s="1"/>
      <c r="Q260" s="1"/>
      <c r="R260" s="1"/>
    </row>
    <row r="261" spans="1:18" x14ac:dyDescent="0.2">
      <c r="A261" s="2"/>
      <c r="B261" s="1"/>
      <c r="C261" s="1"/>
      <c r="D261" s="1"/>
      <c r="E261" s="1"/>
      <c r="F261" s="1"/>
      <c r="G261" s="1"/>
      <c r="H261" s="1"/>
      <c r="I261" s="1"/>
      <c r="J261" s="1"/>
      <c r="K261" s="1"/>
      <c r="L261" s="1"/>
      <c r="M261" s="1"/>
      <c r="N261" s="1"/>
      <c r="O261" s="1"/>
      <c r="P261" s="1"/>
      <c r="Q261" s="1"/>
      <c r="R261" s="1"/>
    </row>
    <row r="262" spans="1:18" ht="15" thickBot="1" x14ac:dyDescent="0.25">
      <c r="A262" s="2"/>
      <c r="B262" s="1"/>
      <c r="C262" s="1"/>
      <c r="D262" s="1"/>
      <c r="E262" s="1"/>
      <c r="F262" s="1"/>
      <c r="G262" s="1"/>
      <c r="H262" s="1"/>
      <c r="I262" s="1"/>
      <c r="J262" s="1"/>
      <c r="K262" s="1"/>
      <c r="L262" s="1"/>
      <c r="M262" s="1"/>
      <c r="N262" s="1"/>
      <c r="O262" s="1"/>
      <c r="P262" s="1"/>
      <c r="Q262" s="1"/>
      <c r="R262" s="1"/>
    </row>
    <row r="263" spans="1:18" ht="26.25" thickBot="1" x14ac:dyDescent="0.25">
      <c r="A263" s="2"/>
      <c r="B263" s="597" t="s">
        <v>1034</v>
      </c>
      <c r="C263" s="1"/>
      <c r="D263" s="1"/>
      <c r="E263" s="1"/>
      <c r="F263" s="1"/>
      <c r="G263" s="1"/>
      <c r="H263" s="1"/>
      <c r="I263" s="1"/>
      <c r="J263" s="1"/>
      <c r="K263" s="1"/>
      <c r="L263" s="1"/>
      <c r="M263" s="1"/>
      <c r="N263" s="1"/>
      <c r="O263" s="1"/>
      <c r="P263" s="1"/>
      <c r="Q263" s="1"/>
      <c r="R263" s="1"/>
    </row>
    <row r="264" spans="1:18" x14ac:dyDescent="0.2">
      <c r="A264" s="2"/>
      <c r="B264" s="38" t="s">
        <v>1035</v>
      </c>
      <c r="C264" s="1"/>
      <c r="D264" s="1"/>
      <c r="E264" s="1"/>
      <c r="F264" s="1"/>
      <c r="G264" s="1"/>
      <c r="H264" s="1"/>
      <c r="I264" s="1"/>
      <c r="J264" s="1"/>
      <c r="K264" s="1"/>
      <c r="L264" s="1"/>
      <c r="M264" s="1"/>
      <c r="N264" s="1"/>
      <c r="O264" s="1"/>
      <c r="P264" s="1"/>
      <c r="Q264" s="1"/>
      <c r="R264" s="1"/>
    </row>
    <row r="265" spans="1:18" x14ac:dyDescent="0.2">
      <c r="A265" s="2"/>
      <c r="B265" s="38" t="s">
        <v>1036</v>
      </c>
      <c r="C265" s="1"/>
      <c r="D265" s="1"/>
      <c r="E265" s="1"/>
      <c r="F265" s="1"/>
      <c r="G265" s="1"/>
      <c r="H265" s="1"/>
      <c r="I265" s="1"/>
      <c r="J265" s="1"/>
      <c r="K265" s="1"/>
      <c r="L265" s="1"/>
      <c r="M265" s="1"/>
      <c r="N265" s="1"/>
      <c r="O265" s="1"/>
      <c r="P265" s="1"/>
      <c r="Q265" s="1"/>
      <c r="R265" s="1"/>
    </row>
    <row r="266" spans="1:18" x14ac:dyDescent="0.2">
      <c r="A266" s="2"/>
      <c r="B266" s="38" t="s">
        <v>1037</v>
      </c>
      <c r="C266" s="1"/>
      <c r="D266" s="1"/>
      <c r="E266" s="1"/>
      <c r="F266" s="1"/>
      <c r="G266" s="1"/>
      <c r="H266" s="1"/>
      <c r="I266" s="1"/>
      <c r="J266" s="1"/>
      <c r="K266" s="1"/>
      <c r="L266" s="1"/>
      <c r="M266" s="1"/>
      <c r="N266" s="1"/>
      <c r="O266" s="1"/>
      <c r="P266" s="1"/>
      <c r="Q266" s="1"/>
      <c r="R266" s="1"/>
    </row>
    <row r="267" spans="1:18" x14ac:dyDescent="0.2">
      <c r="A267" s="2"/>
      <c r="B267" s="38" t="s">
        <v>1038</v>
      </c>
      <c r="C267" s="1"/>
      <c r="D267" s="1"/>
      <c r="E267" s="1"/>
      <c r="F267" s="1"/>
      <c r="G267" s="1"/>
      <c r="H267" s="1"/>
      <c r="I267" s="1"/>
      <c r="J267" s="1"/>
      <c r="K267" s="1"/>
      <c r="L267" s="1"/>
      <c r="M267" s="1"/>
      <c r="N267" s="1"/>
      <c r="O267" s="1"/>
      <c r="P267" s="1"/>
      <c r="Q267" s="1"/>
      <c r="R267" s="1"/>
    </row>
    <row r="268" spans="1:18" x14ac:dyDescent="0.2">
      <c r="A268" s="2"/>
      <c r="B268" s="38" t="s">
        <v>1039</v>
      </c>
      <c r="C268" s="1"/>
      <c r="D268" s="1"/>
      <c r="E268" s="1"/>
      <c r="F268" s="1"/>
      <c r="G268" s="1"/>
      <c r="H268" s="1"/>
      <c r="I268" s="1"/>
      <c r="J268" s="1"/>
      <c r="K268" s="1"/>
      <c r="L268" s="1"/>
      <c r="M268" s="1"/>
      <c r="N268" s="1"/>
      <c r="O268" s="1"/>
      <c r="P268" s="1"/>
      <c r="Q268" s="1"/>
      <c r="R268" s="1"/>
    </row>
    <row r="269" spans="1:18" x14ac:dyDescent="0.2">
      <c r="A269" s="2"/>
      <c r="B269" s="38" t="s">
        <v>1040</v>
      </c>
      <c r="C269" s="1"/>
      <c r="D269" s="1"/>
      <c r="E269" s="1"/>
      <c r="F269" s="1"/>
      <c r="G269" s="1"/>
      <c r="H269" s="1"/>
      <c r="I269" s="1"/>
      <c r="J269" s="1"/>
      <c r="K269" s="1"/>
      <c r="L269" s="1"/>
      <c r="M269" s="1"/>
      <c r="N269" s="1"/>
      <c r="O269" s="1"/>
      <c r="P269" s="1"/>
      <c r="Q269" s="1"/>
      <c r="R269" s="1"/>
    </row>
    <row r="270" spans="1:18" x14ac:dyDescent="0.2">
      <c r="A270" s="2"/>
      <c r="B270" s="38" t="s">
        <v>1041</v>
      </c>
      <c r="C270" s="1"/>
      <c r="D270" s="1"/>
      <c r="E270" s="1"/>
      <c r="F270" s="1"/>
      <c r="G270" s="1"/>
      <c r="H270" s="1"/>
      <c r="I270" s="1"/>
      <c r="J270" s="1"/>
      <c r="K270" s="1"/>
      <c r="L270" s="1"/>
      <c r="M270" s="1"/>
      <c r="N270" s="1"/>
      <c r="O270" s="1"/>
      <c r="P270" s="1"/>
      <c r="Q270" s="1"/>
      <c r="R270" s="1"/>
    </row>
    <row r="271" spans="1:18" x14ac:dyDescent="0.2">
      <c r="A271" s="2"/>
      <c r="B271" s="38" t="s">
        <v>1042</v>
      </c>
      <c r="C271" s="1"/>
      <c r="D271" s="1"/>
      <c r="E271" s="1"/>
      <c r="F271" s="1"/>
      <c r="G271" s="1"/>
      <c r="H271" s="1"/>
      <c r="I271" s="1"/>
      <c r="J271" s="1"/>
      <c r="K271" s="1"/>
      <c r="L271" s="1"/>
      <c r="M271" s="1"/>
      <c r="N271" s="1"/>
      <c r="O271" s="1"/>
      <c r="P271" s="1"/>
      <c r="Q271" s="1"/>
      <c r="R271" s="1"/>
    </row>
    <row r="272" spans="1:18" x14ac:dyDescent="0.2">
      <c r="A272" s="2"/>
      <c r="B272" s="38" t="s">
        <v>1043</v>
      </c>
      <c r="C272" s="1"/>
      <c r="D272" s="1"/>
      <c r="E272" s="1"/>
      <c r="F272" s="1"/>
      <c r="G272" s="1"/>
      <c r="H272" s="1"/>
      <c r="I272" s="1"/>
      <c r="J272" s="1"/>
      <c r="K272" s="1"/>
      <c r="L272" s="1"/>
      <c r="M272" s="1"/>
      <c r="N272" s="1"/>
      <c r="O272" s="1"/>
      <c r="P272" s="1"/>
      <c r="Q272" s="1"/>
      <c r="R272" s="1"/>
    </row>
    <row r="273" spans="1:18" x14ac:dyDescent="0.2">
      <c r="A273" s="2"/>
      <c r="B273" s="38" t="s">
        <v>454</v>
      </c>
      <c r="C273" s="1"/>
      <c r="D273" s="1"/>
      <c r="E273" s="1"/>
      <c r="F273" s="1"/>
      <c r="G273" s="1"/>
      <c r="H273" s="1"/>
      <c r="I273" s="1"/>
      <c r="J273" s="1"/>
      <c r="K273" s="1"/>
      <c r="L273" s="1"/>
      <c r="M273" s="1"/>
      <c r="N273" s="1"/>
      <c r="O273" s="1"/>
      <c r="P273" s="1"/>
      <c r="Q273" s="1"/>
      <c r="R273" s="1"/>
    </row>
    <row r="274" spans="1:18" x14ac:dyDescent="0.2">
      <c r="A274" s="2"/>
      <c r="B274" s="38" t="s">
        <v>455</v>
      </c>
      <c r="C274" s="1"/>
      <c r="D274" s="1"/>
      <c r="E274" s="1"/>
      <c r="F274" s="1"/>
      <c r="G274" s="1"/>
      <c r="H274" s="1"/>
      <c r="I274" s="1"/>
      <c r="J274" s="1"/>
      <c r="K274" s="1"/>
      <c r="L274" s="1"/>
      <c r="M274" s="1"/>
      <c r="N274" s="1"/>
      <c r="O274" s="1"/>
      <c r="P274" s="1"/>
      <c r="Q274" s="1"/>
      <c r="R274" s="1"/>
    </row>
    <row r="275" spans="1:18" ht="15" thickBot="1" x14ac:dyDescent="0.25">
      <c r="A275" s="2"/>
      <c r="B275" s="39" t="s">
        <v>456</v>
      </c>
      <c r="C275" s="1"/>
      <c r="D275" s="1"/>
      <c r="E275" s="1"/>
      <c r="F275" s="1"/>
      <c r="G275" s="1"/>
      <c r="H275" s="1"/>
      <c r="I275" s="1"/>
      <c r="J275" s="1"/>
      <c r="K275" s="1"/>
      <c r="L275" s="1"/>
      <c r="M275" s="1"/>
      <c r="N275" s="1"/>
      <c r="O275" s="1"/>
      <c r="P275" s="1"/>
      <c r="Q275" s="1"/>
      <c r="R275" s="1"/>
    </row>
    <row r="276" spans="1:18" x14ac:dyDescent="0.2">
      <c r="A276" s="2"/>
      <c r="B276" s="1"/>
      <c r="C276" s="1"/>
      <c r="D276" s="1"/>
      <c r="E276" s="1"/>
      <c r="F276" s="1"/>
      <c r="G276" s="1"/>
      <c r="H276" s="1"/>
      <c r="I276" s="1"/>
      <c r="J276" s="1"/>
      <c r="K276" s="1"/>
      <c r="L276" s="1"/>
      <c r="M276" s="1"/>
      <c r="N276" s="1"/>
      <c r="O276" s="1"/>
      <c r="P276" s="1"/>
      <c r="Q276" s="1"/>
      <c r="R276" s="1"/>
    </row>
    <row r="277" spans="1:18" ht="15" thickBot="1" x14ac:dyDescent="0.25">
      <c r="A277" s="2"/>
      <c r="B277" s="1"/>
      <c r="C277" s="1"/>
      <c r="D277" s="1"/>
      <c r="E277" s="1"/>
      <c r="F277" s="1"/>
      <c r="G277" s="1"/>
      <c r="H277" s="1"/>
      <c r="I277" s="1"/>
      <c r="J277" s="1"/>
      <c r="K277" s="1"/>
      <c r="L277" s="1"/>
      <c r="M277" s="1"/>
      <c r="N277" s="1"/>
      <c r="O277" s="1"/>
      <c r="P277" s="1"/>
      <c r="Q277" s="1"/>
      <c r="R277" s="1"/>
    </row>
    <row r="278" spans="1:18" ht="26.25" thickBot="1" x14ac:dyDescent="0.25">
      <c r="A278" s="2"/>
      <c r="B278" s="597" t="s">
        <v>1044</v>
      </c>
      <c r="C278" s="1"/>
      <c r="D278" s="1"/>
      <c r="E278" s="1"/>
      <c r="F278" s="1"/>
      <c r="G278" s="1"/>
      <c r="H278" s="1"/>
      <c r="I278" s="1"/>
      <c r="J278" s="1"/>
      <c r="K278" s="1"/>
      <c r="L278" s="1"/>
      <c r="M278" s="1"/>
      <c r="N278" s="1"/>
      <c r="O278" s="1"/>
      <c r="P278" s="1"/>
      <c r="Q278" s="1"/>
      <c r="R278" s="1"/>
    </row>
    <row r="279" spans="1:18" x14ac:dyDescent="0.2">
      <c r="A279" s="2"/>
      <c r="B279" s="38" t="s">
        <v>1045</v>
      </c>
      <c r="C279" s="1"/>
      <c r="D279" s="1"/>
      <c r="E279" s="1"/>
      <c r="F279" s="1"/>
      <c r="G279" s="1"/>
      <c r="H279" s="1"/>
      <c r="I279" s="1"/>
      <c r="J279" s="1"/>
      <c r="K279" s="1"/>
      <c r="L279" s="1"/>
      <c r="M279" s="1"/>
      <c r="N279" s="1"/>
      <c r="O279" s="1"/>
      <c r="P279" s="1"/>
      <c r="Q279" s="1"/>
      <c r="R279" s="1"/>
    </row>
    <row r="280" spans="1:18" x14ac:dyDescent="0.2">
      <c r="A280" s="2"/>
      <c r="B280" s="38" t="s">
        <v>1046</v>
      </c>
      <c r="C280" s="1"/>
      <c r="D280" s="1"/>
      <c r="E280" s="1"/>
      <c r="F280" s="1"/>
      <c r="G280" s="1"/>
      <c r="H280" s="1"/>
      <c r="I280" s="1"/>
      <c r="J280" s="1"/>
      <c r="K280" s="1"/>
      <c r="L280" s="1"/>
      <c r="M280" s="1"/>
      <c r="N280" s="1"/>
      <c r="O280" s="1"/>
      <c r="P280" s="1"/>
      <c r="Q280" s="1"/>
      <c r="R280" s="1"/>
    </row>
    <row r="281" spans="1:18" x14ac:dyDescent="0.2">
      <c r="A281" s="2"/>
      <c r="B281" s="38" t="s">
        <v>1047</v>
      </c>
      <c r="C281" s="1"/>
      <c r="D281" s="1"/>
      <c r="E281" s="1"/>
      <c r="F281" s="1"/>
      <c r="G281" s="1"/>
      <c r="H281" s="1"/>
      <c r="I281" s="1"/>
      <c r="J281" s="1"/>
      <c r="K281" s="1"/>
      <c r="L281" s="1"/>
      <c r="M281" s="1"/>
      <c r="N281" s="1"/>
      <c r="O281" s="1"/>
      <c r="P281" s="1"/>
      <c r="Q281" s="1"/>
      <c r="R281" s="1"/>
    </row>
    <row r="282" spans="1:18" ht="15" thickBot="1" x14ac:dyDescent="0.25">
      <c r="A282" s="2"/>
      <c r="B282" s="39" t="s">
        <v>1048</v>
      </c>
      <c r="C282" s="1"/>
      <c r="D282" s="1"/>
      <c r="E282" s="1"/>
      <c r="F282" s="1"/>
      <c r="G282" s="1"/>
      <c r="H282" s="1"/>
      <c r="I282" s="1"/>
      <c r="J282" s="1"/>
      <c r="K282" s="1"/>
      <c r="L282" s="1"/>
      <c r="M282" s="1"/>
      <c r="N282" s="1"/>
      <c r="O282" s="1"/>
      <c r="P282" s="1"/>
      <c r="Q282" s="1"/>
      <c r="R282" s="1"/>
    </row>
    <row r="283" spans="1:18" x14ac:dyDescent="0.2">
      <c r="A283" s="2"/>
      <c r="B283" s="1"/>
      <c r="C283" s="1"/>
      <c r="D283" s="1"/>
      <c r="E283" s="1"/>
      <c r="F283" s="1"/>
      <c r="G283" s="1"/>
      <c r="H283" s="1"/>
      <c r="I283" s="1"/>
      <c r="J283" s="1"/>
      <c r="K283" s="1"/>
      <c r="L283" s="1"/>
      <c r="M283" s="1"/>
      <c r="N283" s="1"/>
      <c r="O283" s="1"/>
      <c r="P283" s="1"/>
      <c r="Q283" s="1"/>
      <c r="R283" s="1"/>
    </row>
    <row r="284" spans="1:18" hidden="1" x14ac:dyDescent="0.2">
      <c r="A284" s="2"/>
      <c r="B284" s="1"/>
      <c r="C284" s="1"/>
      <c r="D284" s="1"/>
      <c r="E284" s="1"/>
      <c r="F284" s="1"/>
      <c r="G284" s="1"/>
      <c r="H284" s="1"/>
      <c r="I284" s="1"/>
      <c r="J284" s="1"/>
      <c r="K284" s="1"/>
      <c r="L284" s="1"/>
      <c r="M284" s="1"/>
      <c r="N284" s="1"/>
      <c r="O284" s="1"/>
      <c r="P284" s="1"/>
      <c r="Q284" s="1"/>
      <c r="R284" s="1"/>
    </row>
    <row r="285" spans="1:18" ht="24.75" hidden="1" thickBot="1" x14ac:dyDescent="0.25">
      <c r="A285" s="2"/>
      <c r="B285" s="520" t="s">
        <v>1049</v>
      </c>
      <c r="C285" s="521" t="s">
        <v>1050</v>
      </c>
      <c r="D285" s="521" t="s">
        <v>1051</v>
      </c>
      <c r="E285" s="521" t="s">
        <v>1052</v>
      </c>
      <c r="F285" s="1"/>
      <c r="G285" s="1"/>
      <c r="H285" s="1"/>
      <c r="I285" s="1"/>
      <c r="J285" s="1"/>
      <c r="K285" s="1"/>
      <c r="L285" s="1"/>
      <c r="M285" s="1"/>
      <c r="N285" s="1"/>
      <c r="O285" s="1"/>
      <c r="P285" s="1"/>
      <c r="Q285" s="1"/>
      <c r="R285" s="1"/>
    </row>
    <row r="286" spans="1:18" hidden="1" x14ac:dyDescent="0.2">
      <c r="A286" s="2"/>
      <c r="B286" s="522" t="s">
        <v>1053</v>
      </c>
      <c r="C286" s="598">
        <v>100000</v>
      </c>
      <c r="D286" s="598">
        <v>100000</v>
      </c>
      <c r="E286" s="598">
        <v>0</v>
      </c>
      <c r="F286" s="1"/>
      <c r="G286" s="1"/>
      <c r="H286" s="1"/>
      <c r="I286" s="1"/>
      <c r="J286" s="1"/>
      <c r="K286" s="1"/>
      <c r="L286" s="1"/>
      <c r="M286" s="1"/>
      <c r="N286" s="1"/>
      <c r="O286" s="1"/>
      <c r="P286" s="1"/>
      <c r="Q286" s="1"/>
      <c r="R286" s="1"/>
    </row>
    <row r="287" spans="1:18" ht="15" hidden="1" thickBot="1" x14ac:dyDescent="0.25">
      <c r="A287" s="2"/>
      <c r="B287" s="526" t="s">
        <v>1054</v>
      </c>
      <c r="C287" s="599">
        <v>500000</v>
      </c>
      <c r="D287" s="599">
        <v>100000</v>
      </c>
      <c r="E287" s="599">
        <v>500000</v>
      </c>
      <c r="F287" s="1"/>
      <c r="G287" s="1"/>
      <c r="H287" s="1"/>
      <c r="I287" s="1"/>
      <c r="J287" s="1"/>
      <c r="K287" s="1"/>
      <c r="L287" s="1"/>
      <c r="M287" s="1"/>
      <c r="N287" s="1"/>
      <c r="O287" s="1"/>
      <c r="P287" s="1"/>
      <c r="Q287" s="1"/>
      <c r="R287" s="1"/>
    </row>
    <row r="288" spans="1:18" hidden="1" x14ac:dyDescent="0.2">
      <c r="A288" s="2"/>
      <c r="B288" s="1"/>
      <c r="C288" s="1"/>
      <c r="D288" s="1"/>
      <c r="E288" s="1"/>
      <c r="F288" s="1"/>
      <c r="G288" s="1"/>
      <c r="H288" s="1"/>
      <c r="I288" s="1"/>
      <c r="J288" s="1"/>
      <c r="K288" s="1"/>
      <c r="L288" s="1"/>
      <c r="M288" s="1"/>
      <c r="N288" s="1"/>
      <c r="O288" s="1"/>
      <c r="P288" s="1"/>
      <c r="Q288" s="1"/>
      <c r="R288" s="1"/>
    </row>
    <row r="289" spans="1:18" x14ac:dyDescent="0.2">
      <c r="A289" s="2"/>
      <c r="B289" s="1"/>
      <c r="C289" s="1"/>
      <c r="D289" s="1"/>
      <c r="E289" s="1"/>
      <c r="F289" s="1"/>
      <c r="G289" s="1"/>
      <c r="H289" s="1"/>
      <c r="I289" s="1"/>
      <c r="J289" s="1"/>
      <c r="K289" s="1"/>
      <c r="L289" s="1"/>
      <c r="M289" s="1"/>
      <c r="N289" s="1"/>
      <c r="O289" s="1"/>
      <c r="P289" s="1"/>
      <c r="Q289" s="1"/>
      <c r="R289" s="1"/>
    </row>
    <row r="290" spans="1:18" x14ac:dyDescent="0.2">
      <c r="A290" s="2"/>
      <c r="B290" s="1"/>
      <c r="C290" s="1"/>
      <c r="D290" s="1"/>
      <c r="E290" s="1"/>
      <c r="F290" s="1"/>
      <c r="G290" s="1"/>
      <c r="H290" s="1"/>
      <c r="I290" s="1"/>
      <c r="J290" s="1"/>
      <c r="K290" s="1"/>
      <c r="L290" s="1"/>
      <c r="M290" s="1"/>
      <c r="N290" s="1"/>
      <c r="O290" s="1"/>
      <c r="P290" s="1"/>
      <c r="Q290" s="1"/>
      <c r="R290" s="1"/>
    </row>
    <row r="291" spans="1:18" x14ac:dyDescent="0.2">
      <c r="A291" s="2"/>
      <c r="B291" s="1"/>
      <c r="C291" s="1"/>
      <c r="D291" s="1"/>
      <c r="E291" s="1"/>
      <c r="F291" s="1"/>
      <c r="G291" s="1"/>
      <c r="H291" s="1"/>
      <c r="I291" s="1"/>
      <c r="J291" s="1"/>
      <c r="K291" s="1"/>
      <c r="L291" s="1"/>
      <c r="M291" s="1"/>
      <c r="N291" s="1"/>
      <c r="O291" s="1"/>
      <c r="P291" s="1"/>
      <c r="Q291" s="1"/>
      <c r="R291" s="1"/>
    </row>
    <row r="292" spans="1:18" x14ac:dyDescent="0.2">
      <c r="A292" s="2"/>
      <c r="B292" s="1"/>
      <c r="C292" s="1"/>
      <c r="D292" s="1"/>
      <c r="E292" s="1"/>
      <c r="F292" s="1"/>
      <c r="G292" s="1"/>
      <c r="H292" s="1"/>
      <c r="I292" s="1"/>
      <c r="J292" s="1"/>
      <c r="K292" s="1"/>
      <c r="L292" s="1"/>
      <c r="M292" s="1"/>
      <c r="N292" s="1"/>
      <c r="O292" s="1"/>
      <c r="P292" s="1"/>
      <c r="Q292" s="1"/>
      <c r="R292" s="1"/>
    </row>
    <row r="293" spans="1:18" x14ac:dyDescent="0.2">
      <c r="A293" s="2"/>
      <c r="B293" s="1"/>
      <c r="C293" s="1"/>
      <c r="D293" s="1"/>
      <c r="E293" s="1"/>
      <c r="F293" s="1"/>
      <c r="G293" s="1"/>
      <c r="H293" s="1"/>
      <c r="I293" s="1"/>
      <c r="J293" s="1"/>
      <c r="K293" s="1"/>
      <c r="L293" s="1"/>
      <c r="M293" s="1"/>
      <c r="N293" s="1"/>
      <c r="O293" s="1"/>
      <c r="P293" s="1"/>
      <c r="Q293" s="1"/>
      <c r="R293" s="1"/>
    </row>
    <row r="294" spans="1:18" x14ac:dyDescent="0.2">
      <c r="A294" s="2"/>
      <c r="B294" s="1"/>
      <c r="C294" s="1"/>
      <c r="D294" s="1"/>
      <c r="E294" s="1"/>
      <c r="F294" s="1"/>
      <c r="G294" s="1"/>
      <c r="H294" s="1"/>
      <c r="I294" s="1"/>
      <c r="J294" s="1"/>
      <c r="K294" s="1"/>
      <c r="L294" s="1"/>
      <c r="M294" s="1"/>
      <c r="N294" s="1"/>
      <c r="O294" s="1"/>
      <c r="P294" s="1"/>
      <c r="Q294" s="1"/>
      <c r="R294" s="1"/>
    </row>
    <row r="295" spans="1:18" x14ac:dyDescent="0.2">
      <c r="A295" s="2"/>
      <c r="B295" s="1"/>
      <c r="C295" s="1"/>
      <c r="D295" s="1"/>
      <c r="E295" s="1"/>
      <c r="F295" s="1"/>
      <c r="G295" s="1"/>
      <c r="H295" s="1"/>
      <c r="I295" s="1"/>
      <c r="J295" s="1"/>
      <c r="K295" s="1"/>
      <c r="L295" s="1"/>
      <c r="M295" s="1"/>
      <c r="N295" s="1"/>
      <c r="O295" s="1"/>
      <c r="P295" s="1"/>
      <c r="Q295" s="1"/>
      <c r="R295" s="1"/>
    </row>
    <row r="296" spans="1:18" x14ac:dyDescent="0.2">
      <c r="A296" s="2"/>
      <c r="B296" s="1"/>
      <c r="C296" s="1"/>
      <c r="D296" s="1"/>
      <c r="E296" s="1"/>
      <c r="F296" s="1"/>
      <c r="G296" s="1"/>
      <c r="H296" s="1"/>
      <c r="I296" s="1"/>
      <c r="J296" s="1"/>
      <c r="K296" s="1"/>
      <c r="L296" s="1"/>
      <c r="M296" s="1"/>
      <c r="N296" s="1"/>
      <c r="O296" s="1"/>
      <c r="P296" s="1"/>
      <c r="Q296" s="1"/>
      <c r="R296" s="1"/>
    </row>
    <row r="297" spans="1:18" x14ac:dyDescent="0.2">
      <c r="A297" s="2"/>
      <c r="B297" s="1"/>
      <c r="C297" s="1"/>
      <c r="D297" s="1"/>
      <c r="E297" s="1"/>
      <c r="F297" s="1"/>
      <c r="G297" s="1"/>
      <c r="H297" s="1"/>
      <c r="I297" s="1"/>
      <c r="J297" s="1"/>
      <c r="K297" s="1"/>
      <c r="L297" s="1"/>
      <c r="M297" s="1"/>
      <c r="N297" s="1"/>
      <c r="O297" s="1"/>
      <c r="P297" s="1"/>
      <c r="Q297" s="1"/>
      <c r="R297" s="1"/>
    </row>
    <row r="298" spans="1:18" x14ac:dyDescent="0.2">
      <c r="A298" s="2"/>
      <c r="B298" s="1"/>
      <c r="C298" s="1"/>
      <c r="D298" s="1"/>
      <c r="E298" s="1"/>
      <c r="F298" s="1"/>
      <c r="G298" s="1"/>
      <c r="H298" s="1"/>
      <c r="I298" s="1"/>
      <c r="J298" s="1"/>
      <c r="K298" s="1"/>
      <c r="L298" s="1"/>
      <c r="M298" s="1"/>
      <c r="N298" s="1"/>
      <c r="O298" s="1"/>
      <c r="P298" s="1"/>
      <c r="Q298" s="1"/>
      <c r="R298" s="1"/>
    </row>
    <row r="299" spans="1:18" x14ac:dyDescent="0.2">
      <c r="A299" s="2"/>
      <c r="B299" s="1"/>
      <c r="C299" s="1"/>
      <c r="D299" s="1"/>
      <c r="E299" s="1"/>
      <c r="F299" s="1"/>
      <c r="G299" s="1"/>
      <c r="H299" s="1"/>
      <c r="I299" s="1"/>
      <c r="J299" s="1"/>
      <c r="K299" s="1"/>
      <c r="L299" s="1"/>
      <c r="M299" s="1"/>
      <c r="N299" s="1"/>
      <c r="O299" s="1"/>
      <c r="P299" s="1"/>
      <c r="Q299" s="1"/>
      <c r="R299" s="1"/>
    </row>
    <row r="300" spans="1:18" x14ac:dyDescent="0.2">
      <c r="A300" s="2"/>
      <c r="B300" s="1"/>
      <c r="C300" s="1"/>
      <c r="D300" s="1"/>
      <c r="E300" s="1"/>
      <c r="F300" s="1"/>
      <c r="G300" s="1"/>
      <c r="H300" s="1"/>
      <c r="I300" s="1"/>
      <c r="J300" s="1"/>
      <c r="K300" s="1"/>
      <c r="L300" s="1"/>
      <c r="M300" s="1"/>
      <c r="N300" s="1"/>
      <c r="O300" s="1"/>
      <c r="P300" s="1"/>
      <c r="Q300" s="1"/>
      <c r="R300" s="1"/>
    </row>
    <row r="301" spans="1:18" x14ac:dyDescent="0.2">
      <c r="A301" s="2"/>
      <c r="B301" s="1"/>
      <c r="C301" s="1"/>
      <c r="D301" s="1"/>
      <c r="E301" s="1"/>
      <c r="F301" s="1"/>
      <c r="G301" s="1"/>
      <c r="H301" s="1"/>
      <c r="I301" s="1"/>
      <c r="J301" s="1"/>
      <c r="K301" s="1"/>
      <c r="L301" s="1"/>
      <c r="M301" s="1"/>
      <c r="N301" s="1"/>
      <c r="O301" s="1"/>
      <c r="P301" s="1"/>
      <c r="Q301" s="1"/>
      <c r="R301" s="1"/>
    </row>
    <row r="302" spans="1:18" x14ac:dyDescent="0.2">
      <c r="A302" s="2"/>
      <c r="B302" s="1"/>
      <c r="C302" s="1"/>
      <c r="D302" s="1"/>
      <c r="E302" s="1"/>
      <c r="F302" s="1"/>
      <c r="G302" s="1"/>
      <c r="H302" s="1"/>
      <c r="I302" s="1"/>
      <c r="J302" s="1"/>
      <c r="K302" s="1"/>
      <c r="L302" s="1"/>
      <c r="M302" s="1"/>
      <c r="N302" s="1"/>
      <c r="O302" s="1"/>
      <c r="P302" s="1"/>
      <c r="Q302" s="1"/>
      <c r="R302" s="1"/>
    </row>
    <row r="303" spans="1:18" x14ac:dyDescent="0.2">
      <c r="A303" s="2"/>
      <c r="B303" s="1"/>
      <c r="C303" s="1"/>
      <c r="D303" s="1"/>
      <c r="E303" s="1"/>
      <c r="F303" s="1"/>
      <c r="G303" s="1"/>
      <c r="H303" s="1"/>
      <c r="I303" s="1"/>
      <c r="J303" s="1"/>
      <c r="K303" s="1"/>
      <c r="L303" s="1"/>
      <c r="M303" s="1"/>
      <c r="N303" s="1"/>
      <c r="O303" s="1"/>
      <c r="P303" s="1"/>
      <c r="Q303" s="1"/>
      <c r="R303" s="1"/>
    </row>
    <row r="304" spans="1:18" hidden="1" x14ac:dyDescent="0.2">
      <c r="A304" s="711"/>
      <c r="B304" s="712"/>
      <c r="C304" s="712"/>
      <c r="D304" s="712"/>
      <c r="E304" s="712"/>
      <c r="F304" s="712"/>
      <c r="G304" s="712"/>
      <c r="H304" s="712"/>
      <c r="I304" s="712"/>
      <c r="J304" s="712"/>
      <c r="K304" s="712"/>
      <c r="L304" s="712"/>
      <c r="M304" s="712"/>
      <c r="N304" s="712"/>
      <c r="O304" s="712"/>
      <c r="P304" s="712"/>
      <c r="Q304" s="712"/>
      <c r="R304" s="712"/>
    </row>
    <row r="305" spans="1:18" hidden="1" x14ac:dyDescent="0.2">
      <c r="A305" s="2"/>
      <c r="B305" s="1"/>
      <c r="C305" s="1"/>
      <c r="D305" s="1"/>
      <c r="E305" s="1"/>
      <c r="F305" s="1"/>
      <c r="G305" s="1"/>
      <c r="H305" s="1"/>
      <c r="I305" s="1"/>
      <c r="J305" s="1"/>
      <c r="K305" s="1"/>
      <c r="L305" s="1"/>
      <c r="M305" s="1"/>
      <c r="N305" s="1"/>
      <c r="O305" s="1"/>
      <c r="P305" s="1"/>
      <c r="Q305" s="1"/>
      <c r="R305" s="1"/>
    </row>
    <row r="306" spans="1:18" hidden="1" x14ac:dyDescent="0.2">
      <c r="A306" s="2"/>
      <c r="B306" s="1"/>
      <c r="C306" s="1"/>
      <c r="D306" s="1"/>
      <c r="E306" s="1"/>
      <c r="F306" s="1"/>
      <c r="G306" s="1"/>
      <c r="H306" s="1"/>
      <c r="I306" s="1"/>
      <c r="J306" s="1"/>
      <c r="K306" s="1"/>
      <c r="L306" s="1"/>
      <c r="M306" s="1"/>
      <c r="N306" s="1"/>
      <c r="O306" s="1"/>
      <c r="P306" s="1"/>
      <c r="Q306" s="1"/>
      <c r="R306" s="1"/>
    </row>
    <row r="307" spans="1:18" hidden="1" x14ac:dyDescent="0.2">
      <c r="A307" s="2"/>
      <c r="B307" s="1"/>
      <c r="C307" s="1"/>
      <c r="D307" s="1"/>
      <c r="E307" s="1"/>
      <c r="F307" s="1"/>
      <c r="G307" s="1"/>
      <c r="H307" s="1"/>
      <c r="I307" s="1"/>
      <c r="J307" s="1"/>
      <c r="K307" s="1"/>
      <c r="L307" s="1"/>
      <c r="M307" s="1"/>
      <c r="N307" s="1"/>
      <c r="O307" s="1"/>
      <c r="P307" s="1"/>
      <c r="Q307" s="1"/>
      <c r="R307" s="1"/>
    </row>
    <row r="308" spans="1:18" hidden="1" x14ac:dyDescent="0.2">
      <c r="A308" s="2"/>
      <c r="B308" s="1"/>
      <c r="C308" s="1"/>
      <c r="D308" s="1"/>
      <c r="E308" s="1"/>
      <c r="F308" s="1"/>
      <c r="G308" s="1"/>
      <c r="H308" s="1"/>
      <c r="I308" s="1"/>
      <c r="J308" s="1"/>
      <c r="K308" s="1"/>
      <c r="L308" s="1"/>
      <c r="M308" s="1"/>
      <c r="N308" s="1"/>
      <c r="O308" s="1"/>
      <c r="P308" s="1"/>
      <c r="Q308" s="1"/>
      <c r="R308" s="1"/>
    </row>
    <row r="309" spans="1:18" hidden="1" x14ac:dyDescent="0.2">
      <c r="A309" s="2"/>
      <c r="B309" s="1"/>
      <c r="C309" s="1"/>
      <c r="D309" s="1"/>
      <c r="E309" s="1"/>
      <c r="F309" s="1"/>
      <c r="G309" s="1"/>
      <c r="H309" s="1"/>
      <c r="I309" s="1"/>
      <c r="J309" s="1"/>
      <c r="K309" s="1"/>
      <c r="L309" s="1"/>
      <c r="M309" s="1"/>
      <c r="N309" s="1"/>
      <c r="O309" s="1"/>
      <c r="P309" s="1"/>
      <c r="Q309" s="1"/>
      <c r="R309" s="1"/>
    </row>
    <row r="310" spans="1:18" hidden="1" x14ac:dyDescent="0.2">
      <c r="A310" s="2"/>
      <c r="B310" s="1"/>
      <c r="C310" s="1"/>
      <c r="D310" s="1"/>
      <c r="E310" s="1"/>
      <c r="F310" s="1"/>
      <c r="G310" s="1"/>
      <c r="H310" s="1"/>
      <c r="I310" s="1"/>
      <c r="J310" s="1"/>
      <c r="K310" s="1"/>
      <c r="L310" s="1"/>
      <c r="M310" s="1"/>
      <c r="N310" s="1"/>
      <c r="O310" s="1"/>
      <c r="P310" s="1"/>
      <c r="Q310" s="1"/>
      <c r="R310" s="1"/>
    </row>
    <row r="311" spans="1:18" hidden="1" x14ac:dyDescent="0.2">
      <c r="A311" s="2"/>
      <c r="B311" s="1"/>
      <c r="C311" s="1"/>
      <c r="D311" s="1"/>
      <c r="E311" s="1"/>
      <c r="F311" s="1"/>
      <c r="G311" s="1"/>
      <c r="H311" s="1"/>
      <c r="I311" s="1"/>
      <c r="J311" s="1"/>
      <c r="K311" s="1"/>
      <c r="L311" s="1"/>
      <c r="M311" s="1"/>
      <c r="N311" s="1"/>
      <c r="O311" s="1"/>
      <c r="P311" s="1"/>
      <c r="Q311" s="1"/>
      <c r="R311" s="1"/>
    </row>
    <row r="312" spans="1:18" hidden="1" x14ac:dyDescent="0.2">
      <c r="A312" s="2"/>
      <c r="B312" s="1"/>
      <c r="C312" s="1"/>
      <c r="D312" s="1"/>
      <c r="E312" s="1"/>
      <c r="F312" s="1"/>
      <c r="G312" s="1"/>
      <c r="H312" s="1"/>
      <c r="I312" s="1"/>
      <c r="J312" s="1"/>
      <c r="K312" s="1"/>
      <c r="L312" s="1"/>
      <c r="M312" s="1"/>
      <c r="N312" s="1"/>
      <c r="O312" s="1"/>
      <c r="P312" s="1"/>
      <c r="Q312" s="1"/>
      <c r="R312" s="1"/>
    </row>
    <row r="313" spans="1:18" hidden="1" x14ac:dyDescent="0.2">
      <c r="A313" s="2"/>
      <c r="B313" s="1"/>
      <c r="C313" s="1"/>
      <c r="D313" s="1"/>
      <c r="E313" s="1"/>
      <c r="F313" s="1"/>
      <c r="G313" s="1"/>
      <c r="H313" s="1"/>
      <c r="I313" s="1"/>
      <c r="J313" s="1"/>
      <c r="K313" s="1"/>
      <c r="L313" s="1"/>
      <c r="M313" s="1"/>
      <c r="N313" s="1"/>
      <c r="O313" s="1"/>
      <c r="P313" s="1"/>
      <c r="Q313" s="1"/>
      <c r="R313" s="1"/>
    </row>
    <row r="314" spans="1:18" hidden="1" x14ac:dyDescent="0.2">
      <c r="A314" s="2"/>
      <c r="B314" s="1"/>
      <c r="C314" s="1"/>
      <c r="D314" s="1"/>
      <c r="E314" s="1"/>
      <c r="F314" s="1"/>
      <c r="G314" s="1"/>
      <c r="H314" s="1"/>
      <c r="I314" s="1"/>
      <c r="J314" s="1"/>
      <c r="K314" s="1"/>
      <c r="L314" s="1"/>
      <c r="M314" s="1"/>
      <c r="N314" s="1"/>
      <c r="O314" s="1"/>
      <c r="P314" s="1"/>
      <c r="Q314" s="1"/>
      <c r="R314" s="1"/>
    </row>
    <row r="315" spans="1:18" hidden="1" x14ac:dyDescent="0.2">
      <c r="A315" s="2"/>
      <c r="B315" s="1"/>
      <c r="C315" s="1"/>
      <c r="D315" s="1"/>
      <c r="E315" s="1"/>
      <c r="F315" s="1"/>
      <c r="G315" s="1"/>
      <c r="H315" s="1"/>
      <c r="I315" s="1"/>
      <c r="J315" s="1"/>
      <c r="K315" s="1"/>
      <c r="L315" s="1"/>
      <c r="M315" s="1"/>
      <c r="N315" s="1"/>
      <c r="O315" s="1"/>
      <c r="P315" s="1"/>
      <c r="Q315" s="1"/>
      <c r="R315" s="1"/>
    </row>
    <row r="316" spans="1:18" hidden="1" x14ac:dyDescent="0.2">
      <c r="A316" s="2"/>
      <c r="B316" s="1"/>
      <c r="C316" s="1"/>
      <c r="D316" s="1"/>
      <c r="E316" s="1"/>
      <c r="F316" s="1"/>
      <c r="G316" s="1"/>
      <c r="H316" s="1"/>
      <c r="I316" s="1"/>
      <c r="J316" s="1"/>
      <c r="K316" s="1"/>
      <c r="L316" s="1"/>
      <c r="M316" s="1"/>
      <c r="N316" s="1"/>
      <c r="O316" s="1"/>
      <c r="P316" s="1"/>
      <c r="Q316" s="1"/>
      <c r="R316" s="1"/>
    </row>
    <row r="317" spans="1:18" hidden="1" x14ac:dyDescent="0.2">
      <c r="A317" s="2"/>
      <c r="B317" s="1"/>
      <c r="C317" s="1"/>
      <c r="D317" s="1"/>
      <c r="E317" s="1"/>
      <c r="F317" s="1"/>
      <c r="G317" s="1"/>
      <c r="H317" s="1"/>
      <c r="I317" s="1"/>
      <c r="J317" s="1"/>
      <c r="K317" s="1"/>
      <c r="L317" s="1"/>
      <c r="M317" s="1"/>
      <c r="N317" s="1"/>
      <c r="O317" s="1"/>
      <c r="P317" s="1"/>
      <c r="Q317" s="1"/>
      <c r="R317" s="1"/>
    </row>
    <row r="318" spans="1:18" hidden="1" x14ac:dyDescent="0.2">
      <c r="A318" s="2"/>
      <c r="B318" s="1"/>
      <c r="C318" s="1"/>
      <c r="D318" s="1"/>
      <c r="E318" s="1"/>
      <c r="F318" s="1"/>
      <c r="G318" s="1"/>
      <c r="H318" s="1"/>
      <c r="I318" s="1"/>
      <c r="J318" s="1"/>
      <c r="K318" s="1"/>
      <c r="L318" s="1"/>
      <c r="M318" s="1"/>
      <c r="N318" s="1"/>
      <c r="O318" s="1"/>
      <c r="P318" s="1"/>
      <c r="Q318" s="1"/>
      <c r="R318" s="1"/>
    </row>
    <row r="319" spans="1:18" hidden="1" x14ac:dyDescent="0.2">
      <c r="A319" s="2"/>
      <c r="B319" s="1"/>
      <c r="C319" s="1"/>
      <c r="D319" s="1"/>
      <c r="E319" s="1"/>
      <c r="F319" s="1"/>
      <c r="G319" s="1"/>
      <c r="H319" s="1"/>
      <c r="I319" s="1"/>
      <c r="J319" s="1"/>
      <c r="K319" s="1"/>
      <c r="L319" s="1"/>
      <c r="M319" s="1"/>
      <c r="N319" s="1"/>
      <c r="O319" s="1"/>
      <c r="P319" s="1"/>
      <c r="Q319" s="1"/>
      <c r="R319" s="1"/>
    </row>
    <row r="320" spans="1:18" hidden="1" x14ac:dyDescent="0.2">
      <c r="A320" s="2"/>
      <c r="B320" s="1"/>
      <c r="C320" s="1"/>
      <c r="D320" s="1"/>
      <c r="E320" s="1"/>
      <c r="F320" s="1"/>
      <c r="G320" s="1"/>
      <c r="H320" s="1"/>
      <c r="I320" s="1"/>
      <c r="J320" s="1"/>
      <c r="K320" s="1"/>
      <c r="L320" s="1"/>
      <c r="M320" s="1"/>
      <c r="N320" s="1"/>
      <c r="O320" s="1"/>
      <c r="P320" s="1"/>
      <c r="Q320" s="1"/>
      <c r="R320" s="1"/>
    </row>
    <row r="321" spans="1:18" hidden="1" x14ac:dyDescent="0.2">
      <c r="A321" s="2"/>
      <c r="B321" s="1"/>
      <c r="C321" s="1"/>
      <c r="D321" s="1"/>
      <c r="E321" s="1"/>
      <c r="F321" s="1"/>
      <c r="G321" s="1"/>
      <c r="H321" s="1"/>
      <c r="I321" s="1"/>
      <c r="J321" s="1"/>
      <c r="K321" s="1"/>
      <c r="L321" s="1"/>
      <c r="M321" s="1"/>
      <c r="N321" s="1"/>
      <c r="O321" s="1"/>
      <c r="P321" s="1"/>
      <c r="Q321" s="1"/>
      <c r="R321" s="1"/>
    </row>
    <row r="322" spans="1:18" hidden="1" x14ac:dyDescent="0.2">
      <c r="A322" s="2"/>
      <c r="B322" s="1"/>
      <c r="C322" s="1"/>
      <c r="D322" s="1"/>
      <c r="E322" s="1"/>
      <c r="F322" s="1"/>
      <c r="G322" s="1"/>
      <c r="H322" s="1"/>
      <c r="I322" s="1"/>
      <c r="J322" s="1"/>
      <c r="K322" s="1"/>
      <c r="L322" s="1"/>
      <c r="M322" s="1"/>
      <c r="N322" s="1"/>
      <c r="O322" s="1"/>
      <c r="P322" s="1"/>
      <c r="Q322" s="1"/>
      <c r="R322" s="1"/>
    </row>
    <row r="323" spans="1:18" hidden="1" x14ac:dyDescent="0.2">
      <c r="A323" s="2"/>
      <c r="B323" s="1"/>
      <c r="C323" s="1"/>
      <c r="D323" s="1"/>
      <c r="E323" s="1"/>
      <c r="F323" s="1"/>
      <c r="G323" s="1"/>
      <c r="H323" s="1"/>
      <c r="I323" s="1"/>
      <c r="J323" s="1"/>
      <c r="K323" s="1"/>
      <c r="L323" s="1"/>
      <c r="M323" s="1"/>
      <c r="N323" s="1"/>
      <c r="O323" s="1"/>
      <c r="P323" s="1"/>
      <c r="Q323" s="1"/>
      <c r="R323" s="1"/>
    </row>
    <row r="324" spans="1:18" hidden="1" x14ac:dyDescent="0.2">
      <c r="A324" s="2"/>
      <c r="B324" s="1"/>
      <c r="C324" s="1"/>
      <c r="D324" s="1"/>
      <c r="E324" s="1"/>
      <c r="F324" s="1"/>
      <c r="G324" s="1"/>
      <c r="H324" s="1"/>
      <c r="I324" s="1"/>
      <c r="J324" s="1"/>
      <c r="K324" s="1"/>
      <c r="L324" s="1"/>
      <c r="M324" s="1"/>
      <c r="N324" s="1"/>
      <c r="O324" s="1"/>
      <c r="P324" s="1"/>
      <c r="Q324" s="1"/>
      <c r="R324" s="1"/>
    </row>
    <row r="325" spans="1:18" hidden="1" x14ac:dyDescent="0.2">
      <c r="A325" s="2"/>
      <c r="B325" s="1"/>
      <c r="C325" s="1"/>
      <c r="D325" s="1"/>
      <c r="E325" s="1"/>
      <c r="F325" s="1"/>
      <c r="G325" s="1"/>
      <c r="H325" s="1"/>
      <c r="I325" s="1"/>
      <c r="J325" s="1"/>
      <c r="K325" s="1"/>
      <c r="L325" s="1"/>
      <c r="M325" s="1"/>
      <c r="N325" s="1"/>
      <c r="O325" s="1"/>
      <c r="P325" s="1"/>
      <c r="Q325" s="1"/>
      <c r="R325" s="1"/>
    </row>
    <row r="326" spans="1:18" hidden="1" x14ac:dyDescent="0.2">
      <c r="A326" s="2"/>
      <c r="B326" s="1"/>
      <c r="C326" s="1"/>
      <c r="D326" s="1"/>
      <c r="E326" s="1"/>
      <c r="F326" s="1"/>
      <c r="G326" s="1"/>
      <c r="H326" s="1"/>
      <c r="I326" s="1"/>
      <c r="J326" s="1"/>
      <c r="K326" s="1"/>
      <c r="L326" s="1"/>
      <c r="M326" s="1"/>
      <c r="N326" s="1"/>
      <c r="O326" s="1"/>
      <c r="P326" s="1"/>
      <c r="Q326" s="1"/>
      <c r="R326" s="1"/>
    </row>
    <row r="327" spans="1:18" hidden="1" x14ac:dyDescent="0.2">
      <c r="A327" s="2"/>
      <c r="B327" s="1"/>
      <c r="C327" s="1"/>
      <c r="D327" s="1"/>
      <c r="E327" s="1"/>
      <c r="F327" s="1"/>
      <c r="G327" s="1"/>
      <c r="H327" s="1"/>
      <c r="I327" s="1"/>
      <c r="J327" s="1"/>
      <c r="K327" s="1"/>
      <c r="L327" s="1"/>
      <c r="M327" s="1"/>
      <c r="N327" s="1"/>
      <c r="O327" s="1"/>
      <c r="P327" s="1"/>
      <c r="Q327" s="1"/>
      <c r="R327" s="1"/>
    </row>
    <row r="328" spans="1:18" hidden="1" x14ac:dyDescent="0.2">
      <c r="A328" s="2"/>
      <c r="B328" s="1"/>
      <c r="C328" s="1"/>
      <c r="D328" s="1"/>
      <c r="E328" s="1"/>
      <c r="F328" s="1"/>
      <c r="G328" s="1"/>
      <c r="H328" s="1"/>
      <c r="I328" s="1"/>
      <c r="J328" s="1"/>
      <c r="K328" s="1"/>
      <c r="L328" s="1"/>
      <c r="M328" s="1"/>
      <c r="N328" s="1"/>
      <c r="O328" s="1"/>
      <c r="P328" s="1"/>
      <c r="Q328" s="1"/>
      <c r="R328" s="1"/>
    </row>
    <row r="329" spans="1:18" hidden="1" x14ac:dyDescent="0.2">
      <c r="A329" s="2"/>
      <c r="B329" s="1"/>
      <c r="C329" s="1"/>
      <c r="D329" s="1"/>
      <c r="E329" s="1"/>
      <c r="F329" s="1"/>
      <c r="G329" s="1"/>
      <c r="H329" s="1"/>
      <c r="I329" s="1"/>
      <c r="J329" s="1"/>
      <c r="K329" s="1"/>
      <c r="L329" s="1"/>
      <c r="M329" s="1"/>
      <c r="N329" s="1"/>
      <c r="O329" s="1"/>
      <c r="P329" s="1"/>
      <c r="Q329" s="1"/>
      <c r="R329" s="1"/>
    </row>
    <row r="330" spans="1:18" hidden="1" x14ac:dyDescent="0.2">
      <c r="A330" s="2"/>
      <c r="B330" s="1"/>
      <c r="C330" s="1"/>
      <c r="D330" s="1"/>
      <c r="E330" s="1"/>
      <c r="F330" s="1"/>
      <c r="G330" s="1"/>
      <c r="H330" s="1"/>
      <c r="I330" s="1"/>
      <c r="J330" s="1"/>
      <c r="K330" s="1"/>
      <c r="L330" s="1"/>
      <c r="M330" s="1"/>
      <c r="N330" s="1"/>
      <c r="O330" s="1"/>
      <c r="P330" s="1"/>
      <c r="Q330" s="1"/>
      <c r="R330" s="1"/>
    </row>
    <row r="331" spans="1:18" hidden="1" x14ac:dyDescent="0.2">
      <c r="A331" s="2"/>
      <c r="B331" s="1"/>
      <c r="C331" s="1"/>
      <c r="D331" s="1"/>
      <c r="E331" s="1"/>
      <c r="F331" s="1"/>
      <c r="G331" s="1"/>
      <c r="H331" s="1"/>
      <c r="I331" s="1"/>
      <c r="J331" s="1"/>
      <c r="K331" s="1"/>
      <c r="L331" s="1"/>
      <c r="M331" s="1"/>
      <c r="N331" s="1"/>
      <c r="O331" s="1"/>
      <c r="P331" s="1"/>
      <c r="Q331" s="1"/>
      <c r="R331" s="1"/>
    </row>
    <row r="332" spans="1:18" hidden="1" x14ac:dyDescent="0.2">
      <c r="A332" s="2"/>
      <c r="B332" s="1"/>
      <c r="C332" s="1"/>
      <c r="D332" s="1"/>
      <c r="E332" s="1"/>
      <c r="F332" s="1"/>
      <c r="G332" s="1"/>
      <c r="H332" s="1"/>
      <c r="I332" s="1"/>
      <c r="J332" s="1"/>
      <c r="K332" s="1"/>
      <c r="L332" s="1"/>
      <c r="M332" s="1"/>
      <c r="N332" s="1"/>
      <c r="O332" s="1"/>
      <c r="P332" s="1"/>
      <c r="Q332" s="1"/>
      <c r="R332" s="1"/>
    </row>
    <row r="333" spans="1:18" hidden="1" x14ac:dyDescent="0.2">
      <c r="A333" s="2"/>
      <c r="B333" s="1"/>
      <c r="C333" s="1"/>
      <c r="D333" s="1"/>
      <c r="E333" s="1"/>
      <c r="F333" s="1"/>
      <c r="G333" s="1"/>
      <c r="H333" s="1"/>
      <c r="I333" s="1"/>
      <c r="J333" s="1"/>
      <c r="K333" s="1"/>
      <c r="L333" s="1"/>
      <c r="M333" s="1"/>
      <c r="N333" s="1"/>
      <c r="O333" s="1"/>
      <c r="P333" s="1"/>
      <c r="Q333" s="1"/>
      <c r="R333" s="1"/>
    </row>
    <row r="334" spans="1:18" hidden="1" x14ac:dyDescent="0.2">
      <c r="A334" s="2"/>
      <c r="B334" s="1"/>
      <c r="C334" s="1"/>
      <c r="D334" s="1"/>
      <c r="E334" s="1"/>
      <c r="F334" s="1"/>
      <c r="G334" s="1"/>
      <c r="H334" s="1"/>
      <c r="I334" s="1"/>
      <c r="J334" s="1"/>
      <c r="K334" s="1"/>
      <c r="L334" s="1"/>
      <c r="M334" s="1"/>
      <c r="N334" s="1"/>
      <c r="O334" s="1"/>
      <c r="P334" s="1"/>
      <c r="Q334" s="1"/>
      <c r="R334" s="1"/>
    </row>
    <row r="335" spans="1:18" hidden="1" x14ac:dyDescent="0.2">
      <c r="A335" s="2"/>
      <c r="B335" s="1"/>
      <c r="C335" s="1"/>
      <c r="D335" s="1"/>
      <c r="E335" s="1"/>
      <c r="F335" s="1"/>
      <c r="G335" s="1"/>
      <c r="H335" s="1"/>
      <c r="I335" s="1"/>
      <c r="J335" s="1"/>
      <c r="K335" s="1"/>
      <c r="L335" s="1"/>
      <c r="M335" s="1"/>
      <c r="N335" s="1"/>
      <c r="O335" s="1"/>
      <c r="P335" s="1"/>
      <c r="Q335" s="1"/>
      <c r="R335" s="1"/>
    </row>
    <row r="336" spans="1:18" hidden="1" x14ac:dyDescent="0.2">
      <c r="A336" s="2"/>
      <c r="B336" s="1"/>
      <c r="C336" s="1"/>
      <c r="D336" s="1"/>
      <c r="E336" s="1"/>
      <c r="F336" s="1"/>
      <c r="G336" s="1"/>
      <c r="H336" s="1"/>
      <c r="I336" s="1"/>
      <c r="J336" s="1"/>
      <c r="K336" s="1"/>
      <c r="L336" s="1"/>
      <c r="M336" s="1"/>
      <c r="N336" s="1"/>
      <c r="O336" s="1"/>
      <c r="P336" s="1"/>
      <c r="Q336" s="1"/>
      <c r="R336" s="1"/>
    </row>
    <row r="337" spans="1:18" x14ac:dyDescent="0.2">
      <c r="A337" s="2"/>
      <c r="B337" s="1"/>
      <c r="C337" s="1"/>
      <c r="D337" s="1"/>
      <c r="E337" s="1"/>
      <c r="F337" s="1"/>
      <c r="G337" s="1"/>
      <c r="H337" s="1"/>
      <c r="I337" s="1"/>
      <c r="J337" s="1"/>
      <c r="K337" s="1"/>
      <c r="L337" s="1"/>
      <c r="M337" s="1"/>
      <c r="N337" s="1"/>
      <c r="O337" s="1"/>
      <c r="P337" s="1"/>
      <c r="Q337" s="1"/>
      <c r="R337" s="1"/>
    </row>
    <row r="338" spans="1:18" x14ac:dyDescent="0.2">
      <c r="A338" s="2"/>
      <c r="B338" s="1"/>
      <c r="C338" s="1"/>
      <c r="D338" s="1"/>
      <c r="E338" s="1"/>
      <c r="F338" s="1"/>
      <c r="G338" s="1"/>
      <c r="H338" s="1"/>
      <c r="I338" s="1"/>
      <c r="J338" s="1"/>
      <c r="K338" s="1"/>
      <c r="L338" s="1"/>
      <c r="M338" s="1"/>
      <c r="N338" s="1"/>
      <c r="O338" s="1"/>
      <c r="P338" s="1"/>
      <c r="Q338" s="1"/>
      <c r="R338" s="1"/>
    </row>
    <row r="339" spans="1:18" x14ac:dyDescent="0.2">
      <c r="A339" s="2"/>
      <c r="B339" s="1"/>
      <c r="C339" s="1"/>
      <c r="D339" s="1"/>
      <c r="E339" s="1"/>
      <c r="F339" s="1"/>
      <c r="G339" s="1"/>
      <c r="H339" s="1"/>
      <c r="I339" s="1"/>
      <c r="J339" s="1"/>
      <c r="K339" s="1"/>
      <c r="L339" s="1"/>
      <c r="M339" s="1"/>
      <c r="N339" s="1"/>
      <c r="O339" s="1"/>
      <c r="P339" s="1"/>
      <c r="Q339" s="1"/>
      <c r="R339" s="1"/>
    </row>
    <row r="340" spans="1:18" x14ac:dyDescent="0.2">
      <c r="A340" s="2"/>
      <c r="B340" s="1"/>
      <c r="C340" s="1"/>
      <c r="D340" s="1"/>
      <c r="E340" s="1"/>
      <c r="F340" s="1"/>
      <c r="G340" s="1"/>
      <c r="H340" s="1"/>
      <c r="I340" s="1"/>
      <c r="J340" s="1"/>
      <c r="K340" s="1"/>
      <c r="L340" s="1"/>
      <c r="M340" s="1"/>
      <c r="N340" s="1"/>
      <c r="O340" s="1"/>
      <c r="P340" s="1"/>
      <c r="Q340" s="1"/>
      <c r="R340" s="1"/>
    </row>
    <row r="341" spans="1:18" x14ac:dyDescent="0.2">
      <c r="A341" s="2"/>
      <c r="B341" s="1"/>
      <c r="C341" s="1"/>
      <c r="D341" s="1"/>
      <c r="E341" s="1"/>
      <c r="F341" s="1"/>
      <c r="G341" s="1"/>
      <c r="H341" s="1"/>
      <c r="I341" s="1"/>
      <c r="J341" s="1"/>
      <c r="K341" s="1"/>
      <c r="L341" s="1"/>
      <c r="M341" s="1"/>
      <c r="N341" s="1"/>
      <c r="O341" s="1"/>
      <c r="P341" s="1"/>
      <c r="Q341" s="1"/>
      <c r="R341" s="1"/>
    </row>
    <row r="342" spans="1:18" x14ac:dyDescent="0.2">
      <c r="A342" s="2"/>
      <c r="B342" s="1"/>
      <c r="C342" s="1"/>
      <c r="D342" s="1"/>
      <c r="E342" s="1"/>
      <c r="F342" s="1"/>
      <c r="G342" s="1"/>
      <c r="H342" s="1"/>
      <c r="I342" s="1"/>
      <c r="J342" s="1"/>
      <c r="K342" s="1"/>
      <c r="L342" s="1"/>
      <c r="M342" s="1"/>
      <c r="N342" s="1"/>
      <c r="O342" s="1"/>
      <c r="P342" s="1"/>
      <c r="Q342" s="1"/>
      <c r="R342" s="1"/>
    </row>
    <row r="343" spans="1:18" x14ac:dyDescent="0.2">
      <c r="A343" s="2"/>
      <c r="B343" s="1"/>
      <c r="C343" s="1"/>
      <c r="D343" s="1"/>
      <c r="E343" s="1"/>
      <c r="F343" s="1"/>
      <c r="G343" s="1"/>
      <c r="H343" s="1"/>
      <c r="I343" s="1"/>
      <c r="J343" s="1"/>
      <c r="K343" s="1"/>
      <c r="L343" s="1"/>
      <c r="M343" s="1"/>
      <c r="N343" s="1"/>
      <c r="O343" s="1"/>
      <c r="P343" s="1"/>
      <c r="Q343" s="1"/>
      <c r="R343" s="1"/>
    </row>
    <row r="344" spans="1:18" x14ac:dyDescent="0.2">
      <c r="A344" s="2"/>
      <c r="B344" s="1"/>
      <c r="C344" s="1"/>
      <c r="D344" s="1"/>
      <c r="E344" s="1"/>
      <c r="F344" s="1"/>
      <c r="G344" s="1"/>
      <c r="H344" s="1"/>
      <c r="I344" s="1"/>
      <c r="J344" s="1"/>
      <c r="K344" s="1"/>
      <c r="L344" s="1"/>
      <c r="M344" s="1"/>
      <c r="N344" s="1"/>
      <c r="O344" s="1"/>
      <c r="P344" s="1"/>
      <c r="Q344" s="1"/>
      <c r="R344" s="1"/>
    </row>
    <row r="345" spans="1:18" x14ac:dyDescent="0.2">
      <c r="A345" s="2"/>
      <c r="B345" s="1"/>
      <c r="C345" s="1"/>
      <c r="D345" s="1"/>
      <c r="E345" s="1"/>
      <c r="F345" s="1"/>
      <c r="G345" s="1"/>
      <c r="H345" s="1"/>
      <c r="I345" s="1"/>
      <c r="J345" s="1"/>
      <c r="K345" s="1"/>
      <c r="L345" s="1"/>
      <c r="M345" s="1"/>
      <c r="N345" s="1"/>
      <c r="O345" s="1"/>
      <c r="P345" s="1"/>
      <c r="Q345" s="1"/>
      <c r="R345" s="1"/>
    </row>
    <row r="346" spans="1:18" x14ac:dyDescent="0.2">
      <c r="A346" s="2"/>
      <c r="B346" s="1"/>
      <c r="C346" s="1"/>
      <c r="D346" s="1"/>
      <c r="E346" s="1"/>
      <c r="F346" s="1"/>
      <c r="G346" s="1"/>
      <c r="H346" s="1"/>
      <c r="I346" s="1"/>
      <c r="J346" s="1"/>
      <c r="K346" s="1"/>
      <c r="L346" s="1"/>
      <c r="M346" s="1"/>
      <c r="N346" s="1"/>
      <c r="O346" s="1"/>
      <c r="P346" s="1"/>
      <c r="Q346" s="1"/>
      <c r="R346" s="1"/>
    </row>
    <row r="347" spans="1:18" x14ac:dyDescent="0.2">
      <c r="A347" s="2"/>
      <c r="B347" s="1"/>
      <c r="C347" s="1"/>
      <c r="D347" s="1"/>
      <c r="E347" s="1"/>
      <c r="F347" s="1"/>
      <c r="G347" s="1"/>
      <c r="H347" s="1"/>
      <c r="I347" s="1"/>
      <c r="J347" s="1"/>
      <c r="K347" s="1"/>
      <c r="L347" s="1"/>
      <c r="M347" s="1"/>
      <c r="N347" s="1"/>
      <c r="O347" s="1"/>
      <c r="P347" s="1"/>
      <c r="Q347" s="1"/>
      <c r="R347" s="1"/>
    </row>
    <row r="348" spans="1:18" x14ac:dyDescent="0.2">
      <c r="A348" s="2"/>
      <c r="B348" s="1"/>
      <c r="C348" s="1"/>
      <c r="D348" s="1"/>
      <c r="E348" s="1"/>
      <c r="F348" s="1"/>
      <c r="G348" s="1"/>
      <c r="H348" s="1"/>
      <c r="I348" s="1"/>
      <c r="J348" s="1"/>
      <c r="K348" s="1"/>
      <c r="L348" s="1"/>
      <c r="M348" s="1"/>
      <c r="N348" s="1"/>
      <c r="O348" s="1"/>
      <c r="P348" s="1"/>
      <c r="Q348" s="1"/>
      <c r="R348" s="1"/>
    </row>
    <row r="349" spans="1:18" x14ac:dyDescent="0.2">
      <c r="A349" s="2"/>
      <c r="B349" s="1"/>
      <c r="C349" s="1"/>
      <c r="D349" s="1"/>
      <c r="E349" s="1"/>
      <c r="F349" s="1"/>
      <c r="G349" s="1"/>
      <c r="H349" s="1"/>
      <c r="I349" s="1"/>
      <c r="J349" s="1"/>
      <c r="K349" s="1"/>
      <c r="L349" s="1"/>
      <c r="M349" s="1"/>
      <c r="N349" s="1"/>
      <c r="O349" s="1"/>
      <c r="P349" s="1"/>
      <c r="Q349" s="1"/>
      <c r="R349" s="1"/>
    </row>
    <row r="350" spans="1:18" x14ac:dyDescent="0.2">
      <c r="A350" s="2"/>
      <c r="B350" s="1"/>
      <c r="C350" s="1"/>
      <c r="D350" s="1"/>
      <c r="E350" s="1"/>
      <c r="F350" s="1"/>
      <c r="G350" s="1"/>
      <c r="H350" s="1"/>
      <c r="I350" s="1"/>
      <c r="J350" s="1"/>
      <c r="K350" s="1"/>
      <c r="L350" s="1"/>
      <c r="M350" s="1"/>
      <c r="N350" s="1"/>
      <c r="O350" s="1"/>
      <c r="P350" s="1"/>
      <c r="Q350" s="1"/>
      <c r="R350" s="1"/>
    </row>
    <row r="351" spans="1:18" x14ac:dyDescent="0.2">
      <c r="A351" s="2"/>
      <c r="B351" s="1"/>
      <c r="C351" s="1"/>
      <c r="D351" s="1"/>
      <c r="E351" s="1"/>
      <c r="F351" s="1"/>
      <c r="G351" s="1"/>
      <c r="H351" s="1"/>
      <c r="I351" s="1"/>
      <c r="J351" s="1"/>
      <c r="K351" s="1"/>
      <c r="L351" s="1"/>
      <c r="M351" s="1"/>
      <c r="N351" s="1"/>
      <c r="O351" s="1"/>
      <c r="P351" s="1"/>
      <c r="Q351" s="1"/>
      <c r="R351" s="1"/>
    </row>
    <row r="352" spans="1:18" x14ac:dyDescent="0.2">
      <c r="A352" s="2"/>
      <c r="B352" s="1"/>
      <c r="C352" s="1"/>
      <c r="D352" s="1"/>
      <c r="E352" s="1"/>
      <c r="F352" s="1"/>
      <c r="G352" s="1"/>
      <c r="H352" s="1"/>
      <c r="I352" s="1"/>
      <c r="J352" s="1"/>
      <c r="K352" s="1"/>
      <c r="L352" s="1"/>
      <c r="M352" s="1"/>
      <c r="N352" s="1"/>
      <c r="O352" s="1"/>
      <c r="P352" s="1"/>
      <c r="Q352" s="1"/>
      <c r="R352" s="1"/>
    </row>
    <row r="353" spans="1:18" x14ac:dyDescent="0.2">
      <c r="A353" s="2"/>
      <c r="B353" s="1"/>
      <c r="C353" s="1"/>
      <c r="D353" s="1"/>
      <c r="E353" s="1"/>
      <c r="F353" s="1"/>
      <c r="G353" s="1"/>
      <c r="H353" s="1"/>
      <c r="I353" s="1"/>
      <c r="J353" s="1"/>
      <c r="K353" s="1"/>
      <c r="L353" s="1"/>
      <c r="M353" s="1"/>
      <c r="N353" s="1"/>
      <c r="O353" s="1"/>
      <c r="P353" s="1"/>
      <c r="Q353" s="1"/>
      <c r="R353" s="1"/>
    </row>
    <row r="354" spans="1:18" x14ac:dyDescent="0.2">
      <c r="A354" s="2"/>
      <c r="B354" s="1"/>
      <c r="C354" s="1"/>
      <c r="D354" s="1"/>
      <c r="E354" s="1"/>
      <c r="F354" s="1"/>
      <c r="G354" s="1"/>
      <c r="H354" s="1"/>
      <c r="I354" s="1"/>
      <c r="J354" s="1"/>
      <c r="K354" s="1"/>
      <c r="L354" s="1"/>
      <c r="M354" s="1"/>
      <c r="N354" s="1"/>
      <c r="O354" s="1"/>
      <c r="P354" s="1"/>
      <c r="Q354" s="1"/>
      <c r="R354" s="1"/>
    </row>
    <row r="355" spans="1:18" x14ac:dyDescent="0.2">
      <c r="A355" s="2"/>
      <c r="B355" s="1"/>
      <c r="C355" s="1"/>
      <c r="D355" s="1"/>
      <c r="E355" s="1"/>
      <c r="F355" s="1"/>
      <c r="G355" s="1"/>
      <c r="H355" s="1"/>
      <c r="I355" s="1"/>
      <c r="J355" s="1"/>
      <c r="K355" s="1"/>
      <c r="L355" s="1"/>
      <c r="M355" s="1"/>
      <c r="N355" s="1"/>
      <c r="O355" s="1"/>
      <c r="P355" s="1"/>
      <c r="Q355" s="1"/>
      <c r="R355" s="1"/>
    </row>
  </sheetData>
  <sheetProtection algorithmName="SHA-512" hashValue="WF8kQMLfHG/K7g7P0ENDM10iohH1z6nTAuCT25a05ZiSmMRblZFFF0jsv1yL4ylDmGsJyUcIUbVdT/18Ytoqcg==" saltValue="Vt0wAqv9rd3T/T9mrDtBpA==" spinCount="100000" sheet="1" objects="1" scenarios="1"/>
  <customSheetViews>
    <customSheetView guid="{5F9ED89D-ECFA-4459-A055-6360C65F3370}" scale="85" fitToPage="1" hiddenRows="1" hiddenColumns="1">
      <selection activeCell="E13" sqref="E13"/>
      <pageMargins left="0" right="0" top="0" bottom="0" header="0" footer="0"/>
      <pageSetup paperSize="9" scale="27" orientation="portrait" r:id="rId1"/>
      <headerFooter>
        <oddFooter>&amp;CDRAFT - FOR DISCUSSION PURPOSES ONLY</oddFooter>
      </headerFooter>
    </customSheetView>
  </customSheetViews>
  <mergeCells count="9">
    <mergeCell ref="N137:N138"/>
    <mergeCell ref="B145:C145"/>
    <mergeCell ref="D145:J145"/>
    <mergeCell ref="N145:N146"/>
    <mergeCell ref="B95:C95"/>
    <mergeCell ref="B96:C96"/>
    <mergeCell ref="B97:C97"/>
    <mergeCell ref="B137:C137"/>
    <mergeCell ref="D137:J137"/>
  </mergeCells>
  <pageMargins left="0.70866141732283472" right="0.70866141732283472" top="0.74803149606299213" bottom="0.74803149606299213" header="0.31496062992125984" footer="0.31496062992125984"/>
  <pageSetup paperSize="8" scale="27" orientation="portrait" r:id="rId2"/>
  <headerFooter>
    <oddFooter>&amp;CDRAFT - FOR DISCUSSION PURPOSES ONLY</oddFooter>
  </headerFooter>
  <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theme="4"/>
  </sheetPr>
  <dimension ref="A1:H18"/>
  <sheetViews>
    <sheetView workbookViewId="0"/>
  </sheetViews>
  <sheetFormatPr defaultColWidth="0" defaultRowHeight="14.25" zeroHeight="1" x14ac:dyDescent="0.2"/>
  <cols>
    <col min="1" max="1" width="17.375" customWidth="1"/>
    <col min="2" max="2" width="31.625" customWidth="1"/>
    <col min="3" max="3" width="15.125" customWidth="1"/>
    <col min="4" max="4" width="30.625" customWidth="1"/>
    <col min="5" max="5" width="21.5" bestFit="1" customWidth="1"/>
    <col min="6" max="6" width="60.875" bestFit="1" customWidth="1"/>
    <col min="7" max="9" width="8.75" customWidth="1"/>
  </cols>
  <sheetData>
    <row r="1" spans="1:8" ht="15.75" x14ac:dyDescent="0.25">
      <c r="A1" s="713"/>
      <c r="B1" s="713"/>
      <c r="C1" s="713"/>
      <c r="D1" s="713" t="s">
        <v>1055</v>
      </c>
      <c r="E1" s="714" t="s">
        <v>115</v>
      </c>
      <c r="F1" s="600" t="s">
        <v>1056</v>
      </c>
    </row>
    <row r="2" spans="1:8" ht="15.75" x14ac:dyDescent="0.25">
      <c r="D2" s="774" t="str">
        <f>IF('Participant Information'!G9="Incomplete","FAIL","PASS")</f>
        <v>FAIL</v>
      </c>
      <c r="E2" s="715" t="str">
        <f>'Participant Information'!E10</f>
        <v>V0.05</v>
      </c>
      <c r="F2" s="601" t="str">
        <f>VLOOKUP(E6&amp;"_"&amp;Control!E6,$D$10:$H$17,5,0)</f>
        <v>Prudential - Annual Return - Non-Life Class 12</v>
      </c>
    </row>
    <row r="3" spans="1:8" x14ac:dyDescent="0.2"/>
    <row r="4" spans="1:8" x14ac:dyDescent="0.2">
      <c r="D4" s="602" t="s">
        <v>1057</v>
      </c>
      <c r="E4" s="602" t="str">
        <f ca="1">IFERROR(OFFSET($A$1,MATCH("FAIL",$C$2:$C$18,0),0),"N/A")</f>
        <v>N/A</v>
      </c>
    </row>
    <row r="5" spans="1:8" x14ac:dyDescent="0.2"/>
    <row r="6" spans="1:8" x14ac:dyDescent="0.2">
      <c r="D6" t="s">
        <v>1058</v>
      </c>
      <c r="E6" t="s">
        <v>1059</v>
      </c>
    </row>
    <row r="7" spans="1:8" x14ac:dyDescent="0.2"/>
    <row r="8" spans="1:8" x14ac:dyDescent="0.2"/>
    <row r="9" spans="1:8" x14ac:dyDescent="0.2">
      <c r="D9" s="602" t="s">
        <v>16</v>
      </c>
      <c r="E9" s="602" t="s">
        <v>1060</v>
      </c>
      <c r="F9" s="602" t="s">
        <v>1061</v>
      </c>
      <c r="G9" s="602" t="s">
        <v>1062</v>
      </c>
      <c r="H9" s="602" t="s">
        <v>1056</v>
      </c>
    </row>
    <row r="10" spans="1:8" x14ac:dyDescent="0.2">
      <c r="D10" t="s">
        <v>1063</v>
      </c>
      <c r="E10" t="s">
        <v>76</v>
      </c>
      <c r="F10" t="s">
        <v>1064</v>
      </c>
      <c r="G10" t="s">
        <v>1065</v>
      </c>
      <c r="H10" t="str">
        <f>G10&amp;" - "&amp;F10</f>
        <v>Prudential - Annual Return - Non-Life Class 13</v>
      </c>
    </row>
    <row r="11" spans="1:8" x14ac:dyDescent="0.2">
      <c r="D11" t="s">
        <v>1066</v>
      </c>
      <c r="E11" t="s">
        <v>159</v>
      </c>
      <c r="F11" t="s">
        <v>1067</v>
      </c>
      <c r="G11" t="s">
        <v>1065</v>
      </c>
      <c r="H11" t="str">
        <f t="shared" ref="H11:H17" si="0">G11&amp;" - "&amp;F11</f>
        <v>Prudential - Biannual Return - Non-Life Class 13</v>
      </c>
    </row>
    <row r="12" spans="1:8" x14ac:dyDescent="0.2">
      <c r="D12" t="s">
        <v>1068</v>
      </c>
      <c r="E12" t="s">
        <v>76</v>
      </c>
      <c r="F12" t="s">
        <v>1069</v>
      </c>
      <c r="G12" t="s">
        <v>1065</v>
      </c>
      <c r="H12" t="str">
        <f t="shared" si="0"/>
        <v>Prudential - Annual Return - Non-Life Class 3-9 &amp; 11</v>
      </c>
    </row>
    <row r="13" spans="1:8" x14ac:dyDescent="0.2">
      <c r="D13" t="s">
        <v>1070</v>
      </c>
      <c r="E13" t="s">
        <v>1071</v>
      </c>
      <c r="F13" t="s">
        <v>1072</v>
      </c>
      <c r="G13" t="s">
        <v>1065</v>
      </c>
      <c r="H13" t="str">
        <f t="shared" si="0"/>
        <v>Prudential - Quarterly Return - Non-Life Class 3-9 &amp; 11</v>
      </c>
    </row>
    <row r="14" spans="1:8" x14ac:dyDescent="0.2">
      <c r="D14" t="s">
        <v>1073</v>
      </c>
      <c r="E14" t="s">
        <v>76</v>
      </c>
      <c r="F14" t="s">
        <v>1074</v>
      </c>
      <c r="G14" t="s">
        <v>1065</v>
      </c>
      <c r="H14" t="str">
        <f t="shared" si="0"/>
        <v>Prudential - Annual Return - Non-Life Class 12</v>
      </c>
    </row>
    <row r="15" spans="1:8" x14ac:dyDescent="0.2">
      <c r="D15" t="s">
        <v>1075</v>
      </c>
      <c r="E15" t="s">
        <v>159</v>
      </c>
      <c r="F15" t="s">
        <v>1076</v>
      </c>
      <c r="G15" t="s">
        <v>1065</v>
      </c>
      <c r="H15" t="str">
        <f t="shared" si="0"/>
        <v>Prudential - Biannual Return - Non-Life Class 12</v>
      </c>
    </row>
    <row r="16" spans="1:8" x14ac:dyDescent="0.2">
      <c r="D16" t="s">
        <v>1077</v>
      </c>
      <c r="E16" t="s">
        <v>76</v>
      </c>
      <c r="F16" t="s">
        <v>1121</v>
      </c>
      <c r="G16" t="s">
        <v>1065</v>
      </c>
      <c r="H16" t="str">
        <f t="shared" si="0"/>
        <v>Prudential - Annual Return - Life 1, 2, 10 &amp; 12</v>
      </c>
    </row>
    <row r="17" spans="4:8" x14ac:dyDescent="0.2">
      <c r="D17" t="s">
        <v>1078</v>
      </c>
      <c r="E17" t="s">
        <v>1071</v>
      </c>
      <c r="F17" t="s">
        <v>1120</v>
      </c>
      <c r="G17" t="s">
        <v>1065</v>
      </c>
      <c r="H17" t="str">
        <f t="shared" si="0"/>
        <v>Prudential - Quarterly Return - Life 1, 2, 10 &amp; 12</v>
      </c>
    </row>
    <row r="18" spans="4:8" x14ac:dyDescent="0.2"/>
  </sheetData>
  <sheetProtection algorithmName="SHA-512" hashValue="/0Yy+MfTRyPRZl8Yv6dWKQf+osmebCjgfD0/5yx3Dwi5TEOdUw41RcomGGTbbLKFwDhxTEphsteul6P1A5AcRw==" saltValue="NsrvpbtRXrGa5QLPnNrTZA==" spinCount="100000" sheet="1" objects="1" scenarios="1"/>
  <dataConsolidate/>
  <dataValidations count="1">
    <dataValidation type="list" allowBlank="1" showInputMessage="1" showErrorMessage="1" sqref="E6" xr:uid="{00000000-0002-0000-2500-000000000000}">
      <formula1>"LT, NLT-C3-9&amp;11,NLT-C12,NLT-C13"</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tabColor rgb="FFFF99FF"/>
  </sheetPr>
  <dimension ref="A1:Z44"/>
  <sheetViews>
    <sheetView workbookViewId="0"/>
  </sheetViews>
  <sheetFormatPr defaultColWidth="0" defaultRowHeight="14.25" zeroHeight="1" x14ac:dyDescent="0.2"/>
  <cols>
    <col min="1" max="1" width="3.125" customWidth="1"/>
    <col min="2" max="2" width="15.625" customWidth="1"/>
    <col min="3" max="3" width="16.125" customWidth="1"/>
    <col min="4" max="4" width="21.625" customWidth="1"/>
    <col min="5" max="5" width="20.125" customWidth="1"/>
    <col min="6" max="26" width="9" customWidth="1"/>
  </cols>
  <sheetData>
    <row r="1" spans="1:26" ht="15.75" x14ac:dyDescent="0.25">
      <c r="A1" s="59">
        <v>1</v>
      </c>
      <c r="B1" s="59"/>
      <c r="C1" s="60"/>
      <c r="D1" s="60"/>
      <c r="E1" s="60"/>
      <c r="F1" s="60"/>
      <c r="G1" s="60"/>
      <c r="H1" s="60"/>
      <c r="I1" s="60"/>
      <c r="J1" s="60"/>
      <c r="K1" s="60"/>
      <c r="L1" s="60"/>
      <c r="M1" s="60"/>
      <c r="N1" s="60"/>
      <c r="O1" s="60"/>
      <c r="P1" s="60"/>
      <c r="Q1" s="60"/>
      <c r="R1" s="60"/>
      <c r="S1" s="60"/>
      <c r="T1" s="60"/>
      <c r="U1" s="60"/>
      <c r="V1" s="60"/>
      <c r="W1" s="60"/>
      <c r="X1" s="60"/>
      <c r="Y1" s="60"/>
      <c r="Z1" s="60"/>
    </row>
    <row r="2" spans="1:26" ht="52.5" customHeight="1" x14ac:dyDescent="0.25">
      <c r="A2" s="60"/>
      <c r="B2" s="60"/>
      <c r="C2" s="60"/>
      <c r="D2" s="60"/>
      <c r="E2" s="60"/>
      <c r="F2" s="60"/>
      <c r="G2" s="60"/>
      <c r="H2" s="60"/>
      <c r="I2" s="60"/>
      <c r="J2" s="61"/>
      <c r="K2" s="60"/>
      <c r="L2" s="60"/>
      <c r="M2" s="60"/>
      <c r="N2" s="60"/>
      <c r="O2" s="60"/>
      <c r="P2" s="60"/>
      <c r="Q2" s="60"/>
      <c r="R2" s="60"/>
      <c r="S2" s="60"/>
      <c r="T2" s="60"/>
      <c r="U2" s="60"/>
      <c r="V2" s="60"/>
      <c r="W2" s="60"/>
      <c r="X2" s="60"/>
      <c r="Y2" s="60"/>
      <c r="Z2" s="60"/>
    </row>
    <row r="3" spans="1:26" ht="15.75" x14ac:dyDescent="0.25">
      <c r="A3" s="53"/>
      <c r="B3" s="53"/>
      <c r="C3" s="53"/>
      <c r="D3" s="53"/>
      <c r="E3" s="53"/>
      <c r="F3" s="53"/>
      <c r="G3" s="53"/>
      <c r="H3" s="53"/>
      <c r="I3" s="53"/>
      <c r="J3" s="53"/>
      <c r="K3" s="53"/>
      <c r="L3" s="53"/>
      <c r="M3" s="53"/>
      <c r="N3" s="53"/>
      <c r="O3" s="53"/>
      <c r="P3" s="53"/>
      <c r="Q3" s="53"/>
      <c r="R3" s="53"/>
      <c r="S3" s="53"/>
      <c r="T3" s="53"/>
      <c r="U3" s="53"/>
      <c r="V3" s="53"/>
      <c r="W3" s="53"/>
      <c r="X3" s="53"/>
      <c r="Y3" s="53"/>
      <c r="Z3" s="56"/>
    </row>
    <row r="4" spans="1:26" ht="22.5" customHeight="1" x14ac:dyDescent="0.25">
      <c r="A4" s="427" t="s">
        <v>92</v>
      </c>
      <c r="B4" s="53"/>
      <c r="C4" s="53"/>
      <c r="D4" s="53"/>
      <c r="E4" s="53"/>
      <c r="F4" s="53"/>
      <c r="G4" s="53"/>
      <c r="H4" s="53"/>
      <c r="I4" s="53"/>
      <c r="J4" s="53"/>
      <c r="K4" s="53"/>
      <c r="L4" s="53"/>
      <c r="M4" s="53"/>
      <c r="N4" s="53"/>
      <c r="O4" s="53"/>
      <c r="P4" s="53"/>
      <c r="Q4" s="53"/>
      <c r="R4" s="53"/>
      <c r="S4" s="53"/>
      <c r="T4" s="53"/>
      <c r="U4" s="53"/>
      <c r="V4" s="53"/>
      <c r="W4" s="53"/>
      <c r="X4" s="53"/>
      <c r="Y4" s="53"/>
      <c r="Z4" s="56"/>
    </row>
    <row r="5" spans="1:26" ht="15.75" x14ac:dyDescent="0.25">
      <c r="A5" s="211" t="s">
        <v>93</v>
      </c>
      <c r="B5" s="53"/>
      <c r="C5" s="53"/>
      <c r="D5" s="53"/>
      <c r="E5" s="53"/>
      <c r="F5" s="53"/>
      <c r="G5" s="53"/>
      <c r="H5" s="53"/>
      <c r="I5" s="53"/>
      <c r="J5" s="53"/>
      <c r="K5" s="53"/>
      <c r="L5" s="53"/>
      <c r="M5" s="53"/>
      <c r="N5" s="53"/>
      <c r="O5" s="53"/>
      <c r="P5" s="53"/>
      <c r="Q5" s="53"/>
      <c r="R5" s="53"/>
      <c r="S5" s="53"/>
      <c r="T5" s="53"/>
      <c r="U5" s="53"/>
      <c r="V5" s="53"/>
      <c r="W5" s="53"/>
      <c r="X5" s="53"/>
      <c r="Y5" s="53"/>
      <c r="Z5" s="56"/>
    </row>
    <row r="6" spans="1:26" ht="15.75" x14ac:dyDescent="0.25">
      <c r="A6" s="211" t="s">
        <v>94</v>
      </c>
      <c r="B6" s="53"/>
      <c r="C6" s="53"/>
      <c r="D6" s="53"/>
      <c r="E6" s="53"/>
      <c r="F6" s="53"/>
      <c r="G6" s="53"/>
      <c r="H6" s="53"/>
      <c r="I6" s="53"/>
      <c r="J6" s="53"/>
      <c r="K6" s="53"/>
      <c r="L6" s="53"/>
      <c r="M6" s="53"/>
      <c r="N6" s="53"/>
      <c r="O6" s="53"/>
      <c r="P6" s="53"/>
      <c r="Q6" s="53"/>
      <c r="R6" s="53"/>
      <c r="S6" s="53"/>
      <c r="T6" s="53"/>
      <c r="U6" s="53"/>
      <c r="V6" s="53"/>
      <c r="W6" s="53"/>
      <c r="X6" s="53"/>
      <c r="Y6" s="53"/>
      <c r="Z6" s="56"/>
    </row>
    <row r="7" spans="1:26" ht="15.75" x14ac:dyDescent="0.25">
      <c r="A7" s="211"/>
      <c r="B7" s="53"/>
      <c r="C7" s="53"/>
      <c r="D7" s="53"/>
      <c r="E7" s="53"/>
      <c r="F7" s="53"/>
      <c r="G7" s="53"/>
      <c r="H7" s="53"/>
      <c r="I7" s="53"/>
      <c r="J7" s="53"/>
      <c r="K7" s="53"/>
      <c r="L7" s="53"/>
      <c r="M7" s="53"/>
      <c r="N7" s="53"/>
      <c r="O7" s="53"/>
      <c r="P7" s="53"/>
      <c r="Q7" s="53"/>
      <c r="R7" s="53"/>
      <c r="S7" s="53"/>
      <c r="T7" s="53"/>
      <c r="U7" s="53"/>
      <c r="V7" s="53"/>
      <c r="W7" s="53"/>
      <c r="X7" s="53"/>
      <c r="Y7" s="53"/>
      <c r="Z7" s="56"/>
    </row>
    <row r="8" spans="1:26" ht="15.75" x14ac:dyDescent="0.25">
      <c r="A8" s="211"/>
      <c r="B8" s="53"/>
      <c r="C8" s="53"/>
      <c r="D8" s="53"/>
      <c r="E8" s="53"/>
      <c r="F8" s="53"/>
      <c r="G8" s="53"/>
      <c r="H8" s="53"/>
      <c r="I8" s="53"/>
      <c r="J8" s="53"/>
      <c r="K8" s="53"/>
      <c r="L8" s="53"/>
      <c r="M8" s="53"/>
      <c r="N8" s="53"/>
      <c r="O8" s="53"/>
      <c r="P8" s="53"/>
      <c r="Q8" s="53"/>
      <c r="R8" s="53"/>
      <c r="S8" s="53"/>
      <c r="T8" s="53"/>
      <c r="U8" s="53"/>
      <c r="V8" s="53"/>
      <c r="W8" s="53"/>
      <c r="X8" s="53"/>
      <c r="Y8" s="53"/>
      <c r="Z8" s="56"/>
    </row>
    <row r="9" spans="1:26" ht="15.75" x14ac:dyDescent="0.25">
      <c r="A9" s="211"/>
      <c r="B9" s="53"/>
      <c r="C9" s="53"/>
      <c r="D9" s="53"/>
      <c r="E9" s="53"/>
      <c r="F9" s="53"/>
      <c r="G9" s="53"/>
      <c r="H9" s="53"/>
      <c r="I9" s="53"/>
      <c r="J9" s="53"/>
      <c r="K9" s="53"/>
      <c r="L9" s="53"/>
      <c r="M9" s="53"/>
      <c r="N9" s="53"/>
      <c r="O9" s="53"/>
      <c r="P9" s="53"/>
      <c r="Q9" s="53"/>
      <c r="R9" s="53"/>
      <c r="S9" s="53"/>
      <c r="T9" s="53"/>
      <c r="U9" s="53"/>
      <c r="V9" s="53"/>
      <c r="W9" s="53"/>
      <c r="X9" s="53"/>
      <c r="Y9" s="53"/>
      <c r="Z9" s="56"/>
    </row>
    <row r="10" spans="1:26" ht="15.75" x14ac:dyDescent="0.25">
      <c r="A10" s="211"/>
      <c r="B10" s="53"/>
      <c r="C10" s="53"/>
      <c r="D10" s="53"/>
      <c r="E10" s="53"/>
      <c r="F10" s="53"/>
      <c r="G10" s="53"/>
      <c r="H10" s="53"/>
      <c r="I10" s="53"/>
      <c r="J10" s="53"/>
      <c r="K10" s="53"/>
      <c r="L10" s="53"/>
      <c r="M10" s="53"/>
      <c r="N10" s="53"/>
      <c r="O10" s="53"/>
      <c r="P10" s="53"/>
      <c r="Q10" s="53"/>
      <c r="R10" s="53"/>
      <c r="S10" s="53"/>
      <c r="T10" s="53"/>
      <c r="U10" s="53"/>
      <c r="V10" s="53"/>
      <c r="W10" s="53"/>
      <c r="X10" s="53"/>
      <c r="Y10" s="53"/>
      <c r="Z10" s="56"/>
    </row>
    <row r="11" spans="1:26" ht="15.75" x14ac:dyDescent="0.25">
      <c r="A11" s="211"/>
      <c r="B11" s="53"/>
      <c r="C11" s="53"/>
      <c r="D11" s="53"/>
      <c r="E11" s="53"/>
      <c r="F11" s="53"/>
      <c r="G11" s="53"/>
      <c r="H11" s="53"/>
      <c r="I11" s="53"/>
      <c r="J11" s="53"/>
      <c r="K11" s="53"/>
      <c r="L11" s="53"/>
      <c r="M11" s="53"/>
      <c r="N11" s="53"/>
      <c r="O11" s="53"/>
      <c r="P11" s="53"/>
      <c r="Q11" s="53"/>
      <c r="R11" s="53"/>
      <c r="S11" s="53"/>
      <c r="T11" s="53"/>
      <c r="U11" s="53"/>
      <c r="V11" s="53"/>
      <c r="W11" s="53"/>
      <c r="X11" s="53"/>
      <c r="Y11" s="53"/>
      <c r="Z11" s="56"/>
    </row>
    <row r="12" spans="1:26" ht="15.75" x14ac:dyDescent="0.25">
      <c r="A12" s="211"/>
      <c r="B12" s="53"/>
      <c r="C12" s="53"/>
      <c r="D12" s="53"/>
      <c r="E12" s="53"/>
      <c r="F12" s="53"/>
      <c r="G12" s="53"/>
      <c r="H12" s="53"/>
      <c r="I12" s="53"/>
      <c r="J12" s="53"/>
      <c r="K12" s="53"/>
      <c r="L12" s="53"/>
      <c r="M12" s="53"/>
      <c r="N12" s="53"/>
      <c r="O12" s="53"/>
      <c r="P12" s="53"/>
      <c r="Q12" s="53"/>
      <c r="R12" s="53"/>
      <c r="S12" s="53"/>
      <c r="T12" s="53"/>
      <c r="U12" s="53"/>
      <c r="V12" s="53"/>
      <c r="W12" s="53"/>
      <c r="X12" s="53"/>
      <c r="Y12" s="53"/>
      <c r="Z12" s="56"/>
    </row>
    <row r="13" spans="1:26" ht="15.75" x14ac:dyDescent="0.25">
      <c r="A13" s="211"/>
      <c r="B13" s="53"/>
      <c r="C13" s="53"/>
      <c r="D13" s="53"/>
      <c r="E13" s="53"/>
      <c r="F13" s="53"/>
      <c r="G13" s="53"/>
      <c r="H13" s="53"/>
      <c r="I13" s="53"/>
      <c r="J13" s="53"/>
      <c r="K13" s="53"/>
      <c r="L13" s="53"/>
      <c r="M13" s="53"/>
      <c r="N13" s="53"/>
      <c r="O13" s="53"/>
      <c r="P13" s="53"/>
      <c r="Q13" s="53"/>
      <c r="R13" s="53"/>
      <c r="S13" s="53"/>
      <c r="T13" s="53"/>
      <c r="U13" s="53"/>
      <c r="V13" s="53"/>
      <c r="W13" s="53"/>
      <c r="X13" s="53"/>
      <c r="Y13" s="53"/>
      <c r="Z13" s="56"/>
    </row>
    <row r="14" spans="1:26" ht="15.75" x14ac:dyDescent="0.25">
      <c r="A14" s="211"/>
      <c r="B14" s="53"/>
      <c r="C14" s="53"/>
      <c r="D14" s="53"/>
      <c r="E14" s="53"/>
      <c r="F14" s="53"/>
      <c r="G14" s="53"/>
      <c r="H14" s="53"/>
      <c r="I14" s="53"/>
      <c r="J14" s="53"/>
      <c r="K14" s="53"/>
      <c r="L14" s="53"/>
      <c r="M14" s="53"/>
      <c r="N14" s="53"/>
      <c r="O14" s="53"/>
      <c r="P14" s="53"/>
      <c r="Q14" s="53"/>
      <c r="R14" s="53"/>
      <c r="S14" s="53"/>
      <c r="T14" s="53"/>
      <c r="U14" s="53"/>
      <c r="V14" s="53"/>
      <c r="W14" s="53"/>
      <c r="X14" s="53"/>
      <c r="Y14" s="53"/>
      <c r="Z14" s="56"/>
    </row>
    <row r="15" spans="1:26" ht="15.75" x14ac:dyDescent="0.25">
      <c r="A15" s="211"/>
      <c r="B15" s="53"/>
      <c r="C15" s="53"/>
      <c r="D15" s="53"/>
      <c r="E15" s="53"/>
      <c r="F15" s="53"/>
      <c r="G15" s="53"/>
      <c r="H15" s="53"/>
      <c r="I15" s="53"/>
      <c r="J15" s="53"/>
      <c r="K15" s="53"/>
      <c r="L15" s="53"/>
      <c r="M15" s="53"/>
      <c r="N15" s="53"/>
      <c r="O15" s="53"/>
      <c r="P15" s="53"/>
      <c r="Q15" s="53"/>
      <c r="R15" s="53"/>
      <c r="S15" s="53"/>
      <c r="T15" s="53"/>
      <c r="U15" s="53"/>
      <c r="V15" s="53"/>
      <c r="W15" s="53"/>
      <c r="X15" s="53"/>
      <c r="Y15" s="53"/>
      <c r="Z15" s="56"/>
    </row>
    <row r="16" spans="1:26" ht="15.75" x14ac:dyDescent="0.25">
      <c r="A16" s="427"/>
      <c r="B16" s="53"/>
      <c r="C16" s="53"/>
      <c r="D16" s="53"/>
      <c r="E16" s="53"/>
      <c r="F16" s="53"/>
      <c r="G16" s="53"/>
      <c r="H16" s="53"/>
      <c r="I16" s="53"/>
      <c r="J16" s="53"/>
      <c r="K16" s="53"/>
      <c r="L16" s="53"/>
      <c r="M16" s="53"/>
      <c r="N16" s="53"/>
      <c r="O16" s="53"/>
      <c r="P16" s="53"/>
      <c r="Q16" s="53"/>
      <c r="R16" s="53"/>
      <c r="S16" s="53"/>
      <c r="T16" s="53"/>
      <c r="U16" s="53"/>
      <c r="V16" s="53"/>
      <c r="W16" s="53"/>
      <c r="X16" s="53"/>
      <c r="Y16" s="53"/>
      <c r="Z16" s="56"/>
    </row>
    <row r="17" spans="1:26" ht="15.75"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6"/>
    </row>
    <row r="18" spans="1:26" ht="15.75"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6"/>
    </row>
    <row r="19" spans="1:26" ht="15.75"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6"/>
    </row>
    <row r="20" spans="1:26" ht="15.75"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6"/>
    </row>
    <row r="21" spans="1:26" ht="15.75"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6"/>
    </row>
    <row r="22" spans="1:26" ht="15.75"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6"/>
    </row>
    <row r="23" spans="1:26" ht="47.2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6"/>
    </row>
    <row r="24" spans="1:26" ht="15.75"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6"/>
    </row>
    <row r="25" spans="1:26" ht="15.75" x14ac:dyDescent="0.25">
      <c r="A25" s="427" t="s">
        <v>95</v>
      </c>
      <c r="B25" s="53"/>
      <c r="C25" s="53"/>
      <c r="D25" s="53"/>
      <c r="E25" s="53"/>
      <c r="F25" s="53"/>
      <c r="G25" s="53"/>
      <c r="H25" s="53"/>
      <c r="I25" s="53"/>
      <c r="J25" s="53"/>
      <c r="K25" s="53"/>
      <c r="L25" s="53"/>
      <c r="M25" s="53"/>
      <c r="N25" s="53"/>
      <c r="O25" s="53"/>
      <c r="P25" s="53"/>
      <c r="Q25" s="53"/>
      <c r="R25" s="53"/>
      <c r="S25" s="53"/>
      <c r="T25" s="53"/>
      <c r="U25" s="53"/>
      <c r="V25" s="53"/>
      <c r="W25" s="53"/>
      <c r="X25" s="53"/>
      <c r="Y25" s="53"/>
      <c r="Z25" s="56"/>
    </row>
    <row r="26" spans="1:26" ht="15.75" x14ac:dyDescent="0.25">
      <c r="A26" s="211" t="s">
        <v>96</v>
      </c>
      <c r="B26" s="53"/>
      <c r="C26" s="53"/>
      <c r="D26" s="53"/>
      <c r="E26" s="53"/>
      <c r="F26" s="53"/>
      <c r="G26" s="53"/>
      <c r="H26" s="53"/>
      <c r="I26" s="53"/>
      <c r="J26" s="53"/>
      <c r="K26" s="53"/>
      <c r="L26" s="53"/>
      <c r="M26" s="53"/>
      <c r="N26" s="53"/>
      <c r="O26" s="53"/>
      <c r="P26" s="53"/>
      <c r="Q26" s="53"/>
      <c r="R26" s="53"/>
      <c r="S26" s="53"/>
      <c r="T26" s="53"/>
      <c r="U26" s="53"/>
      <c r="V26" s="53"/>
      <c r="W26" s="53"/>
      <c r="X26" s="53"/>
      <c r="Y26" s="53"/>
      <c r="Z26" s="56"/>
    </row>
    <row r="27" spans="1:26" ht="15.75"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6"/>
    </row>
    <row r="28" spans="1:26" ht="57.75" customHeight="1" x14ac:dyDescent="0.25">
      <c r="A28" s="53"/>
      <c r="B28" s="428" t="s">
        <v>64</v>
      </c>
      <c r="C28" s="428" t="s">
        <v>50</v>
      </c>
      <c r="D28" s="428" t="s">
        <v>97</v>
      </c>
      <c r="E28" s="428" t="s">
        <v>98</v>
      </c>
      <c r="F28" s="53"/>
      <c r="G28" s="53"/>
      <c r="H28" s="53"/>
      <c r="I28" s="53"/>
      <c r="J28" s="53"/>
      <c r="K28" s="53"/>
      <c r="L28" s="53"/>
      <c r="M28" s="53"/>
      <c r="N28" s="53"/>
      <c r="O28" s="53"/>
      <c r="P28" s="53"/>
      <c r="Q28" s="53"/>
      <c r="R28" s="53"/>
      <c r="S28" s="53"/>
      <c r="T28" s="53"/>
      <c r="U28" s="53"/>
      <c r="V28" s="53"/>
      <c r="W28" s="53"/>
      <c r="X28" s="53"/>
      <c r="Y28" s="53"/>
      <c r="Z28" s="56"/>
    </row>
    <row r="29" spans="1:26" ht="31.5" x14ac:dyDescent="0.25">
      <c r="A29" s="53"/>
      <c r="B29" s="429" t="s">
        <v>99</v>
      </c>
      <c r="C29" s="429" t="s">
        <v>100</v>
      </c>
      <c r="D29" s="429" t="s">
        <v>101</v>
      </c>
      <c r="E29" s="429" t="s">
        <v>102</v>
      </c>
      <c r="F29" s="53"/>
      <c r="G29" s="53"/>
      <c r="H29" s="53"/>
      <c r="I29" s="53"/>
      <c r="J29" s="53"/>
      <c r="K29" s="53"/>
      <c r="L29" s="53"/>
      <c r="M29" s="53"/>
      <c r="N29" s="53"/>
      <c r="O29" s="53"/>
      <c r="P29" s="53"/>
      <c r="Q29" s="53"/>
      <c r="R29" s="53"/>
      <c r="S29" s="53"/>
      <c r="T29" s="53"/>
      <c r="U29" s="53"/>
      <c r="V29" s="53"/>
      <c r="W29" s="53"/>
      <c r="X29" s="53"/>
      <c r="Y29" s="53"/>
      <c r="Z29" s="56"/>
    </row>
    <row r="30" spans="1:26" ht="31.5" x14ac:dyDescent="0.25">
      <c r="A30" s="53"/>
      <c r="B30" s="429" t="s">
        <v>103</v>
      </c>
      <c r="C30" s="429" t="s">
        <v>104</v>
      </c>
      <c r="D30" s="429" t="s">
        <v>105</v>
      </c>
      <c r="E30" s="429"/>
      <c r="F30" s="53"/>
      <c r="G30" s="53"/>
      <c r="H30" s="53"/>
      <c r="I30" s="53"/>
      <c r="J30" s="53"/>
      <c r="K30" s="53"/>
      <c r="L30" s="53"/>
      <c r="M30" s="53"/>
      <c r="N30" s="53"/>
      <c r="O30" s="53"/>
      <c r="P30" s="53"/>
      <c r="Q30" s="53"/>
      <c r="R30" s="53"/>
      <c r="S30" s="53"/>
      <c r="T30" s="53"/>
      <c r="U30" s="53"/>
      <c r="V30" s="53"/>
      <c r="W30" s="53"/>
      <c r="X30" s="53"/>
      <c r="Y30" s="53"/>
      <c r="Z30" s="56"/>
    </row>
    <row r="31" spans="1:26" ht="31.5" x14ac:dyDescent="0.25">
      <c r="A31" s="53"/>
      <c r="B31" s="429" t="s">
        <v>106</v>
      </c>
      <c r="C31" s="429"/>
      <c r="D31" s="429" t="s">
        <v>107</v>
      </c>
      <c r="E31" s="429"/>
      <c r="F31" s="53"/>
      <c r="G31" s="53"/>
      <c r="H31" s="53"/>
      <c r="I31" s="53"/>
      <c r="J31" s="53"/>
      <c r="K31" s="53"/>
      <c r="L31" s="53"/>
      <c r="M31" s="53"/>
      <c r="N31" s="53"/>
      <c r="O31" s="53"/>
      <c r="P31" s="53"/>
      <c r="Q31" s="53"/>
      <c r="R31" s="53"/>
      <c r="S31" s="53"/>
      <c r="T31" s="53"/>
      <c r="U31" s="53"/>
      <c r="V31" s="53"/>
      <c r="W31" s="53"/>
      <c r="X31" s="53"/>
      <c r="Y31" s="53"/>
      <c r="Z31" s="56"/>
    </row>
    <row r="32" spans="1:26" ht="15.75" x14ac:dyDescent="0.25">
      <c r="A32" s="53"/>
      <c r="B32" s="429" t="s">
        <v>108</v>
      </c>
      <c r="C32" s="429"/>
      <c r="D32" s="429"/>
      <c r="E32" s="429"/>
      <c r="F32" s="53"/>
      <c r="G32" s="53"/>
      <c r="H32" s="53"/>
      <c r="I32" s="53"/>
      <c r="J32" s="53"/>
      <c r="K32" s="53"/>
      <c r="L32" s="53"/>
      <c r="M32" s="53"/>
      <c r="N32" s="53"/>
      <c r="O32" s="53"/>
      <c r="P32" s="53"/>
      <c r="Q32" s="53"/>
      <c r="R32" s="53"/>
      <c r="S32" s="53"/>
      <c r="T32" s="53"/>
      <c r="U32" s="53"/>
      <c r="V32" s="53"/>
      <c r="W32" s="53"/>
      <c r="X32" s="53"/>
      <c r="Y32" s="53"/>
      <c r="Z32" s="56"/>
    </row>
    <row r="33" spans="1:26" ht="15.75" x14ac:dyDescent="0.25">
      <c r="A33" s="53"/>
      <c r="B33" s="429" t="s">
        <v>109</v>
      </c>
      <c r="C33" s="429"/>
      <c r="D33" s="429"/>
      <c r="E33" s="429"/>
      <c r="F33" s="53"/>
      <c r="G33" s="53"/>
      <c r="H33" s="53"/>
      <c r="I33" s="53"/>
      <c r="J33" s="53"/>
      <c r="K33" s="53"/>
      <c r="L33" s="53"/>
      <c r="M33" s="53"/>
      <c r="N33" s="53"/>
      <c r="O33" s="53"/>
      <c r="P33" s="53"/>
      <c r="Q33" s="53"/>
      <c r="R33" s="53"/>
      <c r="S33" s="53"/>
      <c r="T33" s="53"/>
      <c r="U33" s="53"/>
      <c r="V33" s="53"/>
      <c r="W33" s="53"/>
      <c r="X33" s="53"/>
      <c r="Y33" s="53"/>
      <c r="Z33" s="56"/>
    </row>
    <row r="34" spans="1:26" ht="18" customHeight="1" x14ac:dyDescent="0.25">
      <c r="A34" s="53"/>
      <c r="B34" s="429" t="s">
        <v>110</v>
      </c>
      <c r="C34" s="429"/>
      <c r="D34" s="429"/>
      <c r="E34" s="429"/>
      <c r="F34" s="53"/>
      <c r="G34" s="53"/>
      <c r="H34" s="53"/>
      <c r="I34" s="53"/>
      <c r="J34" s="53"/>
      <c r="K34" s="53"/>
      <c r="L34" s="53"/>
      <c r="M34" s="53"/>
      <c r="N34" s="53"/>
      <c r="O34" s="53"/>
      <c r="P34" s="53"/>
      <c r="Q34" s="53"/>
      <c r="R34" s="53"/>
      <c r="S34" s="53"/>
      <c r="T34" s="53"/>
      <c r="U34" s="53"/>
      <c r="V34" s="53"/>
      <c r="W34" s="53"/>
      <c r="X34" s="53"/>
      <c r="Y34" s="53"/>
      <c r="Z34" s="56"/>
    </row>
    <row r="35" spans="1:26" ht="15.75"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6"/>
    </row>
    <row r="36" spans="1:26" ht="15.75" x14ac:dyDescent="0.25">
      <c r="A36" s="211" t="s">
        <v>111</v>
      </c>
      <c r="B36" s="53"/>
      <c r="C36" s="53"/>
      <c r="D36" s="53"/>
      <c r="E36" s="53"/>
      <c r="F36" s="53"/>
      <c r="G36" s="53"/>
      <c r="H36" s="53"/>
      <c r="I36" s="53"/>
      <c r="J36" s="53"/>
      <c r="K36" s="53"/>
      <c r="L36" s="53"/>
      <c r="M36" s="53"/>
      <c r="N36" s="53"/>
      <c r="O36" s="53"/>
      <c r="P36" s="53"/>
      <c r="Q36" s="53"/>
      <c r="R36" s="53"/>
      <c r="S36" s="53"/>
      <c r="T36" s="53"/>
      <c r="U36" s="53"/>
      <c r="V36" s="53"/>
      <c r="W36" s="53"/>
      <c r="X36" s="53"/>
      <c r="Y36" s="53"/>
      <c r="Z36" s="56"/>
    </row>
    <row r="37" spans="1:26" ht="15.75" x14ac:dyDescent="0.25">
      <c r="A37" s="211"/>
      <c r="B37" s="53"/>
      <c r="C37" s="53"/>
      <c r="D37" s="53"/>
      <c r="E37" s="53"/>
      <c r="F37" s="53"/>
      <c r="G37" s="53"/>
      <c r="H37" s="53"/>
      <c r="I37" s="53"/>
      <c r="J37" s="53"/>
      <c r="K37" s="53"/>
      <c r="L37" s="53"/>
      <c r="M37" s="53"/>
      <c r="N37" s="53"/>
      <c r="O37" s="53"/>
      <c r="P37" s="53"/>
      <c r="Q37" s="53"/>
      <c r="R37" s="53"/>
      <c r="S37" s="53"/>
      <c r="T37" s="53"/>
      <c r="U37" s="53"/>
      <c r="V37" s="53"/>
      <c r="W37" s="53"/>
      <c r="X37" s="53"/>
      <c r="Y37" s="53"/>
      <c r="Z37" s="56"/>
    </row>
    <row r="38" spans="1:26" ht="15.75" x14ac:dyDescent="0.25">
      <c r="A38" s="211" t="s">
        <v>112</v>
      </c>
      <c r="B38" s="53"/>
      <c r="C38" s="53"/>
      <c r="D38" s="53"/>
      <c r="E38" s="53"/>
      <c r="F38" s="53"/>
      <c r="G38" s="53"/>
      <c r="H38" s="53"/>
      <c r="I38" s="53"/>
      <c r="J38" s="53"/>
      <c r="K38" s="53"/>
      <c r="L38" s="53"/>
      <c r="M38" s="53"/>
      <c r="N38" s="53"/>
      <c r="O38" s="53"/>
      <c r="P38" s="53"/>
      <c r="Q38" s="53"/>
      <c r="R38" s="53"/>
      <c r="S38" s="53"/>
      <c r="T38" s="53"/>
      <c r="U38" s="53"/>
      <c r="V38" s="53"/>
      <c r="W38" s="53"/>
      <c r="X38" s="53"/>
      <c r="Y38" s="53"/>
      <c r="Z38" s="56"/>
    </row>
    <row r="39" spans="1:26" ht="15.75"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6"/>
    </row>
    <row r="40" spans="1:26" ht="15.75"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6"/>
    </row>
    <row r="41" spans="1:26" ht="15.75"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6"/>
    </row>
    <row r="42" spans="1:26" ht="15.75"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6"/>
    </row>
    <row r="43" spans="1:26" ht="15.75"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6"/>
    </row>
    <row r="44" spans="1:26" ht="15.75"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6"/>
    </row>
  </sheetData>
  <sheetProtection algorithmName="SHA-512" hashValue="f6gVPgi/WSpscVos2+AJ/m4TSg+XIcWeElVog+8Cxu7YooUDobifinsj/eSjV8ZKvY2rDOe0BLmP0iaQmjDZRA==" saltValue="15KBQQkmMhfwLQGG8cNECA==" spinCount="100000" sheet="1" objects="1" scenarios="1"/>
  <conditionalFormatting sqref="J1:J2">
    <cfRule type="cellIs" dxfId="839" priority="1" operator="equal">
      <formula>"OK"</formula>
    </cfRule>
    <cfRule type="cellIs" dxfId="838" priority="2" operator="equal">
      <formula>"ERROR"</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pageSetUpPr fitToPage="1"/>
  </sheetPr>
  <dimension ref="A1:I65"/>
  <sheetViews>
    <sheetView workbookViewId="0"/>
  </sheetViews>
  <sheetFormatPr defaultColWidth="0" defaultRowHeight="14.25" zeroHeight="1" x14ac:dyDescent="0.2"/>
  <cols>
    <col min="1" max="1" width="1.875" customWidth="1"/>
    <col min="2" max="2" width="33.375" customWidth="1"/>
    <col min="3" max="3" width="18.875" customWidth="1"/>
    <col min="4" max="4" width="29" customWidth="1"/>
    <col min="5" max="5" width="48.875" customWidth="1"/>
    <col min="6" max="6" width="4.125" customWidth="1"/>
    <col min="7" max="7" width="12.125" customWidth="1"/>
    <col min="8" max="8" width="1.875" customWidth="1"/>
    <col min="9" max="9" width="1.875" hidden="1"/>
  </cols>
  <sheetData>
    <row r="1" spans="1:8" ht="15.75" x14ac:dyDescent="0.25">
      <c r="A1" s="59">
        <v>1</v>
      </c>
      <c r="B1" s="59"/>
      <c r="C1" s="60"/>
      <c r="D1" s="60"/>
      <c r="E1" s="60"/>
      <c r="F1" s="60"/>
      <c r="G1" s="60"/>
      <c r="H1" s="60"/>
    </row>
    <row r="2" spans="1:8" ht="15.75" x14ac:dyDescent="0.25">
      <c r="A2" s="60"/>
      <c r="B2" s="60"/>
      <c r="C2" s="60"/>
      <c r="D2" s="60"/>
      <c r="E2" s="60"/>
      <c r="F2" s="60"/>
      <c r="G2" s="60"/>
      <c r="H2" s="60"/>
    </row>
    <row r="3" spans="1:8" ht="15.75" x14ac:dyDescent="0.25">
      <c r="A3" s="53"/>
      <c r="B3" s="53"/>
      <c r="C3" s="53"/>
      <c r="D3" s="53"/>
      <c r="E3" s="53"/>
      <c r="F3" s="53"/>
      <c r="G3" s="53"/>
      <c r="H3" s="53"/>
    </row>
    <row r="4" spans="1:8" ht="15.75" x14ac:dyDescent="0.25">
      <c r="A4" s="53"/>
      <c r="B4" s="53"/>
      <c r="C4" s="53"/>
      <c r="D4" s="53"/>
      <c r="E4" s="53"/>
      <c r="F4" s="53"/>
      <c r="G4" s="53"/>
      <c r="H4" s="53"/>
    </row>
    <row r="5" spans="1:8" ht="15.75" x14ac:dyDescent="0.25">
      <c r="A5" s="53"/>
      <c r="B5" s="53"/>
      <c r="C5" s="53"/>
      <c r="D5" s="53"/>
      <c r="E5" s="53"/>
      <c r="F5" s="53"/>
      <c r="G5" s="53"/>
      <c r="H5" s="53"/>
    </row>
    <row r="6" spans="1:8" ht="15.75" x14ac:dyDescent="0.25">
      <c r="A6" s="53"/>
      <c r="B6" s="53"/>
      <c r="C6" s="53"/>
      <c r="D6" s="53"/>
      <c r="E6" s="53"/>
      <c r="F6" s="53"/>
      <c r="G6" s="53"/>
      <c r="H6" s="53"/>
    </row>
    <row r="7" spans="1:8" ht="15.75" x14ac:dyDescent="0.25">
      <c r="A7" s="53"/>
      <c r="B7" s="53"/>
      <c r="C7" s="53"/>
      <c r="D7" s="53"/>
      <c r="E7" s="53"/>
      <c r="F7" s="53"/>
      <c r="G7" s="53"/>
      <c r="H7" s="53"/>
    </row>
    <row r="8" spans="1:8" ht="15.75" x14ac:dyDescent="0.25">
      <c r="A8" s="53"/>
      <c r="B8" s="53"/>
      <c r="C8" s="53"/>
      <c r="D8" s="53"/>
      <c r="E8" s="53"/>
      <c r="F8" s="53"/>
      <c r="G8" s="53"/>
      <c r="H8" s="53"/>
    </row>
    <row r="9" spans="1:8" ht="18.75" x14ac:dyDescent="0.25">
      <c r="A9" s="53"/>
      <c r="B9" s="817" t="s">
        <v>113</v>
      </c>
      <c r="C9" s="817"/>
      <c r="D9" s="817"/>
      <c r="E9" s="817"/>
      <c r="F9" s="53"/>
      <c r="G9" s="334" t="str">
        <f>IF(COUNTIF(G11:G57,"Incomplete")&gt;0,"Incomplete","Complete")</f>
        <v>Incomplete</v>
      </c>
      <c r="H9" s="53"/>
    </row>
    <row r="10" spans="1:8" ht="15.75" x14ac:dyDescent="0.25">
      <c r="A10" s="53"/>
      <c r="B10" s="818" t="s">
        <v>114</v>
      </c>
      <c r="C10" s="819"/>
      <c r="D10" s="610" t="s">
        <v>115</v>
      </c>
      <c r="E10" s="775" t="s">
        <v>1104</v>
      </c>
      <c r="F10" s="53"/>
      <c r="G10" s="53"/>
      <c r="H10" s="53"/>
    </row>
    <row r="11" spans="1:8" ht="15.75" x14ac:dyDescent="0.25">
      <c r="A11" s="53"/>
      <c r="B11" s="611" t="s">
        <v>116</v>
      </c>
      <c r="C11" s="612"/>
      <c r="D11" s="613" t="s">
        <v>117</v>
      </c>
      <c r="E11" s="614" t="s">
        <v>118</v>
      </c>
      <c r="F11" s="53"/>
      <c r="G11" s="334" t="str">
        <f>IF(OR(C11="",E11=""),"Incomplete","Complete")</f>
        <v>Incomplete</v>
      </c>
      <c r="H11" s="53"/>
    </row>
    <row r="12" spans="1:8" ht="15.75" x14ac:dyDescent="0.25">
      <c r="A12" s="53"/>
      <c r="B12" s="611" t="s">
        <v>119</v>
      </c>
      <c r="C12" s="615"/>
      <c r="D12" s="401" t="s">
        <v>120</v>
      </c>
      <c r="E12" s="615"/>
      <c r="F12" s="53"/>
      <c r="G12" s="334" t="str">
        <f>IF(OR(C12="",E12=""),"Incomplete","Complete")</f>
        <v>Incomplete</v>
      </c>
      <c r="H12" s="53"/>
    </row>
    <row r="13" spans="1:8" ht="15.75" x14ac:dyDescent="0.25">
      <c r="A13" s="53"/>
      <c r="B13" s="48"/>
      <c r="C13" s="48"/>
      <c r="D13" s="48"/>
      <c r="E13" s="48"/>
      <c r="F13" s="53"/>
      <c r="G13" s="53"/>
      <c r="H13" s="53"/>
    </row>
    <row r="14" spans="1:8" ht="15.75" x14ac:dyDescent="0.25">
      <c r="A14" s="53"/>
      <c r="B14" s="818" t="s">
        <v>121</v>
      </c>
      <c r="C14" s="820"/>
      <c r="D14" s="820"/>
      <c r="E14" s="819"/>
      <c r="F14" s="53"/>
      <c r="G14" s="53"/>
      <c r="H14" s="53"/>
    </row>
    <row r="15" spans="1:8" ht="15.75" x14ac:dyDescent="0.25">
      <c r="A15" s="53"/>
      <c r="B15" s="616" t="s">
        <v>122</v>
      </c>
      <c r="C15" s="617"/>
      <c r="D15" s="617"/>
      <c r="E15" s="618"/>
      <c r="F15" s="53"/>
      <c r="G15" s="53"/>
      <c r="H15" s="53"/>
    </row>
    <row r="16" spans="1:8" ht="15.75" x14ac:dyDescent="0.25">
      <c r="A16" s="53"/>
      <c r="B16" s="402" t="s">
        <v>123</v>
      </c>
      <c r="C16" s="403"/>
      <c r="D16" s="403"/>
      <c r="E16" s="404"/>
      <c r="F16" s="53"/>
      <c r="G16" s="53"/>
      <c r="H16" s="53"/>
    </row>
    <row r="17" spans="1:8" ht="15.75" x14ac:dyDescent="0.25">
      <c r="A17" s="53"/>
      <c r="B17" s="405" t="s">
        <v>124</v>
      </c>
      <c r="C17" s="49"/>
      <c r="D17" s="405" t="s">
        <v>125</v>
      </c>
      <c r="E17" s="49"/>
      <c r="F17" s="53"/>
      <c r="G17" s="334" t="str">
        <f>IF(OR(C17="",E17=""),"Incomplete","Complete")</f>
        <v>Incomplete</v>
      </c>
      <c r="H17" s="53"/>
    </row>
    <row r="18" spans="1:8" ht="15.75" x14ac:dyDescent="0.25">
      <c r="A18" s="53"/>
      <c r="B18" s="619" t="s">
        <v>126</v>
      </c>
      <c r="C18" s="612"/>
      <c r="D18" s="619" t="s">
        <v>126</v>
      </c>
      <c r="E18" s="612"/>
      <c r="F18" s="53"/>
      <c r="G18" s="334" t="str">
        <f t="shared" ref="G18:G19" si="0">IF(OR(C18="",E18=""),"Incomplete","Complete")</f>
        <v>Incomplete</v>
      </c>
      <c r="H18" s="53"/>
    </row>
    <row r="19" spans="1:8" ht="15.75" x14ac:dyDescent="0.25">
      <c r="A19" s="53"/>
      <c r="B19" s="619" t="s">
        <v>127</v>
      </c>
      <c r="C19" s="620"/>
      <c r="D19" s="619" t="s">
        <v>127</v>
      </c>
      <c r="E19" s="620"/>
      <c r="F19" s="53"/>
      <c r="G19" s="334" t="str">
        <f t="shared" si="0"/>
        <v>Incomplete</v>
      </c>
      <c r="H19" s="53"/>
    </row>
    <row r="20" spans="1:8" ht="15.75" x14ac:dyDescent="0.25">
      <c r="A20" s="53"/>
      <c r="B20" s="613" t="s">
        <v>128</v>
      </c>
      <c r="C20" s="615"/>
      <c r="D20" s="613" t="s">
        <v>128</v>
      </c>
      <c r="E20" s="615"/>
      <c r="F20" s="53"/>
      <c r="G20" s="334" t="str">
        <f>IF(OR(C20="",E20=""),"Incomplete","Complete")</f>
        <v>Incomplete</v>
      </c>
      <c r="H20" s="53"/>
    </row>
    <row r="21" spans="1:8" ht="15.75" x14ac:dyDescent="0.25">
      <c r="A21" s="53"/>
      <c r="B21" s="62"/>
      <c r="C21" s="62"/>
      <c r="D21" s="62"/>
      <c r="E21" s="62"/>
      <c r="F21" s="53"/>
      <c r="G21" s="53"/>
      <c r="H21" s="53"/>
    </row>
    <row r="22" spans="1:8" ht="15.75" x14ac:dyDescent="0.25">
      <c r="A22" s="53"/>
      <c r="B22" s="821" t="s">
        <v>129</v>
      </c>
      <c r="C22" s="822"/>
      <c r="D22" s="822"/>
      <c r="E22" s="823"/>
      <c r="F22" s="53"/>
      <c r="G22" s="53"/>
      <c r="H22" s="53"/>
    </row>
    <row r="23" spans="1:8" ht="150.75" customHeight="1" x14ac:dyDescent="0.25">
      <c r="A23" s="53"/>
      <c r="B23" s="824"/>
      <c r="C23" s="825"/>
      <c r="D23" s="825"/>
      <c r="E23" s="826"/>
      <c r="F23" s="53"/>
      <c r="G23" s="53"/>
      <c r="H23" s="53"/>
    </row>
    <row r="24" spans="1:8" ht="15.75" x14ac:dyDescent="0.25">
      <c r="A24" s="53"/>
      <c r="B24" s="62"/>
      <c r="C24" s="62"/>
      <c r="D24" s="62"/>
      <c r="E24" s="62"/>
      <c r="F24" s="53"/>
      <c r="G24" s="53"/>
      <c r="H24" s="53"/>
    </row>
    <row r="25" spans="1:8" ht="15.75" x14ac:dyDescent="0.25">
      <c r="A25" s="53"/>
      <c r="B25" s="827" t="s">
        <v>130</v>
      </c>
      <c r="C25" s="828"/>
      <c r="D25" s="828"/>
      <c r="E25" s="829"/>
      <c r="F25" s="53"/>
      <c r="G25" s="339"/>
      <c r="H25" s="53"/>
    </row>
    <row r="26" spans="1:8" ht="15.75" x14ac:dyDescent="0.25">
      <c r="A26" s="53"/>
      <c r="B26" s="814" t="s">
        <v>1116</v>
      </c>
      <c r="C26" s="815"/>
      <c r="D26" s="815"/>
      <c r="E26" s="816"/>
      <c r="F26" s="53"/>
      <c r="G26" s="340" t="str">
        <f>IF(Control!G3="Incomplete","Incomplete","Complete")</f>
        <v>Incomplete</v>
      </c>
      <c r="H26" s="53"/>
    </row>
    <row r="27" spans="1:8" ht="15.75" x14ac:dyDescent="0.25">
      <c r="A27" s="53"/>
      <c r="B27" s="814" t="s">
        <v>131</v>
      </c>
      <c r="C27" s="815"/>
      <c r="D27" s="815"/>
      <c r="E27" s="816"/>
      <c r="F27" s="53"/>
      <c r="G27" s="340" t="str">
        <f>IF('RBS - Assets'!M3="Incomplete","Incomplete","Complete")</f>
        <v>Complete</v>
      </c>
      <c r="H27" s="53"/>
    </row>
    <row r="28" spans="1:8" ht="15.75" x14ac:dyDescent="0.25">
      <c r="A28" s="53"/>
      <c r="B28" s="814" t="s">
        <v>132</v>
      </c>
      <c r="C28" s="815"/>
      <c r="D28" s="815"/>
      <c r="E28" s="816"/>
      <c r="F28" s="53"/>
      <c r="G28" s="340" t="str">
        <f>IF('RBS - Direct TPs'!O4="Incomplete","Incomplete","Complete")</f>
        <v>Complete</v>
      </c>
      <c r="H28" s="53"/>
    </row>
    <row r="29" spans="1:8" ht="15.75" x14ac:dyDescent="0.25">
      <c r="A29" s="53"/>
      <c r="B29" s="814" t="s">
        <v>133</v>
      </c>
      <c r="C29" s="815"/>
      <c r="D29" s="815"/>
      <c r="E29" s="816"/>
      <c r="F29" s="53"/>
      <c r="G29" s="340" t="str">
        <f>IF('RBS - Reins TPs'!O4="Incomplete","Incomplete","Complete")</f>
        <v>Complete</v>
      </c>
      <c r="H29" s="53"/>
    </row>
    <row r="30" spans="1:8" ht="15.75" x14ac:dyDescent="0.25">
      <c r="A30" s="53"/>
      <c r="B30" s="814" t="s">
        <v>134</v>
      </c>
      <c r="C30" s="815"/>
      <c r="D30" s="815"/>
      <c r="E30" s="816"/>
      <c r="F30" s="53"/>
      <c r="G30" s="340" t="str">
        <f>IF('RBS - Other Liab'!K5="Incomplete","Incomplete","Complete")</f>
        <v>Complete</v>
      </c>
      <c r="H30" s="53"/>
    </row>
    <row r="31" spans="1:8" ht="15.75" x14ac:dyDescent="0.25">
      <c r="A31" s="53"/>
      <c r="B31" s="814" t="s">
        <v>135</v>
      </c>
      <c r="C31" s="815"/>
      <c r="D31" s="815"/>
      <c r="E31" s="816"/>
      <c r="F31" s="53"/>
      <c r="G31" s="340" t="str">
        <f>IF('RBS - Risk Margin'!BN5="Incomplete","Incomplete","Complete")</f>
        <v>Complete</v>
      </c>
      <c r="H31" s="53"/>
    </row>
    <row r="32" spans="1:8" ht="15.75" x14ac:dyDescent="0.25">
      <c r="A32" s="53"/>
      <c r="B32" s="814" t="s">
        <v>136</v>
      </c>
      <c r="C32" s="815"/>
      <c r="D32" s="815"/>
      <c r="E32" s="816"/>
      <c r="F32" s="53"/>
      <c r="G32" s="340" t="str">
        <f>IF('RBS - Capital'!I4="Incomplete","Incomplete","Complete")</f>
        <v>Complete</v>
      </c>
      <c r="H32" s="53"/>
    </row>
    <row r="33" spans="1:8" ht="15.75" x14ac:dyDescent="0.25">
      <c r="A33" s="53"/>
      <c r="B33" s="814" t="s">
        <v>137</v>
      </c>
      <c r="C33" s="815"/>
      <c r="D33" s="815"/>
      <c r="E33" s="816"/>
      <c r="F33" s="53"/>
      <c r="G33" s="340" t="str">
        <f>IF('Own Funds'!O4="Incomplete","Incomplete","Complete")</f>
        <v>Complete</v>
      </c>
      <c r="H33" s="53"/>
    </row>
    <row r="34" spans="1:8" ht="15.75" x14ac:dyDescent="0.25">
      <c r="A34" s="53"/>
      <c r="B34" s="814" t="s">
        <v>138</v>
      </c>
      <c r="C34" s="815"/>
      <c r="D34" s="815"/>
      <c r="E34" s="816"/>
      <c r="F34" s="53"/>
      <c r="G34" s="340" t="str">
        <f>IF('Ring-Fenced Fund Adjustment'!AI7="Incomplete","Incomplete","Complete")</f>
        <v>Complete</v>
      </c>
      <c r="H34" s="53"/>
    </row>
    <row r="35" spans="1:8" ht="15.75" x14ac:dyDescent="0.25">
      <c r="A35" s="53"/>
      <c r="B35" s="814" t="s">
        <v>139</v>
      </c>
      <c r="C35" s="815"/>
      <c r="D35" s="815"/>
      <c r="E35" s="816"/>
      <c r="F35" s="53"/>
      <c r="G35" s="340" t="str">
        <f>IF('Market Risk Inputs'!T4="Incomplete","Incomplete","Complete")</f>
        <v>Complete</v>
      </c>
      <c r="H35" s="53"/>
    </row>
    <row r="36" spans="1:8" ht="15.75" x14ac:dyDescent="0.25">
      <c r="A36" s="53"/>
      <c r="B36" s="814" t="s">
        <v>140</v>
      </c>
      <c r="C36" s="815"/>
      <c r="D36" s="815"/>
      <c r="E36" s="816"/>
      <c r="F36" s="53"/>
      <c r="G36" s="340" t="str">
        <f>IF('Spread Risk'!M6="Incomplete","Incomplete","Complete")</f>
        <v>Complete</v>
      </c>
      <c r="H36" s="53"/>
    </row>
    <row r="37" spans="1:8" ht="15.75" x14ac:dyDescent="0.25">
      <c r="A37" s="53"/>
      <c r="B37" s="814" t="s">
        <v>141</v>
      </c>
      <c r="C37" s="815"/>
      <c r="D37" s="815"/>
      <c r="E37" s="816"/>
      <c r="F37" s="53"/>
      <c r="G37" s="340" t="str">
        <f>IF('Counterparty Default Risk'!I4="Incomplete","Incomplete","Complete")</f>
        <v>Complete</v>
      </c>
      <c r="H37" s="53"/>
    </row>
    <row r="38" spans="1:8" ht="15.75" x14ac:dyDescent="0.25">
      <c r="A38" s="53"/>
      <c r="B38" s="814" t="s">
        <v>142</v>
      </c>
      <c r="C38" s="815"/>
      <c r="D38" s="815"/>
      <c r="E38" s="816"/>
      <c r="F38" s="53"/>
      <c r="G38" s="340" t="str">
        <f>IF('Premium and Reserve Risk'!AC4="Incomplete","Incomplete","Complete")</f>
        <v>Complete</v>
      </c>
      <c r="H38" s="53"/>
    </row>
    <row r="39" spans="1:8" ht="15.75" x14ac:dyDescent="0.25">
      <c r="A39" s="53"/>
      <c r="B39" s="814" t="s">
        <v>143</v>
      </c>
      <c r="C39" s="815"/>
      <c r="D39" s="815"/>
      <c r="E39" s="816"/>
      <c r="F39" s="53"/>
      <c r="G39" s="340" t="str">
        <f>IF('Geographical Diversification'!AU4="Incomplete","Incomplete","Complete")</f>
        <v>Complete</v>
      </c>
      <c r="H39" s="53"/>
    </row>
    <row r="40" spans="1:8" ht="15.75" x14ac:dyDescent="0.25">
      <c r="A40" s="53"/>
      <c r="B40" s="814" t="s">
        <v>144</v>
      </c>
      <c r="C40" s="815"/>
      <c r="D40" s="815"/>
      <c r="E40" s="816"/>
      <c r="F40" s="53"/>
      <c r="G40" s="340" t="str">
        <f>IF('Lapse Risk'!T3="Incomplete","Incomplete","Complete")</f>
        <v>Complete</v>
      </c>
      <c r="H40" s="53"/>
    </row>
    <row r="41" spans="1:8" ht="15.75" x14ac:dyDescent="0.25">
      <c r="A41" s="53"/>
      <c r="B41" s="814" t="s">
        <v>145</v>
      </c>
      <c r="C41" s="815"/>
      <c r="D41" s="815"/>
      <c r="E41" s="816"/>
      <c r="F41" s="53"/>
      <c r="G41" s="340" t="str">
        <f>IF('Health Prem &amp; Reserve Risk'!AC4="Incomplete","Incomplete","Complete")</f>
        <v>Complete</v>
      </c>
      <c r="H41" s="53"/>
    </row>
    <row r="42" spans="1:8" ht="15.75" x14ac:dyDescent="0.25">
      <c r="A42" s="53"/>
      <c r="B42" s="814" t="s">
        <v>146</v>
      </c>
      <c r="C42" s="815"/>
      <c r="D42" s="815"/>
      <c r="E42" s="816"/>
      <c r="F42" s="53"/>
      <c r="G42" s="340" t="str">
        <f>IF('Health Geo Diversification'!AU4="Incomplete","Incomplete","Complete")</f>
        <v>Complete</v>
      </c>
      <c r="H42" s="53"/>
    </row>
    <row r="43" spans="1:8" ht="15.75" x14ac:dyDescent="0.25">
      <c r="A43" s="53"/>
      <c r="B43" s="814" t="s">
        <v>147</v>
      </c>
      <c r="C43" s="815"/>
      <c r="D43" s="815"/>
      <c r="E43" s="816"/>
      <c r="F43" s="53"/>
      <c r="G43" s="340" t="str">
        <f>IF('Health Lapse Risk'!T4="Incomplete","Incomplete","Complete")</f>
        <v>Complete</v>
      </c>
      <c r="H43" s="53"/>
    </row>
    <row r="44" spans="1:8" ht="15.75" x14ac:dyDescent="0.25">
      <c r="A44" s="53"/>
      <c r="B44" s="814" t="s">
        <v>148</v>
      </c>
      <c r="C44" s="815"/>
      <c r="D44" s="815"/>
      <c r="E44" s="816"/>
      <c r="F44" s="53"/>
      <c r="G44" s="340" t="str">
        <f>IF('Underwriting Risk'!I4="Incomplete","Incomplete","Complete")</f>
        <v>Complete</v>
      </c>
      <c r="H44" s="53"/>
    </row>
    <row r="45" spans="1:8" ht="15.75" x14ac:dyDescent="0.25">
      <c r="A45" s="53"/>
      <c r="B45" s="814" t="s">
        <v>149</v>
      </c>
      <c r="C45" s="815"/>
      <c r="D45" s="815"/>
      <c r="E45" s="816"/>
      <c r="F45" s="53"/>
      <c r="G45" s="340" t="str">
        <f>IF('NSLT Health Risk'!H4="Incomplete","Incomplete","Complete")</f>
        <v>Complete</v>
      </c>
      <c r="H45" s="53"/>
    </row>
    <row r="46" spans="1:8" ht="15.75" x14ac:dyDescent="0.25">
      <c r="A46" s="53"/>
      <c r="B46" s="814" t="s">
        <v>1103</v>
      </c>
      <c r="C46" s="815"/>
      <c r="D46" s="815"/>
      <c r="E46" s="816"/>
      <c r="F46" s="53"/>
      <c r="G46" s="340" t="str">
        <f>IF('SCR Summary'!G2="Incomplete","Incomplete","Complete")</f>
        <v>Complete</v>
      </c>
      <c r="H46" s="53"/>
    </row>
    <row r="47" spans="1:8" ht="15.75" x14ac:dyDescent="0.25">
      <c r="A47" s="53"/>
      <c r="B47" s="814" t="s">
        <v>150</v>
      </c>
      <c r="C47" s="815"/>
      <c r="D47" s="815"/>
      <c r="E47" s="816"/>
      <c r="F47" s="53"/>
      <c r="G47" s="340" t="str">
        <f>IF('MCR Summary'!I3="Incomplete","Incomplete","Complete")</f>
        <v>Complete</v>
      </c>
      <c r="H47" s="53"/>
    </row>
    <row r="48" spans="1:8" ht="15.75" x14ac:dyDescent="0.25">
      <c r="A48" s="53"/>
      <c r="B48" s="814" t="s">
        <v>1110</v>
      </c>
      <c r="C48" s="815"/>
      <c r="D48" s="815"/>
      <c r="E48" s="816"/>
      <c r="F48" s="53"/>
      <c r="G48" s="340" t="str">
        <f>IF('Additional Information'!N7="Incomplete","Incomplete","Complete")</f>
        <v>Incomplete</v>
      </c>
      <c r="H48" s="53"/>
    </row>
    <row r="49" spans="1:8" ht="15.75" x14ac:dyDescent="0.25">
      <c r="A49" s="53"/>
      <c r="B49" s="814" t="s">
        <v>151</v>
      </c>
      <c r="C49" s="815"/>
      <c r="D49" s="815"/>
      <c r="E49" s="816"/>
      <c r="F49" s="53"/>
      <c r="G49" s="340" t="str">
        <f>IF(Change_Analysis!N3="Incomplete","Incomplete","Complete")</f>
        <v>Complete</v>
      </c>
      <c r="H49" s="53"/>
    </row>
    <row r="50" spans="1:8" ht="15.75" x14ac:dyDescent="0.25">
      <c r="A50" s="53"/>
      <c r="B50" s="814" t="s">
        <v>152</v>
      </c>
      <c r="C50" s="815"/>
      <c r="D50" s="815"/>
      <c r="E50" s="816"/>
      <c r="F50" s="53"/>
      <c r="G50" s="340" t="str">
        <f>IF('Summary of Single Exposures'!R7="Incomplete","Incomplete","Complete")</f>
        <v>Complete</v>
      </c>
      <c r="H50" s="53"/>
    </row>
    <row r="51" spans="1:8" ht="15.75" x14ac:dyDescent="0.25">
      <c r="A51" s="53"/>
      <c r="B51" s="814" t="s">
        <v>153</v>
      </c>
      <c r="C51" s="815"/>
      <c r="D51" s="815"/>
      <c r="E51" s="816"/>
      <c r="F51" s="53"/>
      <c r="G51" s="340" t="str">
        <f>IF('12 Month Forecast'!AD7="Incomplete","Incomplete","Complete")</f>
        <v>Complete</v>
      </c>
      <c r="H51" s="53"/>
    </row>
    <row r="52" spans="1:8" ht="15.75" x14ac:dyDescent="0.25">
      <c r="A52" s="53"/>
      <c r="B52" s="814" t="s">
        <v>154</v>
      </c>
      <c r="C52" s="815"/>
      <c r="D52" s="815"/>
      <c r="E52" s="816"/>
      <c r="F52" s="53"/>
      <c r="G52" s="340" t="str">
        <f>IF('Large Claims'!K7="Incomplete","Incomplete","Complete")</f>
        <v>Complete</v>
      </c>
      <c r="H52" s="53"/>
    </row>
    <row r="53" spans="1:8" ht="15.75" x14ac:dyDescent="0.25">
      <c r="A53" s="53"/>
      <c r="B53" s="814" t="s">
        <v>155</v>
      </c>
      <c r="C53" s="815"/>
      <c r="D53" s="815"/>
      <c r="E53" s="816"/>
      <c r="F53" s="53"/>
      <c r="G53" s="340" t="str">
        <f>IF('Security Supporting Obligations'!AE6="Incomplete","Incomplete","Complete")</f>
        <v>Complete</v>
      </c>
      <c r="H53" s="53"/>
    </row>
    <row r="54" spans="1:8" ht="15.75" x14ac:dyDescent="0.25">
      <c r="A54" s="53"/>
      <c r="B54" s="814" t="s">
        <v>156</v>
      </c>
      <c r="C54" s="815"/>
      <c r="D54" s="815"/>
      <c r="E54" s="816"/>
      <c r="F54" s="53"/>
      <c r="G54" s="340" t="str">
        <f>IF('Class 12 Info'!M5="Incomplete","Incomplete","Complete")</f>
        <v>Incomplete</v>
      </c>
      <c r="H54" s="53"/>
    </row>
    <row r="55" spans="1:8" ht="15.75" x14ac:dyDescent="0.25">
      <c r="A55" s="53"/>
      <c r="B55" s="338"/>
      <c r="C55" s="338"/>
      <c r="D55" s="338"/>
      <c r="E55" s="338"/>
      <c r="F55" s="53"/>
      <c r="G55" s="336"/>
      <c r="H55" s="53"/>
    </row>
    <row r="56" spans="1:8" ht="33.75" customHeight="1" x14ac:dyDescent="0.25">
      <c r="A56" s="53"/>
      <c r="B56" s="805" t="s">
        <v>7</v>
      </c>
      <c r="C56" s="806"/>
      <c r="D56" s="806"/>
      <c r="E56" s="807"/>
      <c r="F56" s="53"/>
      <c r="G56" s="337"/>
      <c r="H56" s="53"/>
    </row>
    <row r="57" spans="1:8" ht="15.75" x14ac:dyDescent="0.25">
      <c r="A57" s="53"/>
      <c r="B57" s="808"/>
      <c r="C57" s="809"/>
      <c r="D57" s="809"/>
      <c r="E57" s="810"/>
      <c r="F57" s="53"/>
      <c r="G57" s="335"/>
      <c r="H57" s="53"/>
    </row>
    <row r="58" spans="1:8" ht="108.75" customHeight="1" x14ac:dyDescent="0.25">
      <c r="A58" s="53"/>
      <c r="B58" s="811" t="s">
        <v>157</v>
      </c>
      <c r="C58" s="812"/>
      <c r="D58" s="812"/>
      <c r="E58" s="813"/>
      <c r="F58" s="53"/>
      <c r="G58" s="53"/>
      <c r="H58" s="53"/>
    </row>
    <row r="59" spans="1:8" ht="15.75" x14ac:dyDescent="0.25">
      <c r="A59" s="53"/>
      <c r="B59" s="53"/>
      <c r="C59" s="53"/>
      <c r="D59" s="53"/>
      <c r="E59" s="53"/>
      <c r="F59" s="53"/>
      <c r="G59" s="53"/>
      <c r="H59" s="53"/>
    </row>
    <row r="60" spans="1:8" ht="15.75" x14ac:dyDescent="0.25">
      <c r="A60" s="53"/>
      <c r="B60" s="53"/>
      <c r="C60" s="53"/>
      <c r="D60" s="53"/>
      <c r="E60" s="53"/>
      <c r="F60" s="53"/>
      <c r="G60" s="53"/>
      <c r="H60" s="53"/>
    </row>
    <row r="61" spans="1:8" ht="15.75" x14ac:dyDescent="0.25">
      <c r="A61" s="53"/>
      <c r="B61" s="53"/>
      <c r="C61" s="53"/>
      <c r="D61" s="53"/>
      <c r="E61" s="53"/>
      <c r="F61" s="53"/>
      <c r="G61" s="53"/>
      <c r="H61" s="53"/>
    </row>
    <row r="62" spans="1:8" ht="15.75" x14ac:dyDescent="0.25">
      <c r="A62" s="53"/>
      <c r="B62" s="53"/>
      <c r="C62" s="53"/>
      <c r="D62" s="53"/>
      <c r="E62" s="53"/>
      <c r="F62" s="53"/>
      <c r="G62" s="53"/>
      <c r="H62" s="53"/>
    </row>
    <row r="63" spans="1:8" ht="15.75" x14ac:dyDescent="0.25">
      <c r="A63" s="53"/>
      <c r="B63" s="53"/>
      <c r="C63" s="53"/>
      <c r="D63" s="53"/>
      <c r="E63" s="53"/>
      <c r="F63" s="53"/>
      <c r="G63" s="53"/>
      <c r="H63" s="53"/>
    </row>
    <row r="64" spans="1:8" ht="15.75" x14ac:dyDescent="0.25">
      <c r="A64" s="53"/>
      <c r="B64" s="53"/>
      <c r="C64" s="53"/>
      <c r="D64" s="53"/>
      <c r="E64" s="53"/>
      <c r="F64" s="53"/>
      <c r="G64" s="53"/>
      <c r="H64" s="53"/>
    </row>
    <row r="65" spans="1:8" ht="15.75" x14ac:dyDescent="0.25">
      <c r="A65" s="56"/>
      <c r="B65" s="56"/>
      <c r="C65" s="56"/>
      <c r="D65" s="56"/>
      <c r="E65" s="56"/>
      <c r="F65" s="56"/>
      <c r="G65" s="56"/>
      <c r="H65" s="56"/>
    </row>
  </sheetData>
  <sheetProtection algorithmName="SHA-512" hashValue="javm/sHEdwrmxyGlqVuPqPOBENvYwHwi7+iWx3KgJq8OwNXzd1cIor0v1XkFAHDL006OWGT3UdteYrs7CxbgFg==" saltValue="hH10R0q+QVZP8h0u0mZZpQ==" spinCount="100000" sheet="1" objects="1" scenarios="1"/>
  <customSheetViews>
    <customSheetView guid="{5F9ED89D-ECFA-4459-A055-6360C65F3370}" scale="85" fitToPage="1" hiddenRows="1" hiddenColumns="1">
      <selection activeCell="F8" sqref="F8"/>
      <pageMargins left="0" right="0" top="0" bottom="0" header="0" footer="0"/>
      <pageSetup paperSize="9" scale="95" orientation="portrait" r:id="rId1"/>
      <headerFooter>
        <oddFooter>&amp;CDRAFT - FOR DISCUSSION PURPOSES ONLY</oddFooter>
      </headerFooter>
    </customSheetView>
  </customSheetViews>
  <mergeCells count="38">
    <mergeCell ref="B48:E48"/>
    <mergeCell ref="B41:E41"/>
    <mergeCell ref="B42:E42"/>
    <mergeCell ref="B43:E43"/>
    <mergeCell ref="B44:E44"/>
    <mergeCell ref="B45:E45"/>
    <mergeCell ref="B46:E46"/>
    <mergeCell ref="B47:E47"/>
    <mergeCell ref="B36:E36"/>
    <mergeCell ref="B37:E37"/>
    <mergeCell ref="B38:E38"/>
    <mergeCell ref="B39:E39"/>
    <mergeCell ref="B40:E40"/>
    <mergeCell ref="B31:E31"/>
    <mergeCell ref="B32:E32"/>
    <mergeCell ref="B33:E33"/>
    <mergeCell ref="B34:E34"/>
    <mergeCell ref="B35:E35"/>
    <mergeCell ref="B25:E25"/>
    <mergeCell ref="B27:E27"/>
    <mergeCell ref="B28:E28"/>
    <mergeCell ref="B29:E29"/>
    <mergeCell ref="B30:E30"/>
    <mergeCell ref="B26:E26"/>
    <mergeCell ref="B9:E9"/>
    <mergeCell ref="B10:C10"/>
    <mergeCell ref="B14:E14"/>
    <mergeCell ref="B22:E22"/>
    <mergeCell ref="B23:E23"/>
    <mergeCell ref="B56:E56"/>
    <mergeCell ref="B57:E57"/>
    <mergeCell ref="B58:E58"/>
    <mergeCell ref="B49:E49"/>
    <mergeCell ref="B54:E54"/>
    <mergeCell ref="B53:E53"/>
    <mergeCell ref="B50:E50"/>
    <mergeCell ref="B51:E51"/>
    <mergeCell ref="B52:E52"/>
  </mergeCells>
  <conditionalFormatting sqref="G9">
    <cfRule type="cellIs" dxfId="837" priority="21" operator="equal">
      <formula>"Complete"</formula>
    </cfRule>
    <cfRule type="cellIs" dxfId="836" priority="22" operator="equal">
      <formula>"Incomplete"</formula>
    </cfRule>
  </conditionalFormatting>
  <conditionalFormatting sqref="G11:G12 G17:G20">
    <cfRule type="cellIs" dxfId="835" priority="19" operator="equal">
      <formula>"Complete"</formula>
    </cfRule>
    <cfRule type="cellIs" dxfId="834" priority="20" operator="equal">
      <formula>"Incomplete"</formula>
    </cfRule>
  </conditionalFormatting>
  <conditionalFormatting sqref="G25:G57">
    <cfRule type="cellIs" dxfId="833" priority="1" operator="equal">
      <formula>"Complete"</formula>
    </cfRule>
    <cfRule type="cellIs" dxfId="832" priority="2" operator="equal">
      <formula>"Incomplete"</formula>
    </cfRule>
  </conditionalFormatting>
  <dataValidations count="3">
    <dataValidation type="date" allowBlank="1" showErrorMessage="1" errorTitle="Date Error!" error="Please enter a valid date between 01/07/18 to 31/10/18. " promptTitle="Date of submission" prompt="Enter the date on which the reporting template will be submitted to the FSA." sqref="C12 E12 C20 E20" xr:uid="{00000000-0002-0000-0400-000000000000}">
      <formula1>36526</formula1>
      <formula2>73050</formula2>
    </dataValidation>
    <dataValidation allowBlank="1" showInputMessage="1" showErrorMessage="1" prompt="This should be the previous annual return date." sqref="B12" xr:uid="{00000000-0002-0000-0400-000001000000}"/>
    <dataValidation allowBlank="1" showInputMessage="1" showErrorMessage="1" prompt="This is the current, quarterly, biannual or annual return date." sqref="D12" xr:uid="{00000000-0002-0000-0400-000002000000}"/>
  </dataValidations>
  <pageMargins left="0.70866141732283472" right="0.70866141732283472" top="0.74803149606299213" bottom="0.74803149606299213" header="0.31496062992125984" footer="0.31496062992125984"/>
  <pageSetup paperSize="9" scale="95" orientation="portrait" r:id="rId2"/>
  <headerFooter>
    <oddFooter>&amp;CDRAFT - FOR DISCUSSION PURPOSES ONLY</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Data!$C$5:$C$76</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tabColor rgb="FFFFFF00"/>
  </sheetPr>
  <dimension ref="A1:R87"/>
  <sheetViews>
    <sheetView workbookViewId="0"/>
  </sheetViews>
  <sheetFormatPr defaultColWidth="0" defaultRowHeight="14.25" zeroHeight="1" x14ac:dyDescent="0.2"/>
  <cols>
    <col min="1" max="2" width="1.625" customWidth="1"/>
    <col min="3" max="3" width="55.125" customWidth="1"/>
    <col min="4" max="4" width="3.125" customWidth="1"/>
    <col min="5" max="5" width="50.875" customWidth="1"/>
    <col min="6" max="12" width="9" customWidth="1"/>
    <col min="13" max="18" width="9" hidden="1"/>
  </cols>
  <sheetData>
    <row r="1" spans="1:12" ht="15.75" x14ac:dyDescent="0.25">
      <c r="A1" s="59">
        <v>1</v>
      </c>
      <c r="B1" s="59"/>
      <c r="C1" s="60"/>
      <c r="D1" s="60"/>
      <c r="E1" s="60"/>
      <c r="F1" s="60"/>
      <c r="G1" s="60"/>
      <c r="H1" s="60"/>
      <c r="I1" s="60"/>
      <c r="J1" s="60"/>
      <c r="K1" s="60"/>
      <c r="L1" s="60"/>
    </row>
    <row r="2" spans="1:12" ht="15.75" x14ac:dyDescent="0.25">
      <c r="A2" s="60"/>
      <c r="B2" s="60"/>
      <c r="C2" s="60"/>
      <c r="D2" s="60"/>
      <c r="E2" s="60"/>
      <c r="F2" s="60"/>
      <c r="G2" s="60"/>
      <c r="H2" s="61"/>
      <c r="I2" s="60"/>
      <c r="J2" s="60"/>
      <c r="K2" s="60"/>
      <c r="L2" s="60"/>
    </row>
    <row r="3" spans="1:12" ht="15.75" x14ac:dyDescent="0.25">
      <c r="A3" s="53"/>
      <c r="B3" s="53"/>
      <c r="C3" s="53"/>
      <c r="D3" s="53"/>
      <c r="E3" s="53"/>
      <c r="F3" s="53"/>
      <c r="G3" s="334" t="str">
        <f>IF(COUNTIF(G10:G13,"Incomplete")&gt;0,"Incomplete","Complete")</f>
        <v>Incomplete</v>
      </c>
      <c r="H3" s="53"/>
      <c r="I3" s="53"/>
      <c r="J3" s="53"/>
      <c r="K3" s="53"/>
      <c r="L3" s="53"/>
    </row>
    <row r="4" spans="1:12" ht="15.75" x14ac:dyDescent="0.25">
      <c r="A4" s="53"/>
      <c r="B4" s="53"/>
      <c r="C4" s="53"/>
      <c r="D4" s="53"/>
      <c r="E4" s="53"/>
      <c r="F4" s="53"/>
      <c r="G4" s="53"/>
      <c r="H4" s="53"/>
      <c r="I4" s="53"/>
      <c r="J4" s="53"/>
      <c r="K4" s="53"/>
      <c r="L4" s="53"/>
    </row>
    <row r="5" spans="1:12" ht="16.5" thickBot="1" x14ac:dyDescent="0.3">
      <c r="A5" s="53"/>
      <c r="B5" s="53"/>
      <c r="C5" s="53"/>
      <c r="D5" s="53"/>
      <c r="E5" s="53"/>
      <c r="F5" s="53"/>
      <c r="G5" s="53"/>
      <c r="H5" s="334"/>
      <c r="I5" s="53"/>
      <c r="J5" s="53"/>
      <c r="K5" s="53"/>
      <c r="L5" s="53"/>
    </row>
    <row r="6" spans="1:12" ht="16.5" thickBot="1" x14ac:dyDescent="0.3">
      <c r="A6" s="53"/>
      <c r="B6" s="56"/>
      <c r="C6" s="830" t="s">
        <v>158</v>
      </c>
      <c r="D6" s="831"/>
      <c r="E6" s="346" t="s">
        <v>76</v>
      </c>
      <c r="F6" s="53"/>
      <c r="G6" s="53"/>
      <c r="H6" s="342"/>
      <c r="I6" s="53"/>
      <c r="J6" s="53"/>
      <c r="K6" s="53"/>
      <c r="L6" s="53"/>
    </row>
    <row r="7" spans="1:12" ht="15.75" x14ac:dyDescent="0.25">
      <c r="A7" s="53"/>
      <c r="B7" s="48"/>
      <c r="C7" s="48"/>
      <c r="D7" s="53"/>
      <c r="E7" s="53"/>
      <c r="F7" s="53"/>
      <c r="G7" s="53"/>
      <c r="H7" s="53"/>
      <c r="I7" s="53"/>
      <c r="J7" s="53"/>
      <c r="K7" s="53"/>
      <c r="L7" s="53"/>
    </row>
    <row r="8" spans="1:12" ht="15.75" x14ac:dyDescent="0.25">
      <c r="A8" s="53"/>
      <c r="B8" s="48"/>
      <c r="C8" s="48"/>
      <c r="D8" s="53"/>
      <c r="E8" s="53"/>
      <c r="F8" s="53"/>
      <c r="G8" s="53"/>
      <c r="H8" s="53"/>
      <c r="I8" s="53"/>
      <c r="J8" s="53"/>
      <c r="K8" s="53"/>
      <c r="L8" s="53"/>
    </row>
    <row r="9" spans="1:12" ht="16.5" thickBot="1" x14ac:dyDescent="0.3">
      <c r="A9" s="53"/>
      <c r="B9" s="53"/>
      <c r="C9" s="53"/>
      <c r="D9" s="53"/>
      <c r="E9" s="53"/>
      <c r="F9" s="53"/>
      <c r="G9" s="53"/>
      <c r="H9" s="53"/>
      <c r="I9" s="53"/>
      <c r="J9" s="53"/>
      <c r="K9" s="53"/>
      <c r="L9" s="53"/>
    </row>
    <row r="10" spans="1:12" ht="16.5" thickBot="1" x14ac:dyDescent="0.3">
      <c r="A10" s="53"/>
      <c r="B10" s="53"/>
      <c r="C10" s="830" t="s">
        <v>1122</v>
      </c>
      <c r="D10" s="831"/>
      <c r="E10" s="346"/>
      <c r="F10" s="53"/>
      <c r="G10" s="334" t="str">
        <f>IF(E10="","Incomplete","Complete")</f>
        <v>Incomplete</v>
      </c>
      <c r="H10" s="53"/>
      <c r="I10" s="53"/>
      <c r="J10" s="53"/>
      <c r="K10" s="53"/>
      <c r="L10" s="53"/>
    </row>
    <row r="11" spans="1:12" ht="16.5" thickBot="1" x14ac:dyDescent="0.3">
      <c r="A11" s="53"/>
      <c r="B11" s="53"/>
      <c r="C11" s="830" t="s">
        <v>1117</v>
      </c>
      <c r="D11" s="831"/>
      <c r="E11" s="772" t="str">
        <f>IF(OR(E10="",'Participant Information'!E12=""),"",E10&amp;"_"&amp;"NLT12"&amp;"_"&amp;"V"&amp;RIGHT('Participant Information'!E10,2)&amp;"_"&amp;LEFT(E6,1)&amp;TEXT('Participant Information'!$E$12,"yyyymmdd")&amp;".xlsx")</f>
        <v/>
      </c>
      <c r="F11" s="53"/>
      <c r="G11" s="53"/>
      <c r="H11" s="53"/>
      <c r="I11" s="53"/>
      <c r="J11" s="53"/>
      <c r="K11" s="53"/>
      <c r="L11" s="53"/>
    </row>
    <row r="12" spans="1:12" ht="16.5" thickBot="1" x14ac:dyDescent="0.3">
      <c r="A12" s="53"/>
      <c r="B12" s="53"/>
      <c r="C12" s="830" t="s">
        <v>1118</v>
      </c>
      <c r="D12" s="831"/>
      <c r="E12" s="346"/>
      <c r="F12" s="53"/>
      <c r="G12" s="334" t="str">
        <f>IF(OR(E12="No",E12=""),"Incomplete","Complete")</f>
        <v>Incomplete</v>
      </c>
      <c r="H12" s="53"/>
      <c r="I12" s="53"/>
      <c r="J12" s="53"/>
      <c r="K12" s="53"/>
      <c r="L12" s="53"/>
    </row>
    <row r="13" spans="1:12" ht="16.5" thickBot="1" x14ac:dyDescent="0.3">
      <c r="A13" s="53"/>
      <c r="B13" s="53"/>
      <c r="C13" s="830" t="s">
        <v>1119</v>
      </c>
      <c r="D13" s="831"/>
      <c r="E13" s="346" t="s">
        <v>361</v>
      </c>
      <c r="F13" s="53"/>
      <c r="G13" s="334" t="str">
        <f>IF(OR(E13="No",E13=""),"Incomplete","Complete")</f>
        <v>Incomplete</v>
      </c>
      <c r="H13" s="53"/>
      <c r="I13" s="53"/>
      <c r="J13" s="53"/>
      <c r="K13" s="53"/>
      <c r="L13" s="53"/>
    </row>
    <row r="14" spans="1:12" ht="15.75" x14ac:dyDescent="0.25">
      <c r="A14" s="407"/>
      <c r="B14" s="407"/>
      <c r="C14" s="832"/>
      <c r="D14" s="832"/>
      <c r="E14" s="773"/>
      <c r="F14" s="407"/>
      <c r="G14" s="407"/>
      <c r="H14" s="407"/>
      <c r="I14" s="407"/>
      <c r="J14" s="407"/>
      <c r="K14" s="407"/>
      <c r="L14" s="407"/>
    </row>
    <row r="15" spans="1:12" ht="15.75" x14ac:dyDescent="0.25">
      <c r="A15" s="53"/>
      <c r="B15" s="53"/>
      <c r="C15" s="53"/>
      <c r="D15" s="53"/>
      <c r="E15" s="53"/>
      <c r="F15" s="53"/>
      <c r="G15" s="53"/>
      <c r="H15" s="53"/>
      <c r="I15" s="53"/>
      <c r="J15" s="53"/>
      <c r="K15" s="53"/>
      <c r="L15" s="53"/>
    </row>
    <row r="16" spans="1:12" ht="15.75" hidden="1" x14ac:dyDescent="0.25">
      <c r="A16" s="53"/>
      <c r="B16" s="53"/>
      <c r="C16" s="53"/>
      <c r="D16" s="53"/>
      <c r="E16" s="53"/>
      <c r="F16" s="53"/>
      <c r="G16" s="53"/>
      <c r="H16" s="53"/>
      <c r="I16" s="53"/>
      <c r="J16" s="53"/>
      <c r="K16" s="53"/>
      <c r="L16" s="53"/>
    </row>
    <row r="17" spans="1:12" ht="15.75" hidden="1" x14ac:dyDescent="0.25">
      <c r="A17" s="56"/>
      <c r="B17" s="56"/>
      <c r="C17" s="56"/>
      <c r="D17" s="56"/>
      <c r="E17" s="56"/>
      <c r="F17" s="56"/>
      <c r="G17" s="56"/>
      <c r="H17" s="56"/>
      <c r="I17" s="56"/>
      <c r="J17" s="56"/>
      <c r="K17" s="56"/>
      <c r="L17" s="56"/>
    </row>
    <row r="18" spans="1:12" ht="15.75" hidden="1" x14ac:dyDescent="0.25">
      <c r="A18" s="56"/>
      <c r="B18" s="56"/>
      <c r="C18" s="56"/>
      <c r="D18" s="56"/>
      <c r="E18" s="56"/>
      <c r="F18" s="56"/>
      <c r="G18" s="56"/>
      <c r="H18" s="56"/>
      <c r="I18" s="56"/>
      <c r="J18" s="56"/>
      <c r="K18" s="56"/>
      <c r="L18" s="56"/>
    </row>
    <row r="19" spans="1:12" ht="15.75" hidden="1" x14ac:dyDescent="0.25">
      <c r="A19" s="56"/>
      <c r="B19" s="56"/>
      <c r="C19" s="56"/>
      <c r="D19" s="56"/>
      <c r="E19" s="56"/>
      <c r="F19" s="56"/>
      <c r="G19" s="56"/>
      <c r="H19" s="56"/>
      <c r="I19" s="56"/>
      <c r="J19" s="56"/>
      <c r="K19" s="56"/>
      <c r="L19" s="56"/>
    </row>
    <row r="20" spans="1:12" ht="15.75" hidden="1" x14ac:dyDescent="0.25">
      <c r="A20" s="56"/>
      <c r="B20" s="56"/>
      <c r="C20" s="56"/>
      <c r="D20" s="56"/>
      <c r="E20" s="56"/>
      <c r="F20" s="56"/>
      <c r="G20" s="56"/>
      <c r="H20" s="56"/>
      <c r="I20" s="56"/>
      <c r="J20" s="56"/>
      <c r="K20" s="56"/>
      <c r="L20" s="56"/>
    </row>
    <row r="21" spans="1:12" ht="15.75" hidden="1" x14ac:dyDescent="0.25">
      <c r="A21" s="56"/>
      <c r="B21" s="56"/>
      <c r="C21" s="56"/>
      <c r="D21" s="56"/>
      <c r="E21" s="56"/>
      <c r="F21" s="56"/>
      <c r="G21" s="56"/>
      <c r="H21" s="56"/>
      <c r="I21" s="56"/>
      <c r="J21" s="56"/>
      <c r="K21" s="56"/>
      <c r="L21" s="56"/>
    </row>
    <row r="22" spans="1:12" ht="15.75" hidden="1" x14ac:dyDescent="0.25">
      <c r="A22" s="56"/>
      <c r="B22" s="56"/>
      <c r="C22" s="56"/>
      <c r="D22" s="56"/>
      <c r="E22" s="56"/>
      <c r="F22" s="56"/>
      <c r="G22" s="56"/>
      <c r="H22" s="56"/>
      <c r="I22" s="56"/>
      <c r="J22" s="56"/>
      <c r="K22" s="56"/>
      <c r="L22" s="56"/>
    </row>
    <row r="23" spans="1:12" ht="15.75" hidden="1" x14ac:dyDescent="0.25">
      <c r="A23" s="56"/>
      <c r="B23" s="56"/>
      <c r="C23" s="56"/>
      <c r="D23" s="56"/>
      <c r="E23" s="56"/>
      <c r="F23" s="56"/>
      <c r="G23" s="56"/>
      <c r="H23" s="56"/>
      <c r="I23" s="56"/>
      <c r="J23" s="56"/>
      <c r="K23" s="56"/>
      <c r="L23" s="56"/>
    </row>
    <row r="24" spans="1:12" ht="15.75" hidden="1" x14ac:dyDescent="0.25">
      <c r="A24" s="56"/>
      <c r="B24" s="56"/>
      <c r="C24" s="56"/>
      <c r="D24" s="56"/>
      <c r="E24" s="56"/>
      <c r="F24" s="56"/>
      <c r="G24" s="56"/>
      <c r="H24" s="56"/>
      <c r="I24" s="56"/>
      <c r="J24" s="56"/>
      <c r="K24" s="56"/>
      <c r="L24" s="56"/>
    </row>
    <row r="25" spans="1:12" ht="15.75" hidden="1" x14ac:dyDescent="0.25">
      <c r="A25" s="56"/>
      <c r="B25" s="56"/>
      <c r="C25" s="56"/>
      <c r="D25" s="56"/>
      <c r="E25" s="56"/>
      <c r="F25" s="56"/>
      <c r="G25" s="56"/>
      <c r="H25" s="56"/>
      <c r="I25" s="56"/>
      <c r="J25" s="56"/>
      <c r="K25" s="56"/>
      <c r="L25" s="56"/>
    </row>
    <row r="26" spans="1:12" ht="15.75" hidden="1" x14ac:dyDescent="0.25">
      <c r="A26" s="56"/>
      <c r="B26" s="56"/>
      <c r="C26" s="56"/>
      <c r="D26" s="56"/>
      <c r="E26" s="56"/>
      <c r="F26" s="56"/>
      <c r="G26" s="56"/>
      <c r="H26" s="56"/>
      <c r="I26" s="56"/>
      <c r="J26" s="56"/>
      <c r="K26" s="56"/>
      <c r="L26" s="56"/>
    </row>
    <row r="27" spans="1:12" ht="15.75" hidden="1" x14ac:dyDescent="0.25">
      <c r="A27" s="56"/>
      <c r="B27" s="56"/>
      <c r="C27" s="56"/>
      <c r="D27" s="56"/>
      <c r="E27" s="56"/>
      <c r="F27" s="56"/>
      <c r="G27" s="56"/>
      <c r="H27" s="56"/>
      <c r="I27" s="56"/>
      <c r="J27" s="56"/>
      <c r="K27" s="56"/>
      <c r="L27" s="56"/>
    </row>
    <row r="28" spans="1:12" ht="15.75" hidden="1" x14ac:dyDescent="0.25">
      <c r="A28" s="56"/>
      <c r="B28" s="56"/>
      <c r="C28" s="56"/>
      <c r="D28" s="56"/>
      <c r="E28" s="56"/>
      <c r="F28" s="56"/>
      <c r="G28" s="56"/>
      <c r="H28" s="56"/>
      <c r="I28" s="56"/>
      <c r="J28" s="56"/>
      <c r="K28" s="56"/>
      <c r="L28" s="56"/>
    </row>
    <row r="29" spans="1:12" ht="15.75" hidden="1" x14ac:dyDescent="0.25">
      <c r="A29" s="56"/>
      <c r="B29" s="56"/>
      <c r="C29" s="56"/>
      <c r="D29" s="56"/>
      <c r="E29" s="56"/>
      <c r="F29" s="56"/>
      <c r="G29" s="56"/>
      <c r="H29" s="56"/>
      <c r="I29" s="56"/>
      <c r="J29" s="56"/>
      <c r="K29" s="56"/>
      <c r="L29" s="56"/>
    </row>
    <row r="30" spans="1:12" ht="15.75" hidden="1" x14ac:dyDescent="0.25">
      <c r="A30" s="56"/>
      <c r="B30" s="56"/>
      <c r="C30" s="56"/>
      <c r="D30" s="56"/>
      <c r="E30" s="56"/>
      <c r="F30" s="56"/>
      <c r="G30" s="56"/>
      <c r="H30" s="56"/>
      <c r="I30" s="56"/>
      <c r="J30" s="56"/>
      <c r="K30" s="56"/>
      <c r="L30" s="56"/>
    </row>
    <row r="31" spans="1:12" ht="15.75" hidden="1" x14ac:dyDescent="0.25">
      <c r="A31" s="56"/>
      <c r="B31" s="56"/>
      <c r="C31" s="56"/>
      <c r="D31" s="56"/>
      <c r="E31" s="56"/>
      <c r="F31" s="56"/>
      <c r="G31" s="56"/>
      <c r="H31" s="56"/>
      <c r="I31" s="56"/>
      <c r="J31" s="56"/>
      <c r="K31" s="56"/>
      <c r="L31" s="56"/>
    </row>
    <row r="32" spans="1:12" ht="15.75" hidden="1" x14ac:dyDescent="0.25">
      <c r="A32" s="56"/>
      <c r="B32" s="56"/>
      <c r="C32" s="56"/>
      <c r="D32" s="56"/>
      <c r="E32" s="56"/>
      <c r="F32" s="56"/>
      <c r="G32" s="56"/>
      <c r="H32" s="56"/>
      <c r="I32" s="56"/>
      <c r="J32" s="56"/>
      <c r="K32" s="56"/>
      <c r="L32" s="56"/>
    </row>
    <row r="33" spans="1:12" ht="15.75" hidden="1" x14ac:dyDescent="0.25">
      <c r="A33" s="56"/>
      <c r="B33" s="56"/>
      <c r="C33" s="56"/>
      <c r="D33" s="56"/>
      <c r="E33" s="56"/>
      <c r="F33" s="56"/>
      <c r="G33" s="56"/>
      <c r="H33" s="56"/>
      <c r="I33" s="56"/>
      <c r="J33" s="56"/>
      <c r="K33" s="56"/>
      <c r="L33" s="56"/>
    </row>
    <row r="34" spans="1:12" ht="15.75" hidden="1" x14ac:dyDescent="0.25">
      <c r="A34" s="56"/>
      <c r="B34" s="56"/>
      <c r="C34" s="56"/>
      <c r="D34" s="56"/>
      <c r="E34" s="56"/>
      <c r="F34" s="56"/>
      <c r="G34" s="56"/>
      <c r="H34" s="56"/>
      <c r="I34" s="56"/>
      <c r="J34" s="56"/>
      <c r="K34" s="56"/>
      <c r="L34" s="56"/>
    </row>
    <row r="35" spans="1:12" ht="15.75" hidden="1" x14ac:dyDescent="0.25">
      <c r="A35" s="56"/>
      <c r="B35" s="56"/>
      <c r="C35" s="56"/>
      <c r="D35" s="56"/>
      <c r="E35" s="56"/>
      <c r="F35" s="56"/>
      <c r="G35" s="56"/>
      <c r="H35" s="56"/>
      <c r="I35" s="56"/>
      <c r="J35" s="56"/>
      <c r="K35" s="56"/>
      <c r="L35" s="56"/>
    </row>
    <row r="36" spans="1:12" ht="15.75" hidden="1" x14ac:dyDescent="0.25">
      <c r="A36" s="56"/>
      <c r="B36" s="56"/>
      <c r="C36" s="56"/>
      <c r="D36" s="56"/>
      <c r="E36" s="56"/>
      <c r="F36" s="56"/>
      <c r="G36" s="56"/>
      <c r="H36" s="56"/>
      <c r="I36" s="56"/>
      <c r="J36" s="56"/>
      <c r="K36" s="56"/>
      <c r="L36" s="56"/>
    </row>
    <row r="37" spans="1:12" ht="15.75" hidden="1" x14ac:dyDescent="0.25">
      <c r="A37" s="56"/>
      <c r="B37" s="56"/>
      <c r="C37" s="56"/>
      <c r="D37" s="56"/>
      <c r="E37" s="56"/>
      <c r="F37" s="56"/>
      <c r="G37" s="56"/>
      <c r="H37" s="56"/>
      <c r="I37" s="56"/>
      <c r="J37" s="56"/>
      <c r="K37" s="56"/>
      <c r="L37" s="56"/>
    </row>
    <row r="38" spans="1:12" ht="15.75" hidden="1" x14ac:dyDescent="0.25">
      <c r="A38" s="56"/>
      <c r="B38" s="56"/>
      <c r="C38" s="56"/>
      <c r="D38" s="56"/>
      <c r="E38" s="56"/>
      <c r="F38" s="56"/>
      <c r="G38" s="56"/>
      <c r="H38" s="56"/>
      <c r="I38" s="56"/>
      <c r="J38" s="56"/>
      <c r="K38" s="56"/>
      <c r="L38" s="56"/>
    </row>
    <row r="39" spans="1:12" ht="15.75" hidden="1" x14ac:dyDescent="0.25">
      <c r="A39" s="56"/>
      <c r="B39" s="56"/>
      <c r="C39" s="56"/>
      <c r="D39" s="56"/>
      <c r="E39" s="56"/>
      <c r="F39" s="56"/>
      <c r="G39" s="56"/>
      <c r="H39" s="56"/>
      <c r="I39" s="56"/>
      <c r="J39" s="56"/>
      <c r="K39" s="56"/>
      <c r="L39" s="56"/>
    </row>
    <row r="40" spans="1:12" ht="15.75" hidden="1" x14ac:dyDescent="0.25">
      <c r="A40" s="56"/>
      <c r="B40" s="56"/>
      <c r="C40" s="56"/>
      <c r="D40" s="56"/>
      <c r="E40" s="56"/>
      <c r="F40" s="56"/>
      <c r="G40" s="56"/>
      <c r="H40" s="56"/>
      <c r="I40" s="56"/>
      <c r="J40" s="56"/>
      <c r="K40" s="56"/>
      <c r="L40" s="56"/>
    </row>
    <row r="41" spans="1:12" ht="15.75" hidden="1" x14ac:dyDescent="0.25">
      <c r="A41" s="56"/>
      <c r="B41" s="56"/>
      <c r="C41" s="56"/>
      <c r="D41" s="56"/>
      <c r="E41" s="56"/>
      <c r="F41" s="56"/>
      <c r="G41" s="56"/>
      <c r="H41" s="56"/>
      <c r="I41" s="56"/>
      <c r="J41" s="56"/>
      <c r="K41" s="56"/>
      <c r="L41" s="56"/>
    </row>
    <row r="42" spans="1:12" ht="15.75" hidden="1" x14ac:dyDescent="0.25">
      <c r="A42" s="56"/>
      <c r="B42" s="56"/>
      <c r="C42" s="56"/>
      <c r="D42" s="56"/>
      <c r="E42" s="56"/>
      <c r="F42" s="56"/>
      <c r="G42" s="56"/>
      <c r="H42" s="56"/>
      <c r="I42" s="56"/>
      <c r="J42" s="56"/>
      <c r="K42" s="56"/>
      <c r="L42" s="56"/>
    </row>
    <row r="43" spans="1:12" ht="15.75" hidden="1" x14ac:dyDescent="0.25">
      <c r="A43" s="56"/>
      <c r="B43" s="56"/>
      <c r="C43" s="56"/>
      <c r="D43" s="56"/>
      <c r="E43" s="56"/>
      <c r="F43" s="56"/>
      <c r="G43" s="56"/>
      <c r="H43" s="56"/>
      <c r="I43" s="56"/>
      <c r="J43" s="56"/>
      <c r="K43" s="56"/>
      <c r="L43" s="56"/>
    </row>
    <row r="44" spans="1:12" ht="15.75" hidden="1" x14ac:dyDescent="0.25">
      <c r="A44" s="56"/>
      <c r="B44" s="56"/>
      <c r="C44" s="56"/>
      <c r="D44" s="56"/>
      <c r="E44" s="56"/>
      <c r="F44" s="56"/>
      <c r="G44" s="56"/>
      <c r="H44" s="56"/>
      <c r="I44" s="56"/>
      <c r="J44" s="56"/>
      <c r="K44" s="56"/>
      <c r="L44" s="56"/>
    </row>
    <row r="45" spans="1:12" ht="15.75" hidden="1" x14ac:dyDescent="0.25">
      <c r="A45" s="56"/>
      <c r="B45" s="56"/>
      <c r="C45" s="56"/>
      <c r="D45" s="56"/>
      <c r="E45" s="56"/>
      <c r="F45" s="56"/>
      <c r="G45" s="56"/>
      <c r="H45" s="56"/>
      <c r="I45" s="56"/>
      <c r="J45" s="56"/>
      <c r="K45" s="56"/>
      <c r="L45" s="56"/>
    </row>
    <row r="46" spans="1:12" ht="15.75" hidden="1" x14ac:dyDescent="0.25">
      <c r="A46" s="56"/>
      <c r="B46" s="56"/>
      <c r="C46" s="56"/>
      <c r="D46" s="56"/>
      <c r="E46" s="56"/>
      <c r="F46" s="56"/>
      <c r="G46" s="56"/>
      <c r="H46" s="56"/>
      <c r="I46" s="56"/>
      <c r="J46" s="56"/>
      <c r="K46" s="56"/>
      <c r="L46" s="56"/>
    </row>
    <row r="47" spans="1:12" ht="15.75" hidden="1" x14ac:dyDescent="0.25">
      <c r="A47" s="56"/>
      <c r="B47" s="56"/>
      <c r="C47" s="56"/>
      <c r="D47" s="56"/>
      <c r="E47" s="56"/>
      <c r="F47" s="56"/>
      <c r="G47" s="56"/>
      <c r="H47" s="56"/>
      <c r="I47" s="56"/>
      <c r="J47" s="56"/>
      <c r="K47" s="56"/>
      <c r="L47" s="56"/>
    </row>
    <row r="48" spans="1:12" ht="15.75" hidden="1" x14ac:dyDescent="0.25">
      <c r="A48" s="56"/>
      <c r="B48" s="56"/>
      <c r="C48" s="56"/>
      <c r="D48" s="56"/>
      <c r="E48" s="56"/>
      <c r="F48" s="56"/>
      <c r="G48" s="56"/>
      <c r="H48" s="56"/>
      <c r="I48" s="56"/>
      <c r="J48" s="56"/>
      <c r="K48" s="56"/>
      <c r="L48" s="56"/>
    </row>
    <row r="49" spans="1:12" ht="15.75" hidden="1" x14ac:dyDescent="0.25">
      <c r="A49" s="56"/>
      <c r="B49" s="56"/>
      <c r="C49" s="56"/>
      <c r="D49" s="56"/>
      <c r="E49" s="56"/>
      <c r="F49" s="56"/>
      <c r="G49" s="56"/>
      <c r="H49" s="56"/>
      <c r="I49" s="56"/>
      <c r="J49" s="56"/>
      <c r="K49" s="56"/>
      <c r="L49" s="56"/>
    </row>
    <row r="50" spans="1:12" ht="15.75" hidden="1" x14ac:dyDescent="0.25">
      <c r="A50" s="56"/>
      <c r="B50" s="56"/>
      <c r="C50" s="56"/>
      <c r="D50" s="56"/>
      <c r="E50" s="56"/>
      <c r="F50" s="56"/>
      <c r="G50" s="56"/>
      <c r="H50" s="56"/>
      <c r="I50" s="56"/>
      <c r="J50" s="56"/>
      <c r="K50" s="56"/>
      <c r="L50" s="56"/>
    </row>
    <row r="51" spans="1:12" ht="15.75" hidden="1" x14ac:dyDescent="0.25">
      <c r="A51" s="56"/>
      <c r="B51" s="56"/>
      <c r="C51" s="56"/>
      <c r="D51" s="56"/>
      <c r="E51" s="56"/>
      <c r="F51" s="56"/>
      <c r="G51" s="56"/>
      <c r="H51" s="56"/>
      <c r="I51" s="56"/>
      <c r="J51" s="56"/>
      <c r="K51" s="56"/>
      <c r="L51" s="56"/>
    </row>
    <row r="52" spans="1:12" ht="15.75" hidden="1" x14ac:dyDescent="0.25">
      <c r="A52" s="56"/>
      <c r="B52" s="56"/>
      <c r="C52" s="56"/>
      <c r="D52" s="56"/>
      <c r="E52" s="56"/>
      <c r="F52" s="56"/>
      <c r="G52" s="56"/>
      <c r="H52" s="56"/>
      <c r="I52" s="56"/>
      <c r="J52" s="56"/>
      <c r="K52" s="56"/>
      <c r="L52" s="56"/>
    </row>
    <row r="53" spans="1:12" ht="15.75" hidden="1" x14ac:dyDescent="0.25">
      <c r="A53" s="56"/>
      <c r="B53" s="56"/>
      <c r="C53" s="56"/>
      <c r="D53" s="56"/>
      <c r="E53" s="56"/>
      <c r="F53" s="56"/>
      <c r="G53" s="56"/>
      <c r="H53" s="56"/>
      <c r="I53" s="56"/>
      <c r="J53" s="56"/>
      <c r="K53" s="56"/>
      <c r="L53" s="56"/>
    </row>
    <row r="54" spans="1:12" ht="15.75" hidden="1" x14ac:dyDescent="0.25">
      <c r="A54" s="56"/>
      <c r="B54" s="56"/>
      <c r="C54" s="56"/>
      <c r="D54" s="56"/>
      <c r="E54" s="56"/>
      <c r="F54" s="56"/>
      <c r="G54" s="56"/>
      <c r="H54" s="56"/>
      <c r="I54" s="56"/>
      <c r="J54" s="56"/>
      <c r="K54" s="56"/>
      <c r="L54" s="56"/>
    </row>
    <row r="55" spans="1:12" ht="15.75" hidden="1" x14ac:dyDescent="0.25">
      <c r="A55" s="56"/>
      <c r="B55" s="56"/>
      <c r="C55" s="56"/>
      <c r="D55" s="56"/>
      <c r="E55" s="56"/>
      <c r="F55" s="56"/>
      <c r="G55" s="56"/>
      <c r="H55" s="56"/>
      <c r="I55" s="56"/>
      <c r="J55" s="56"/>
      <c r="K55" s="56"/>
      <c r="L55" s="56"/>
    </row>
    <row r="56" spans="1:12" ht="15.75" hidden="1" x14ac:dyDescent="0.25">
      <c r="A56" s="56"/>
      <c r="B56" s="56"/>
      <c r="C56" s="56"/>
      <c r="D56" s="56"/>
      <c r="E56" s="56"/>
      <c r="F56" s="56"/>
      <c r="G56" s="56"/>
      <c r="H56" s="56"/>
      <c r="I56" s="56"/>
      <c r="J56" s="56"/>
      <c r="K56" s="56"/>
      <c r="L56" s="56"/>
    </row>
    <row r="57" spans="1:12" ht="15.75" hidden="1" x14ac:dyDescent="0.25">
      <c r="A57" s="56"/>
      <c r="B57" s="56"/>
      <c r="C57" s="56"/>
      <c r="D57" s="56"/>
      <c r="E57" s="56"/>
      <c r="F57" s="56"/>
      <c r="G57" s="56"/>
      <c r="H57" s="56"/>
      <c r="I57" s="56"/>
      <c r="J57" s="56"/>
      <c r="K57" s="56"/>
      <c r="L57" s="56"/>
    </row>
    <row r="58" spans="1:12" ht="15.75" hidden="1" x14ac:dyDescent="0.25">
      <c r="A58" s="56"/>
      <c r="B58" s="56"/>
      <c r="C58" s="56"/>
      <c r="D58" s="56"/>
      <c r="E58" s="56"/>
      <c r="F58" s="56"/>
      <c r="G58" s="56"/>
      <c r="H58" s="56"/>
      <c r="I58" s="56"/>
      <c r="J58" s="56"/>
      <c r="K58" s="56"/>
      <c r="L58" s="56"/>
    </row>
    <row r="59" spans="1:12" ht="15.75" hidden="1" x14ac:dyDescent="0.25">
      <c r="A59" s="56"/>
      <c r="B59" s="56"/>
      <c r="C59" s="56"/>
      <c r="D59" s="56"/>
      <c r="E59" s="56"/>
      <c r="F59" s="56"/>
      <c r="G59" s="56"/>
      <c r="H59" s="56"/>
      <c r="I59" s="56"/>
      <c r="J59" s="56"/>
      <c r="K59" s="56"/>
      <c r="L59" s="56"/>
    </row>
    <row r="60" spans="1:12" ht="15.75" hidden="1" x14ac:dyDescent="0.25">
      <c r="A60" s="56"/>
      <c r="B60" s="56"/>
      <c r="C60" s="56"/>
      <c r="D60" s="56"/>
      <c r="E60" s="56"/>
      <c r="F60" s="56"/>
      <c r="G60" s="56"/>
      <c r="H60" s="56"/>
      <c r="I60" s="56"/>
      <c r="J60" s="56"/>
      <c r="K60" s="56"/>
      <c r="L60" s="56"/>
    </row>
    <row r="61" spans="1:12" ht="15.75" hidden="1" x14ac:dyDescent="0.25">
      <c r="A61" s="56"/>
      <c r="B61" s="56"/>
      <c r="C61" s="56"/>
      <c r="D61" s="56"/>
      <c r="E61" s="56"/>
      <c r="F61" s="56"/>
      <c r="G61" s="56"/>
      <c r="H61" s="56"/>
      <c r="I61" s="56"/>
      <c r="J61" s="56"/>
      <c r="K61" s="56"/>
      <c r="L61" s="56"/>
    </row>
    <row r="62" spans="1:12" ht="15.75" hidden="1" x14ac:dyDescent="0.25">
      <c r="A62" s="56"/>
      <c r="B62" s="56"/>
      <c r="C62" s="56"/>
      <c r="D62" s="56"/>
      <c r="E62" s="56"/>
      <c r="F62" s="56"/>
      <c r="G62" s="56"/>
      <c r="H62" s="56"/>
      <c r="I62" s="56"/>
      <c r="J62" s="56"/>
      <c r="K62" s="56"/>
      <c r="L62" s="56"/>
    </row>
    <row r="63" spans="1:12" ht="15.75" hidden="1" x14ac:dyDescent="0.25">
      <c r="A63" s="56"/>
      <c r="B63" s="56"/>
      <c r="C63" s="56"/>
      <c r="D63" s="56"/>
      <c r="E63" s="56"/>
      <c r="F63" s="56"/>
      <c r="G63" s="56"/>
      <c r="H63" s="56"/>
      <c r="I63" s="56"/>
      <c r="J63" s="56"/>
      <c r="K63" s="56"/>
      <c r="L63" s="56"/>
    </row>
    <row r="64" spans="1:12" ht="15.75" hidden="1" x14ac:dyDescent="0.25">
      <c r="A64" s="56"/>
      <c r="B64" s="56"/>
      <c r="C64" s="56"/>
      <c r="D64" s="56"/>
      <c r="E64" s="56"/>
      <c r="F64" s="56"/>
      <c r="G64" s="56"/>
      <c r="H64" s="56"/>
      <c r="I64" s="56"/>
      <c r="J64" s="56"/>
      <c r="K64" s="56"/>
      <c r="L64" s="56"/>
    </row>
    <row r="65" spans="1:12" ht="15.75" hidden="1" x14ac:dyDescent="0.25">
      <c r="A65" s="56"/>
      <c r="B65" s="56"/>
      <c r="C65" s="56"/>
      <c r="D65" s="56"/>
      <c r="E65" s="56"/>
      <c r="F65" s="56"/>
      <c r="G65" s="56"/>
      <c r="H65" s="56"/>
      <c r="I65" s="56"/>
      <c r="J65" s="56"/>
      <c r="K65" s="56"/>
      <c r="L65" s="56"/>
    </row>
    <row r="66" spans="1:12" ht="15.75" hidden="1" x14ac:dyDescent="0.25">
      <c r="A66" s="56"/>
      <c r="B66" s="56"/>
      <c r="C66" s="56"/>
      <c r="D66" s="56"/>
      <c r="E66" s="56"/>
      <c r="F66" s="56"/>
      <c r="G66" s="56"/>
      <c r="H66" s="56"/>
      <c r="I66" s="56"/>
      <c r="J66" s="56"/>
      <c r="K66" s="56"/>
      <c r="L66" s="56"/>
    </row>
    <row r="67" spans="1:12" ht="15.75" hidden="1" x14ac:dyDescent="0.25">
      <c r="A67" s="56"/>
      <c r="B67" s="56"/>
      <c r="C67" s="56"/>
      <c r="D67" s="56"/>
      <c r="E67" s="56"/>
      <c r="F67" s="56"/>
      <c r="G67" s="56"/>
      <c r="H67" s="56"/>
      <c r="I67" s="56"/>
      <c r="J67" s="56"/>
      <c r="K67" s="56"/>
      <c r="L67" s="56"/>
    </row>
    <row r="68" spans="1:12" ht="15.75" hidden="1" x14ac:dyDescent="0.25">
      <c r="A68" s="56"/>
      <c r="B68" s="56"/>
      <c r="C68" s="56"/>
      <c r="D68" s="56"/>
      <c r="E68" s="56"/>
      <c r="F68" s="56"/>
      <c r="G68" s="56"/>
      <c r="H68" s="56"/>
      <c r="I68" s="56"/>
      <c r="J68" s="56"/>
      <c r="K68" s="56"/>
      <c r="L68" s="56"/>
    </row>
    <row r="69" spans="1:12" ht="15.75" hidden="1" x14ac:dyDescent="0.25">
      <c r="A69" s="56"/>
      <c r="B69" s="56"/>
      <c r="C69" s="56"/>
      <c r="D69" s="56"/>
      <c r="E69" s="56"/>
      <c r="F69" s="56"/>
      <c r="G69" s="56"/>
      <c r="H69" s="56"/>
      <c r="I69" s="56"/>
      <c r="J69" s="56"/>
      <c r="K69" s="56"/>
      <c r="L69" s="56"/>
    </row>
    <row r="70" spans="1:12" ht="15.75" hidden="1" x14ac:dyDescent="0.25">
      <c r="A70" s="56"/>
      <c r="B70" s="56"/>
      <c r="C70" s="56"/>
      <c r="D70" s="56"/>
      <c r="E70" s="56"/>
      <c r="F70" s="56"/>
      <c r="G70" s="56"/>
      <c r="H70" s="56"/>
      <c r="I70" s="56"/>
      <c r="J70" s="56"/>
      <c r="K70" s="56"/>
      <c r="L70" s="56"/>
    </row>
    <row r="71" spans="1:12" ht="15.75" hidden="1" x14ac:dyDescent="0.25">
      <c r="A71" s="56"/>
      <c r="B71" s="56"/>
      <c r="C71" s="56"/>
      <c r="D71" s="56"/>
      <c r="E71" s="56"/>
      <c r="F71" s="56"/>
      <c r="G71" s="56"/>
      <c r="H71" s="56"/>
      <c r="I71" s="56"/>
      <c r="J71" s="56"/>
      <c r="K71" s="56"/>
      <c r="L71" s="56"/>
    </row>
    <row r="72" spans="1:12" ht="15.75" hidden="1" x14ac:dyDescent="0.25">
      <c r="A72" s="56"/>
      <c r="B72" s="56"/>
      <c r="C72" s="56"/>
      <c r="D72" s="56"/>
      <c r="E72" s="56"/>
      <c r="F72" s="56"/>
      <c r="G72" s="56"/>
      <c r="H72" s="56"/>
      <c r="I72" s="56"/>
      <c r="J72" s="56"/>
      <c r="K72" s="56"/>
      <c r="L72" s="56"/>
    </row>
    <row r="73" spans="1:12" ht="15.75" hidden="1" x14ac:dyDescent="0.25">
      <c r="A73" s="56"/>
      <c r="B73" s="56"/>
      <c r="C73" s="56"/>
      <c r="D73" s="56"/>
      <c r="E73" s="56"/>
      <c r="F73" s="56"/>
      <c r="G73" s="56"/>
      <c r="H73" s="56"/>
      <c r="I73" s="56"/>
      <c r="J73" s="56"/>
      <c r="K73" s="56"/>
      <c r="L73" s="56"/>
    </row>
    <row r="74" spans="1:12" ht="15.75" hidden="1" x14ac:dyDescent="0.25">
      <c r="A74" s="56"/>
      <c r="B74" s="56"/>
      <c r="C74" s="56"/>
      <c r="D74" s="56"/>
      <c r="E74" s="56"/>
      <c r="F74" s="56"/>
      <c r="G74" s="56"/>
      <c r="H74" s="56"/>
      <c r="I74" s="56"/>
      <c r="J74" s="56"/>
      <c r="K74" s="56"/>
      <c r="L74" s="56"/>
    </row>
    <row r="75" spans="1:12" ht="15.75" hidden="1" x14ac:dyDescent="0.25">
      <c r="A75" s="56"/>
      <c r="B75" s="56"/>
      <c r="C75" s="56"/>
      <c r="D75" s="56"/>
      <c r="E75" s="56"/>
      <c r="F75" s="56"/>
      <c r="G75" s="56"/>
      <c r="H75" s="56"/>
      <c r="I75" s="56"/>
      <c r="J75" s="56"/>
      <c r="K75" s="56"/>
      <c r="L75" s="56"/>
    </row>
    <row r="76" spans="1:12" ht="15.75" hidden="1" x14ac:dyDescent="0.25">
      <c r="A76" s="56"/>
      <c r="B76" s="56"/>
      <c r="C76" s="56"/>
      <c r="D76" s="56"/>
      <c r="E76" s="56"/>
      <c r="F76" s="56"/>
      <c r="G76" s="56"/>
      <c r="H76" s="56"/>
      <c r="I76" s="56"/>
      <c r="J76" s="56"/>
      <c r="K76" s="56"/>
      <c r="L76" s="56"/>
    </row>
    <row r="77" spans="1:12" ht="15.75" hidden="1" x14ac:dyDescent="0.25">
      <c r="A77" s="56"/>
      <c r="B77" s="56"/>
      <c r="C77" s="56"/>
      <c r="D77" s="56"/>
      <c r="E77" s="56"/>
      <c r="F77" s="56"/>
      <c r="G77" s="56"/>
      <c r="H77" s="56"/>
      <c r="I77" s="56"/>
      <c r="J77" s="56"/>
      <c r="K77" s="56"/>
      <c r="L77" s="56"/>
    </row>
    <row r="78" spans="1:12" ht="15.75" hidden="1" x14ac:dyDescent="0.25">
      <c r="A78" s="56"/>
      <c r="B78" s="56"/>
      <c r="C78" s="56"/>
      <c r="D78" s="56"/>
      <c r="E78" s="56"/>
      <c r="F78" s="56"/>
      <c r="G78" s="56"/>
      <c r="H78" s="56"/>
      <c r="I78" s="56"/>
      <c r="J78" s="56"/>
      <c r="K78" s="56"/>
      <c r="L78" s="56"/>
    </row>
    <row r="79" spans="1:12" ht="15.75" hidden="1" x14ac:dyDescent="0.25">
      <c r="A79" s="56"/>
      <c r="B79" s="56"/>
      <c r="C79" s="56"/>
      <c r="D79" s="56"/>
      <c r="E79" s="56"/>
      <c r="F79" s="56"/>
      <c r="G79" s="56"/>
      <c r="H79" s="56"/>
      <c r="I79" s="56"/>
      <c r="J79" s="56"/>
      <c r="K79" s="56"/>
      <c r="L79" s="56"/>
    </row>
    <row r="80" spans="1:12" ht="15.75" hidden="1" x14ac:dyDescent="0.25">
      <c r="A80" s="56"/>
      <c r="B80" s="56"/>
      <c r="C80" s="56"/>
      <c r="D80" s="56"/>
      <c r="E80" s="56"/>
      <c r="F80" s="56"/>
      <c r="G80" s="56"/>
      <c r="H80" s="56"/>
      <c r="I80" s="56"/>
      <c r="J80" s="56"/>
      <c r="K80" s="56"/>
      <c r="L80" s="56"/>
    </row>
    <row r="81" spans="1:12" ht="15.75" hidden="1" x14ac:dyDescent="0.25">
      <c r="A81" s="56"/>
      <c r="B81" s="56"/>
      <c r="C81" s="56"/>
      <c r="D81" s="56"/>
      <c r="E81" s="56"/>
      <c r="F81" s="56"/>
      <c r="G81" s="56"/>
      <c r="H81" s="56"/>
      <c r="I81" s="56"/>
      <c r="J81" s="56"/>
      <c r="K81" s="56"/>
      <c r="L81" s="56"/>
    </row>
    <row r="82" spans="1:12" ht="15.75" hidden="1" x14ac:dyDescent="0.25">
      <c r="A82" s="56"/>
      <c r="B82" s="56"/>
      <c r="C82" s="56"/>
      <c r="D82" s="56"/>
      <c r="E82" s="56"/>
      <c r="F82" s="56"/>
      <c r="G82" s="56"/>
      <c r="H82" s="56"/>
      <c r="I82" s="56"/>
      <c r="J82" s="56"/>
      <c r="K82" s="56"/>
      <c r="L82" s="56"/>
    </row>
    <row r="83" spans="1:12" ht="15.75" hidden="1" x14ac:dyDescent="0.25">
      <c r="A83" s="56"/>
      <c r="B83" s="56"/>
      <c r="C83" s="56"/>
      <c r="D83" s="56"/>
      <c r="E83" s="56"/>
      <c r="F83" s="56"/>
      <c r="G83" s="56"/>
      <c r="H83" s="56"/>
      <c r="I83" s="56"/>
      <c r="J83" s="56"/>
      <c r="K83" s="56"/>
      <c r="L83" s="56"/>
    </row>
    <row r="84" spans="1:12" ht="15.75" hidden="1" x14ac:dyDescent="0.25">
      <c r="A84" s="56"/>
      <c r="B84" s="56"/>
      <c r="C84" s="56"/>
      <c r="D84" s="56"/>
      <c r="E84" s="56"/>
      <c r="F84" s="56"/>
      <c r="G84" s="56"/>
      <c r="H84" s="56"/>
      <c r="I84" s="56"/>
      <c r="J84" s="56"/>
      <c r="K84" s="56"/>
      <c r="L84" s="56"/>
    </row>
    <row r="85" spans="1:12" ht="15.75" hidden="1" x14ac:dyDescent="0.25">
      <c r="A85" s="56"/>
      <c r="B85" s="56"/>
      <c r="C85" s="56"/>
      <c r="D85" s="56"/>
      <c r="E85" s="56"/>
      <c r="F85" s="56"/>
      <c r="G85" s="56"/>
      <c r="H85" s="56"/>
      <c r="I85" s="56"/>
      <c r="J85" s="56"/>
      <c r="K85" s="56"/>
      <c r="L85" s="56"/>
    </row>
    <row r="86" spans="1:12" ht="15.75" hidden="1" x14ac:dyDescent="0.25">
      <c r="A86" s="56"/>
      <c r="B86" s="56"/>
      <c r="C86" s="56"/>
      <c r="D86" s="56"/>
      <c r="E86" s="56"/>
      <c r="F86" s="56"/>
      <c r="G86" s="56"/>
      <c r="H86" s="56"/>
      <c r="I86" s="56"/>
      <c r="J86" s="56"/>
      <c r="K86" s="56"/>
      <c r="L86" s="56"/>
    </row>
    <row r="87" spans="1:12" ht="15.75" x14ac:dyDescent="0.25">
      <c r="A87" s="53"/>
      <c r="B87" s="53"/>
      <c r="C87" s="53"/>
      <c r="D87" s="53"/>
      <c r="E87" s="53"/>
      <c r="F87" s="53"/>
      <c r="G87" s="53"/>
      <c r="H87" s="53"/>
      <c r="I87" s="53"/>
      <c r="J87" s="53"/>
      <c r="K87" s="53"/>
      <c r="L87" s="53"/>
    </row>
  </sheetData>
  <sheetProtection algorithmName="SHA-512" hashValue="gpiVwQIZu9Bfa+lZf4Zt3+nI3hDVdTvmz91X7fqvL4eaeSCeYlrvneWDfQzM8n44KQzm6Kvm17DPIeUIKUPoQw==" saltValue="sjC1RWn5lz5i5E/hNKVQ8w==" spinCount="100000" sheet="1" objects="1" scenarios="1"/>
  <mergeCells count="6">
    <mergeCell ref="C6:D6"/>
    <mergeCell ref="C11:D11"/>
    <mergeCell ref="C12:D12"/>
    <mergeCell ref="C13:D13"/>
    <mergeCell ref="C14:D14"/>
    <mergeCell ref="C10:D10"/>
  </mergeCells>
  <conditionalFormatting sqref="G3">
    <cfRule type="cellIs" dxfId="831" priority="5" operator="equal">
      <formula>"Complete"</formula>
    </cfRule>
    <cfRule type="cellIs" dxfId="830" priority="6" operator="equal">
      <formula>"Incomplete"</formula>
    </cfRule>
  </conditionalFormatting>
  <conditionalFormatting sqref="G10">
    <cfRule type="cellIs" dxfId="829" priority="1" operator="equal">
      <formula>"Complete"</formula>
    </cfRule>
    <cfRule type="cellIs" dxfId="828" priority="2" operator="equal">
      <formula>"Incomplete"</formula>
    </cfRule>
  </conditionalFormatting>
  <conditionalFormatting sqref="G12:G13">
    <cfRule type="cellIs" dxfId="827" priority="7" operator="equal">
      <formula>"Complete"</formula>
    </cfRule>
    <cfRule type="cellIs" dxfId="826" priority="8" operator="equal">
      <formula>"Incomplete"</formula>
    </cfRule>
  </conditionalFormatting>
  <conditionalFormatting sqref="H1:H4">
    <cfRule type="cellIs" dxfId="825" priority="17" operator="equal">
      <formula>"OK"</formula>
    </cfRule>
    <cfRule type="cellIs" dxfId="824" priority="18" operator="equal">
      <formula>"ERROR"</formula>
    </cfRule>
  </conditionalFormatting>
  <conditionalFormatting sqref="H5">
    <cfRule type="cellIs" dxfId="823" priority="15" operator="equal">
      <formula>"Complete"</formula>
    </cfRule>
  </conditionalFormatting>
  <conditionalFormatting sqref="H5:H6">
    <cfRule type="cellIs" dxfId="822" priority="14" operator="equal">
      <formula>"Incomplete"</formula>
    </cfRule>
  </conditionalFormatting>
  <conditionalFormatting sqref="H6">
    <cfRule type="cellIs" dxfId="821" priority="13" operator="equal">
      <formula>"Complete"</formula>
    </cfRule>
  </conditionalFormatting>
  <conditionalFormatting sqref="H7:H8">
    <cfRule type="cellIs" dxfId="820" priority="11" operator="equal">
      <formula>"OK"</formula>
    </cfRule>
    <cfRule type="cellIs" dxfId="819" priority="12" operator="equal">
      <formula>"ERROR"</formula>
    </cfRule>
  </conditionalFormatting>
  <dataValidations count="5">
    <dataValidation type="list" allowBlank="1" showInputMessage="1" showErrorMessage="1" sqref="C7" xr:uid="{00000000-0002-0000-0500-000000000000}">
      <formula1>"Biannual,Annual"</formula1>
    </dataValidation>
    <dataValidation type="list" allowBlank="1" showInputMessage="1" showErrorMessage="1" sqref="E6" xr:uid="{00000000-0002-0000-0500-000001000000}">
      <formula1>"Annual,Biannual"</formula1>
    </dataValidation>
    <dataValidation type="list" allowBlank="1" showInputMessage="1" showErrorMessage="1" sqref="E12:E14" xr:uid="{00000000-0002-0000-0500-000002000000}">
      <formula1>"Yes, No"</formula1>
    </dataValidation>
    <dataValidation allowBlank="1" showInputMessage="1" showErrorMessage="1" prompt="Go to Data tab and check 'Edit Links':_x000a_a) If Edit Links is selectable - please break all links in the return. b) If Edit Links is not selectable there are no links in the return. " sqref="C12:D12" xr:uid="{00000000-0002-0000-0500-000003000000}"/>
    <dataValidation allowBlank="1" showInputMessage="1" showErrorMessage="1" prompt="_x000a_" sqref="C10:D10" xr:uid="{00000000-0002-0000-0500-000004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N111"/>
  <sheetViews>
    <sheetView workbookViewId="0"/>
  </sheetViews>
  <sheetFormatPr defaultColWidth="0" defaultRowHeight="14.25" zeroHeight="1" x14ac:dyDescent="0.2"/>
  <cols>
    <col min="1" max="1" width="1.875" customWidth="1"/>
    <col min="2" max="2" width="93.5" customWidth="1"/>
    <col min="3" max="3" width="2.375" customWidth="1"/>
    <col min="4" max="4" width="21" customWidth="1"/>
    <col min="5" max="5" width="1.875" customWidth="1"/>
    <col min="6" max="6" width="20.875" customWidth="1"/>
    <col min="7" max="7" width="2.5" customWidth="1"/>
    <col min="8" max="8" width="9.875" customWidth="1"/>
    <col min="9" max="10" width="1.875" customWidth="1"/>
    <col min="11" max="11" width="76.125" customWidth="1"/>
    <col min="12" max="12" width="1.875" customWidth="1"/>
    <col min="13" max="14" width="9" customWidth="1"/>
  </cols>
  <sheetData>
    <row r="1" spans="1:14" ht="15.75" x14ac:dyDescent="0.25">
      <c r="A1" s="59">
        <v>1</v>
      </c>
      <c r="B1" s="63"/>
      <c r="C1" s="60"/>
      <c r="D1" s="60"/>
      <c r="E1" s="60"/>
      <c r="F1" s="60"/>
      <c r="G1" s="60"/>
      <c r="H1" s="59"/>
      <c r="I1" s="59"/>
      <c r="J1" s="59"/>
      <c r="K1" s="60"/>
      <c r="L1" s="59"/>
      <c r="M1" s="60"/>
      <c r="N1" s="60"/>
    </row>
    <row r="2" spans="1:14" ht="30" customHeight="1" x14ac:dyDescent="0.25">
      <c r="A2" s="60"/>
      <c r="B2" s="64"/>
      <c r="C2" s="60"/>
      <c r="D2" s="52" t="s">
        <v>30</v>
      </c>
      <c r="E2" s="60"/>
      <c r="F2" s="60"/>
      <c r="G2" s="60"/>
      <c r="H2" s="60"/>
      <c r="I2" s="60"/>
      <c r="J2" s="60"/>
      <c r="K2" s="61"/>
      <c r="L2" s="60"/>
      <c r="M2" s="60"/>
      <c r="N2" s="60"/>
    </row>
    <row r="3" spans="1:14" ht="15.75" x14ac:dyDescent="0.25">
      <c r="A3" s="53"/>
      <c r="B3" s="65"/>
      <c r="C3" s="53"/>
      <c r="D3" s="53"/>
      <c r="E3" s="53"/>
      <c r="F3" s="53"/>
      <c r="G3" s="53"/>
      <c r="H3" s="53"/>
      <c r="I3" s="53"/>
      <c r="J3" s="53"/>
      <c r="K3" s="53"/>
      <c r="L3" s="53"/>
      <c r="M3" s="334" t="str">
        <f>IF(COUNTIF(M10:M73,"Incomplete")&gt;0,"Incomplete","Complete")</f>
        <v>Complete</v>
      </c>
      <c r="N3" s="53"/>
    </row>
    <row r="4" spans="1:14" ht="16.5" thickBot="1" x14ac:dyDescent="0.3">
      <c r="A4" s="53"/>
      <c r="B4" s="65"/>
      <c r="C4" s="53"/>
      <c r="D4" s="53"/>
      <c r="E4" s="53"/>
      <c r="F4" s="66"/>
      <c r="G4" s="53"/>
      <c r="H4" s="53"/>
      <c r="I4" s="53"/>
      <c r="J4" s="53"/>
      <c r="K4" s="53"/>
      <c r="L4" s="53"/>
      <c r="M4" s="53"/>
      <c r="N4" s="53"/>
    </row>
    <row r="5" spans="1:14" ht="15.75" x14ac:dyDescent="0.25">
      <c r="A5" s="53"/>
      <c r="B5" s="67" t="s">
        <v>160</v>
      </c>
      <c r="C5" s="68"/>
      <c r="D5" s="69" t="s">
        <v>161</v>
      </c>
      <c r="E5" s="70"/>
      <c r="F5" s="69" t="s">
        <v>162</v>
      </c>
      <c r="G5" s="71"/>
      <c r="H5" s="53"/>
      <c r="I5" s="53"/>
      <c r="J5" s="53"/>
      <c r="K5" s="72" t="s">
        <v>163</v>
      </c>
      <c r="L5" s="53"/>
      <c r="M5" s="53"/>
      <c r="N5" s="53"/>
    </row>
    <row r="6" spans="1:14" ht="16.5" thickBot="1" x14ac:dyDescent="0.3">
      <c r="A6" s="53"/>
      <c r="B6" s="73"/>
      <c r="C6" s="74"/>
      <c r="D6" s="75" t="s">
        <v>164</v>
      </c>
      <c r="E6" s="76"/>
      <c r="F6" s="75" t="s">
        <v>164</v>
      </c>
      <c r="G6" s="77"/>
      <c r="H6" s="53"/>
      <c r="I6" s="53"/>
      <c r="J6" s="53"/>
      <c r="K6" s="78"/>
      <c r="L6" s="53"/>
      <c r="M6" s="53"/>
      <c r="N6" s="53"/>
    </row>
    <row r="7" spans="1:14" ht="15.75" x14ac:dyDescent="0.25">
      <c r="A7" s="53"/>
      <c r="B7" s="79"/>
      <c r="C7" s="80"/>
      <c r="D7" s="80"/>
      <c r="E7" s="80"/>
      <c r="F7" s="80"/>
      <c r="G7" s="81"/>
      <c r="H7" s="53"/>
      <c r="I7" s="53"/>
      <c r="J7" s="53"/>
      <c r="K7" s="82"/>
      <c r="L7" s="53"/>
      <c r="M7" s="53"/>
      <c r="N7" s="53"/>
    </row>
    <row r="8" spans="1:14" ht="15.75" x14ac:dyDescent="0.25">
      <c r="A8" s="53"/>
      <c r="B8" s="83" t="s">
        <v>165</v>
      </c>
      <c r="C8" s="621"/>
      <c r="D8" s="622"/>
      <c r="E8" s="621"/>
      <c r="F8" s="622"/>
      <c r="G8" s="623"/>
      <c r="H8" s="53"/>
      <c r="I8" s="53"/>
      <c r="J8" s="53"/>
      <c r="K8" s="84"/>
      <c r="L8" s="53"/>
      <c r="M8" s="53"/>
      <c r="N8" s="53"/>
    </row>
    <row r="9" spans="1:14" ht="6" customHeight="1" x14ac:dyDescent="0.25">
      <c r="A9" s="53"/>
      <c r="B9" s="79"/>
      <c r="C9" s="80"/>
      <c r="D9" s="80"/>
      <c r="E9" s="80"/>
      <c r="F9" s="80"/>
      <c r="G9" s="81"/>
      <c r="H9" s="53"/>
      <c r="I9" s="53"/>
      <c r="J9" s="53"/>
      <c r="K9" s="82"/>
      <c r="L9" s="53"/>
      <c r="M9" s="53"/>
      <c r="N9" s="53"/>
    </row>
    <row r="10" spans="1:14" ht="15.75" x14ac:dyDescent="0.25">
      <c r="A10" s="53"/>
      <c r="B10" s="79" t="s">
        <v>166</v>
      </c>
      <c r="C10" s="80"/>
      <c r="D10" s="624">
        <v>0</v>
      </c>
      <c r="E10" s="85"/>
      <c r="F10" s="625">
        <v>0</v>
      </c>
      <c r="G10" s="86"/>
      <c r="H10" s="53"/>
      <c r="I10" s="53"/>
      <c r="J10" s="53"/>
      <c r="K10" s="87"/>
      <c r="L10" s="53"/>
      <c r="M10" s="334" t="str">
        <f>IF(OR(D10=""),"Incomplete","Complete")</f>
        <v>Complete</v>
      </c>
      <c r="N10" s="53"/>
    </row>
    <row r="11" spans="1:14" ht="15.75" x14ac:dyDescent="0.25">
      <c r="A11" s="53"/>
      <c r="B11" s="79" t="s">
        <v>167</v>
      </c>
      <c r="C11" s="80"/>
      <c r="D11" s="624">
        <v>0</v>
      </c>
      <c r="E11" s="85"/>
      <c r="F11" s="624">
        <v>0</v>
      </c>
      <c r="G11" s="86"/>
      <c r="H11" s="53"/>
      <c r="I11" s="53"/>
      <c r="J11" s="53"/>
      <c r="K11" s="88"/>
      <c r="L11" s="53"/>
      <c r="M11" s="334" t="str">
        <f>IF(OR(D11="",F11=""),"Incomplete","Complete")</f>
        <v>Complete</v>
      </c>
      <c r="N11" s="53"/>
    </row>
    <row r="12" spans="1:14" ht="15.75" x14ac:dyDescent="0.25">
      <c r="A12" s="53"/>
      <c r="B12" s="79" t="s">
        <v>168</v>
      </c>
      <c r="C12" s="80"/>
      <c r="D12" s="624">
        <v>0</v>
      </c>
      <c r="E12" s="85"/>
      <c r="F12" s="624">
        <v>0</v>
      </c>
      <c r="G12" s="86"/>
      <c r="H12" s="53"/>
      <c r="I12" s="53"/>
      <c r="J12" s="53"/>
      <c r="K12" s="88"/>
      <c r="L12" s="53"/>
      <c r="M12" s="334" t="str">
        <f>IF(OR(D12="",F12=""),"Incomplete","Complete")</f>
        <v>Complete</v>
      </c>
      <c r="N12" s="53"/>
    </row>
    <row r="13" spans="1:14" ht="6" customHeight="1" x14ac:dyDescent="0.25">
      <c r="A13" s="53"/>
      <c r="B13" s="79"/>
      <c r="C13" s="80"/>
      <c r="D13" s="85"/>
      <c r="E13" s="85"/>
      <c r="F13" s="85"/>
      <c r="G13" s="81"/>
      <c r="H13" s="53"/>
      <c r="I13" s="53"/>
      <c r="J13" s="53"/>
      <c r="K13" s="82"/>
      <c r="L13" s="53"/>
      <c r="M13" s="53"/>
      <c r="N13" s="53"/>
    </row>
    <row r="14" spans="1:14" ht="15.75" x14ac:dyDescent="0.25">
      <c r="A14" s="53"/>
      <c r="B14" s="79" t="s">
        <v>169</v>
      </c>
      <c r="C14" s="80"/>
      <c r="D14" s="626">
        <f>SUM(D10:D12)</f>
        <v>0</v>
      </c>
      <c r="E14" s="85"/>
      <c r="F14" s="626">
        <f>SUM(F10:F12)</f>
        <v>0</v>
      </c>
      <c r="G14" s="81"/>
      <c r="H14" s="53"/>
      <c r="I14" s="53"/>
      <c r="J14" s="53"/>
      <c r="K14" s="82"/>
      <c r="L14" s="53"/>
      <c r="M14" s="53"/>
      <c r="N14" s="53"/>
    </row>
    <row r="15" spans="1:14" ht="6" customHeight="1" x14ac:dyDescent="0.25">
      <c r="A15" s="53"/>
      <c r="B15" s="79"/>
      <c r="C15" s="80"/>
      <c r="D15" s="85"/>
      <c r="E15" s="85"/>
      <c r="F15" s="85"/>
      <c r="G15" s="81"/>
      <c r="H15" s="53"/>
      <c r="I15" s="53"/>
      <c r="J15" s="53"/>
      <c r="K15" s="82"/>
      <c r="L15" s="53"/>
      <c r="M15" s="53"/>
      <c r="N15" s="53"/>
    </row>
    <row r="16" spans="1:14" ht="15.75" x14ac:dyDescent="0.25">
      <c r="A16" s="53"/>
      <c r="B16" s="83" t="s">
        <v>170</v>
      </c>
      <c r="C16" s="621"/>
      <c r="D16" s="627"/>
      <c r="E16" s="628"/>
      <c r="F16" s="627"/>
      <c r="G16" s="623"/>
      <c r="H16" s="53"/>
      <c r="I16" s="53"/>
      <c r="J16" s="53"/>
      <c r="K16" s="82"/>
      <c r="L16" s="53"/>
      <c r="M16" s="53"/>
      <c r="N16" s="53"/>
    </row>
    <row r="17" spans="1:14" ht="15.75" hidden="1" x14ac:dyDescent="0.25">
      <c r="A17" s="53"/>
      <c r="B17" s="65"/>
      <c r="C17" s="53"/>
      <c r="D17" s="53"/>
      <c r="E17" s="53"/>
      <c r="F17" s="53"/>
      <c r="G17" s="53"/>
      <c r="H17" s="53"/>
      <c r="I17" s="53"/>
      <c r="J17" s="53"/>
      <c r="K17" s="53"/>
      <c r="L17" s="53"/>
      <c r="M17" s="53"/>
      <c r="N17" s="53"/>
    </row>
    <row r="18" spans="1:14" ht="15.75" x14ac:dyDescent="0.25">
      <c r="A18" s="53"/>
      <c r="B18" s="79" t="s">
        <v>171</v>
      </c>
      <c r="C18" s="80"/>
      <c r="D18" s="624">
        <v>0</v>
      </c>
      <c r="E18" s="85"/>
      <c r="F18" s="624">
        <v>0</v>
      </c>
      <c r="G18" s="86"/>
      <c r="H18" s="53"/>
      <c r="I18" s="53"/>
      <c r="J18" s="53"/>
      <c r="K18" s="87"/>
      <c r="L18" s="53"/>
      <c r="M18" s="334" t="str">
        <f>IF(OR(D18="",F18=""),"Incomplete","Complete")</f>
        <v>Complete</v>
      </c>
      <c r="N18" s="53"/>
    </row>
    <row r="19" spans="1:14" ht="31.5" hidden="1" x14ac:dyDescent="0.25">
      <c r="A19" s="53"/>
      <c r="B19" s="79" t="s">
        <v>172</v>
      </c>
      <c r="C19" s="80"/>
      <c r="D19" s="624">
        <v>0</v>
      </c>
      <c r="E19" s="85"/>
      <c r="F19" s="624">
        <v>0</v>
      </c>
      <c r="G19" s="86"/>
      <c r="H19" s="53"/>
      <c r="I19" s="53"/>
      <c r="J19" s="53"/>
      <c r="K19" s="88"/>
      <c r="L19" s="53"/>
      <c r="M19" s="342"/>
      <c r="N19" s="53"/>
    </row>
    <row r="20" spans="1:14" ht="28.5" customHeight="1" x14ac:dyDescent="0.25">
      <c r="A20" s="53"/>
      <c r="B20" s="79" t="s">
        <v>173</v>
      </c>
      <c r="C20" s="80"/>
      <c r="D20" s="624">
        <v>0</v>
      </c>
      <c r="E20" s="85"/>
      <c r="F20" s="624">
        <v>0</v>
      </c>
      <c r="G20" s="86"/>
      <c r="H20" s="53"/>
      <c r="I20" s="53"/>
      <c r="J20" s="53"/>
      <c r="K20" s="88"/>
      <c r="L20" s="53"/>
      <c r="M20" s="334" t="str">
        <f>IF(OR(D20="",F20=""),"Incomplete","Complete")</f>
        <v>Complete</v>
      </c>
      <c r="N20" s="53"/>
    </row>
    <row r="21" spans="1:14" ht="47.25" x14ac:dyDescent="0.25">
      <c r="A21" s="53"/>
      <c r="B21" s="79" t="s">
        <v>174</v>
      </c>
      <c r="C21" s="80"/>
      <c r="D21" s="624">
        <v>0</v>
      </c>
      <c r="E21" s="85"/>
      <c r="F21" s="624">
        <v>0</v>
      </c>
      <c r="G21" s="86"/>
      <c r="H21" s="53"/>
      <c r="I21" s="53"/>
      <c r="J21" s="53"/>
      <c r="K21" s="87"/>
      <c r="L21" s="53"/>
      <c r="M21" s="334" t="str">
        <f>IF(OR(D21="",F21=""),"Incomplete","Complete")</f>
        <v>Complete</v>
      </c>
      <c r="N21" s="53"/>
    </row>
    <row r="22" spans="1:14" ht="15.75" x14ac:dyDescent="0.25">
      <c r="A22" s="53"/>
      <c r="B22" s="79" t="s">
        <v>175</v>
      </c>
      <c r="C22" s="80"/>
      <c r="D22" s="624">
        <v>0</v>
      </c>
      <c r="E22" s="85"/>
      <c r="F22" s="624">
        <v>0</v>
      </c>
      <c r="G22" s="86"/>
      <c r="H22" s="53"/>
      <c r="I22" s="53"/>
      <c r="J22" s="53"/>
      <c r="K22" s="88"/>
      <c r="L22" s="53"/>
      <c r="M22" s="334" t="str">
        <f>IF(OR(D22="",F22=""),"Incomplete","Complete")</f>
        <v>Complete</v>
      </c>
      <c r="N22" s="53"/>
    </row>
    <row r="23" spans="1:14" ht="15.75" hidden="1" x14ac:dyDescent="0.25">
      <c r="A23" s="53"/>
      <c r="B23" s="79" t="s">
        <v>176</v>
      </c>
      <c r="C23" s="80"/>
      <c r="D23" s="624">
        <v>0</v>
      </c>
      <c r="E23" s="85"/>
      <c r="F23" s="624">
        <v>0</v>
      </c>
      <c r="G23" s="86"/>
      <c r="H23" s="53"/>
      <c r="I23" s="53"/>
      <c r="J23" s="53"/>
      <c r="K23" s="88"/>
      <c r="L23" s="53"/>
      <c r="M23" s="342"/>
      <c r="N23" s="53"/>
    </row>
    <row r="24" spans="1:14" ht="47.25" x14ac:dyDescent="0.25">
      <c r="A24" s="53"/>
      <c r="B24" s="79" t="s">
        <v>177</v>
      </c>
      <c r="C24" s="80"/>
      <c r="D24" s="624">
        <v>0</v>
      </c>
      <c r="E24" s="85"/>
      <c r="F24" s="624">
        <v>0</v>
      </c>
      <c r="G24" s="86"/>
      <c r="H24" s="53"/>
      <c r="I24" s="53"/>
      <c r="J24" s="53"/>
      <c r="K24" s="87"/>
      <c r="L24" s="53"/>
      <c r="M24" s="334" t="str">
        <f>IF(OR(D24="",F24=""),"Incomplete","Complete")</f>
        <v>Complete</v>
      </c>
      <c r="N24" s="53"/>
    </row>
    <row r="25" spans="1:14" ht="15.75" hidden="1" x14ac:dyDescent="0.25">
      <c r="A25" s="53"/>
      <c r="B25" s="79" t="s">
        <v>178</v>
      </c>
      <c r="C25" s="80"/>
      <c r="D25" s="624">
        <v>0</v>
      </c>
      <c r="E25" s="85"/>
      <c r="F25" s="624">
        <v>0</v>
      </c>
      <c r="G25" s="86"/>
      <c r="H25" s="53"/>
      <c r="I25" s="53"/>
      <c r="J25" s="53"/>
      <c r="K25" s="88"/>
      <c r="L25" s="53"/>
      <c r="M25" s="342"/>
      <c r="N25" s="53"/>
    </row>
    <row r="26" spans="1:14" ht="31.5" x14ac:dyDescent="0.25">
      <c r="A26" s="53"/>
      <c r="B26" s="79" t="s">
        <v>179</v>
      </c>
      <c r="C26" s="80"/>
      <c r="D26" s="624">
        <v>0</v>
      </c>
      <c r="E26" s="85"/>
      <c r="F26" s="624">
        <v>0</v>
      </c>
      <c r="G26" s="86"/>
      <c r="H26" s="53"/>
      <c r="I26" s="53"/>
      <c r="J26" s="53"/>
      <c r="K26" s="88"/>
      <c r="L26" s="53"/>
      <c r="M26" s="334" t="str">
        <f>IF(OR(D26="",F26=""),"Incomplete","Complete")</f>
        <v>Complete</v>
      </c>
      <c r="N26" s="53"/>
    </row>
    <row r="27" spans="1:14" ht="15.75" hidden="1" x14ac:dyDescent="0.25">
      <c r="A27" s="53"/>
      <c r="B27" s="79" t="s">
        <v>180</v>
      </c>
      <c r="C27" s="80"/>
      <c r="D27" s="629"/>
      <c r="E27" s="85"/>
      <c r="F27" s="629"/>
      <c r="G27" s="86"/>
      <c r="H27" s="53"/>
      <c r="I27" s="53"/>
      <c r="J27" s="53"/>
      <c r="K27" s="89"/>
      <c r="L27" s="53"/>
      <c r="M27" s="53"/>
      <c r="N27" s="53"/>
    </row>
    <row r="28" spans="1:14" ht="15.75" hidden="1" x14ac:dyDescent="0.25">
      <c r="A28" s="53"/>
      <c r="B28" s="90" t="s">
        <v>181</v>
      </c>
      <c r="C28" s="80"/>
      <c r="D28" s="629"/>
      <c r="E28" s="85"/>
      <c r="F28" s="629"/>
      <c r="G28" s="86"/>
      <c r="H28" s="53"/>
      <c r="I28" s="53"/>
      <c r="J28" s="53"/>
      <c r="K28" s="89"/>
      <c r="L28" s="53"/>
      <c r="M28" s="53"/>
      <c r="N28" s="53"/>
    </row>
    <row r="29" spans="1:14" ht="15.75" hidden="1" x14ac:dyDescent="0.25">
      <c r="A29" s="53"/>
      <c r="B29" s="90" t="s">
        <v>182</v>
      </c>
      <c r="C29" s="80"/>
      <c r="D29" s="629"/>
      <c r="E29" s="85"/>
      <c r="F29" s="629"/>
      <c r="G29" s="86"/>
      <c r="H29" s="53"/>
      <c r="I29" s="53"/>
      <c r="J29" s="53"/>
      <c r="K29" s="89"/>
      <c r="L29" s="53"/>
      <c r="M29" s="53"/>
      <c r="N29" s="53"/>
    </row>
    <row r="30" spans="1:14" ht="15.75" hidden="1" x14ac:dyDescent="0.25">
      <c r="A30" s="53"/>
      <c r="B30" s="90" t="s">
        <v>183</v>
      </c>
      <c r="C30" s="80"/>
      <c r="D30" s="629"/>
      <c r="E30" s="85"/>
      <c r="F30" s="629"/>
      <c r="G30" s="86"/>
      <c r="H30" s="53"/>
      <c r="I30" s="53"/>
      <c r="J30" s="53"/>
      <c r="K30" s="89"/>
      <c r="L30" s="53"/>
      <c r="M30" s="53"/>
      <c r="N30" s="53"/>
    </row>
    <row r="31" spans="1:14" ht="15.75" hidden="1" x14ac:dyDescent="0.25">
      <c r="A31" s="53"/>
      <c r="B31" s="90" t="s">
        <v>184</v>
      </c>
      <c r="C31" s="80"/>
      <c r="D31" s="629"/>
      <c r="E31" s="85"/>
      <c r="F31" s="629"/>
      <c r="G31" s="86"/>
      <c r="H31" s="53"/>
      <c r="I31" s="53"/>
      <c r="J31" s="53"/>
      <c r="K31" s="89"/>
      <c r="L31" s="53"/>
      <c r="M31" s="53"/>
      <c r="N31" s="53"/>
    </row>
    <row r="32" spans="1:14" ht="15.75" hidden="1" x14ac:dyDescent="0.25">
      <c r="A32" s="53"/>
      <c r="B32" s="90" t="s">
        <v>185</v>
      </c>
      <c r="C32" s="80"/>
      <c r="D32" s="629"/>
      <c r="E32" s="85"/>
      <c r="F32" s="629"/>
      <c r="G32" s="86"/>
      <c r="H32" s="53"/>
      <c r="I32" s="53"/>
      <c r="J32" s="53"/>
      <c r="K32" s="89"/>
      <c r="L32" s="53"/>
      <c r="M32" s="53"/>
      <c r="N32" s="53"/>
    </row>
    <row r="33" spans="1:14" ht="15.75" hidden="1" x14ac:dyDescent="0.25">
      <c r="A33" s="53"/>
      <c r="B33" s="79" t="s">
        <v>186</v>
      </c>
      <c r="C33" s="80"/>
      <c r="D33" s="629"/>
      <c r="E33" s="85"/>
      <c r="F33" s="629"/>
      <c r="G33" s="86"/>
      <c r="H33" s="53"/>
      <c r="I33" s="53"/>
      <c r="J33" s="53"/>
      <c r="K33" s="89"/>
      <c r="L33" s="53"/>
      <c r="M33" s="53"/>
      <c r="N33" s="53"/>
    </row>
    <row r="34" spans="1:14" ht="15.75" hidden="1" x14ac:dyDescent="0.25">
      <c r="A34" s="53"/>
      <c r="B34" s="79" t="s">
        <v>187</v>
      </c>
      <c r="C34" s="80"/>
      <c r="D34" s="629"/>
      <c r="E34" s="85"/>
      <c r="F34" s="629"/>
      <c r="G34" s="86"/>
      <c r="H34" s="53"/>
      <c r="I34" s="53"/>
      <c r="J34" s="53"/>
      <c r="K34" s="89"/>
      <c r="L34" s="53"/>
      <c r="M34" s="53"/>
      <c r="N34" s="53"/>
    </row>
    <row r="35" spans="1:14" ht="6" customHeight="1" x14ac:dyDescent="0.25">
      <c r="A35" s="53"/>
      <c r="B35" s="79"/>
      <c r="C35" s="80"/>
      <c r="D35" s="85"/>
      <c r="E35" s="85"/>
      <c r="F35" s="85"/>
      <c r="G35" s="81"/>
      <c r="H35" s="53"/>
      <c r="I35" s="53"/>
      <c r="J35" s="53"/>
      <c r="K35" s="82"/>
      <c r="L35" s="53"/>
      <c r="M35" s="53"/>
      <c r="N35" s="53"/>
    </row>
    <row r="36" spans="1:14" ht="15.75" x14ac:dyDescent="0.25">
      <c r="A36" s="53"/>
      <c r="B36" s="79" t="s">
        <v>169</v>
      </c>
      <c r="C36" s="80"/>
      <c r="D36" s="626">
        <f>SUM(D18:D27,D33:D34)</f>
        <v>0</v>
      </c>
      <c r="E36" s="85"/>
      <c r="F36" s="626">
        <f>SUM(F18:F27,F33:F34)</f>
        <v>0</v>
      </c>
      <c r="G36" s="81"/>
      <c r="H36" s="53"/>
      <c r="I36" s="53"/>
      <c r="J36" s="53"/>
      <c r="K36" s="82"/>
      <c r="L36" s="53"/>
      <c r="M36" s="53"/>
      <c r="N36" s="53"/>
    </row>
    <row r="37" spans="1:14" ht="6" customHeight="1" x14ac:dyDescent="0.25">
      <c r="A37" s="53"/>
      <c r="B37" s="79"/>
      <c r="C37" s="80"/>
      <c r="D37" s="85"/>
      <c r="E37" s="85"/>
      <c r="F37" s="85"/>
      <c r="G37" s="81"/>
      <c r="H37" s="53"/>
      <c r="I37" s="53"/>
      <c r="J37" s="53"/>
      <c r="K37" s="82"/>
      <c r="L37" s="53"/>
      <c r="M37" s="53"/>
      <c r="N37" s="53"/>
    </row>
    <row r="38" spans="1:14" ht="15.75" x14ac:dyDescent="0.25">
      <c r="A38" s="53"/>
      <c r="B38" s="83" t="s">
        <v>188</v>
      </c>
      <c r="C38" s="621"/>
      <c r="D38" s="627"/>
      <c r="E38" s="628"/>
      <c r="F38" s="627"/>
      <c r="G38" s="623"/>
      <c r="H38" s="53"/>
      <c r="I38" s="53"/>
      <c r="J38" s="53"/>
      <c r="K38" s="82"/>
      <c r="L38" s="53"/>
      <c r="M38" s="53"/>
      <c r="N38" s="53"/>
    </row>
    <row r="39" spans="1:14" ht="6" customHeight="1" x14ac:dyDescent="0.25">
      <c r="A39" s="53"/>
      <c r="B39" s="79"/>
      <c r="C39" s="80"/>
      <c r="D39" s="85"/>
      <c r="E39" s="85"/>
      <c r="F39" s="85"/>
      <c r="G39" s="81"/>
      <c r="H39" s="53"/>
      <c r="I39" s="53"/>
      <c r="J39" s="53"/>
      <c r="K39" s="82"/>
      <c r="L39" s="53"/>
      <c r="M39" s="53"/>
      <c r="N39" s="53"/>
    </row>
    <row r="40" spans="1:14" ht="15.75" x14ac:dyDescent="0.25">
      <c r="A40" s="53"/>
      <c r="B40" s="79" t="s">
        <v>189</v>
      </c>
      <c r="C40" s="80"/>
      <c r="D40" s="624">
        <v>0</v>
      </c>
      <c r="E40" s="85"/>
      <c r="F40" s="624">
        <v>0</v>
      </c>
      <c r="G40" s="86"/>
      <c r="H40" s="53"/>
      <c r="I40" s="53"/>
      <c r="J40" s="53"/>
      <c r="K40" s="87"/>
      <c r="L40" s="53"/>
      <c r="M40" s="334" t="str">
        <f>IF(OR(D40="",F40=""),"Incomplete","Complete")</f>
        <v>Complete</v>
      </c>
      <c r="N40" s="53"/>
    </row>
    <row r="41" spans="1:14" ht="15.75" x14ac:dyDescent="0.25">
      <c r="A41" s="53"/>
      <c r="B41" s="79" t="s">
        <v>190</v>
      </c>
      <c r="C41" s="80"/>
      <c r="D41" s="624">
        <v>0</v>
      </c>
      <c r="E41" s="85"/>
      <c r="F41" s="624">
        <v>0</v>
      </c>
      <c r="G41" s="86"/>
      <c r="H41" s="53"/>
      <c r="I41" s="53"/>
      <c r="J41" s="53"/>
      <c r="K41" s="88"/>
      <c r="L41" s="53"/>
      <c r="M41" s="334" t="str">
        <f>IF(OR(D41="",F41=""),"Incomplete","Complete")</f>
        <v>Complete</v>
      </c>
      <c r="N41" s="53"/>
    </row>
    <row r="42" spans="1:14" ht="15.75" hidden="1" x14ac:dyDescent="0.25">
      <c r="A42" s="53"/>
      <c r="B42" s="91" t="s">
        <v>191</v>
      </c>
      <c r="C42" s="80"/>
      <c r="D42" s="629"/>
      <c r="E42" s="85"/>
      <c r="F42" s="629"/>
      <c r="G42" s="81"/>
      <c r="H42" s="53"/>
      <c r="I42" s="53"/>
      <c r="J42" s="53"/>
      <c r="K42" s="89"/>
      <c r="L42" s="53"/>
      <c r="M42" s="53"/>
      <c r="N42" s="53"/>
    </row>
    <row r="43" spans="1:14" ht="15.75" hidden="1" x14ac:dyDescent="0.25">
      <c r="A43" s="53"/>
      <c r="B43" s="91" t="s">
        <v>192</v>
      </c>
      <c r="C43" s="80"/>
      <c r="D43" s="629"/>
      <c r="E43" s="85"/>
      <c r="F43" s="629"/>
      <c r="G43" s="81"/>
      <c r="H43" s="53"/>
      <c r="I43" s="53"/>
      <c r="J43" s="53"/>
      <c r="K43" s="89"/>
      <c r="L43" s="53"/>
      <c r="M43" s="53"/>
      <c r="N43" s="53"/>
    </row>
    <row r="44" spans="1:14" ht="6" customHeight="1" x14ac:dyDescent="0.25">
      <c r="A44" s="53"/>
      <c r="B44" s="79"/>
      <c r="C44" s="80"/>
      <c r="D44" s="85"/>
      <c r="E44" s="85"/>
      <c r="F44" s="85"/>
      <c r="G44" s="81"/>
      <c r="H44" s="53"/>
      <c r="I44" s="53"/>
      <c r="J44" s="53"/>
      <c r="K44" s="82"/>
      <c r="L44" s="53"/>
      <c r="M44" s="53"/>
      <c r="N44" s="53"/>
    </row>
    <row r="45" spans="1:14" ht="15.75" x14ac:dyDescent="0.25">
      <c r="A45" s="53"/>
      <c r="B45" s="79" t="s">
        <v>169</v>
      </c>
      <c r="C45" s="80"/>
      <c r="D45" s="626">
        <f>SUM(D40:D43)</f>
        <v>0</v>
      </c>
      <c r="E45" s="85"/>
      <c r="F45" s="626">
        <f>SUM(F40:F43)</f>
        <v>0</v>
      </c>
      <c r="G45" s="81"/>
      <c r="H45" s="53"/>
      <c r="I45" s="53"/>
      <c r="J45" s="53"/>
      <c r="K45" s="82"/>
      <c r="L45" s="53"/>
      <c r="M45" s="53"/>
      <c r="N45" s="53"/>
    </row>
    <row r="46" spans="1:14" ht="6" customHeight="1" x14ac:dyDescent="0.25">
      <c r="A46" s="53"/>
      <c r="B46" s="79"/>
      <c r="C46" s="80"/>
      <c r="D46" s="85"/>
      <c r="E46" s="85"/>
      <c r="F46" s="85"/>
      <c r="G46" s="81"/>
      <c r="H46" s="53"/>
      <c r="I46" s="53"/>
      <c r="J46" s="53"/>
      <c r="K46" s="82"/>
      <c r="L46" s="53"/>
      <c r="M46" s="53"/>
      <c r="N46" s="53"/>
    </row>
    <row r="47" spans="1:14" ht="15.75" x14ac:dyDescent="0.25">
      <c r="A47" s="53"/>
      <c r="B47" s="83" t="s">
        <v>193</v>
      </c>
      <c r="C47" s="621"/>
      <c r="D47" s="627"/>
      <c r="E47" s="628"/>
      <c r="F47" s="627"/>
      <c r="G47" s="623"/>
      <c r="H47" s="53"/>
      <c r="I47" s="53"/>
      <c r="J47" s="53"/>
      <c r="K47" s="82"/>
      <c r="L47" s="53"/>
      <c r="M47" s="53"/>
      <c r="N47" s="53"/>
    </row>
    <row r="48" spans="1:14" ht="15.75" hidden="1" x14ac:dyDescent="0.25">
      <c r="A48" s="53"/>
      <c r="B48" s="65"/>
      <c r="C48" s="53"/>
      <c r="D48" s="53"/>
      <c r="E48" s="53"/>
      <c r="F48" s="53"/>
      <c r="G48" s="53"/>
      <c r="H48" s="53"/>
      <c r="I48" s="53"/>
      <c r="J48" s="53"/>
      <c r="K48" s="53"/>
      <c r="L48" s="53"/>
      <c r="M48" s="53"/>
      <c r="N48" s="53"/>
    </row>
    <row r="49" spans="1:14" ht="15.75" x14ac:dyDescent="0.25">
      <c r="A49" s="53"/>
      <c r="B49" s="79" t="s">
        <v>194</v>
      </c>
      <c r="C49" s="80"/>
      <c r="D49" s="624">
        <v>0</v>
      </c>
      <c r="E49" s="85"/>
      <c r="F49" s="624">
        <v>0</v>
      </c>
      <c r="G49" s="86"/>
      <c r="H49" s="53"/>
      <c r="I49" s="53"/>
      <c r="J49" s="53"/>
      <c r="K49" s="87"/>
      <c r="L49" s="53"/>
      <c r="M49" s="334" t="str">
        <f>IF(OR(D49="",F49=""),"Incomplete","Complete")</f>
        <v>Complete</v>
      </c>
      <c r="N49" s="53"/>
    </row>
    <row r="50" spans="1:14" ht="15.75" hidden="1" x14ac:dyDescent="0.25">
      <c r="A50" s="53"/>
      <c r="B50" s="79" t="s">
        <v>195</v>
      </c>
      <c r="C50" s="80"/>
      <c r="D50" s="629"/>
      <c r="E50" s="85"/>
      <c r="F50" s="629"/>
      <c r="G50" s="81"/>
      <c r="H50" s="53"/>
      <c r="I50" s="53"/>
      <c r="J50" s="53"/>
      <c r="K50" s="430"/>
      <c r="L50" s="53"/>
      <c r="M50" s="53"/>
      <c r="N50" s="53"/>
    </row>
    <row r="51" spans="1:14" ht="15.75" hidden="1" x14ac:dyDescent="0.25">
      <c r="A51" s="53"/>
      <c r="B51" s="79" t="s">
        <v>196</v>
      </c>
      <c r="C51" s="80"/>
      <c r="D51" s="629"/>
      <c r="E51" s="85"/>
      <c r="F51" s="629"/>
      <c r="G51" s="81"/>
      <c r="H51" s="53"/>
      <c r="I51" s="53"/>
      <c r="J51" s="53"/>
      <c r="K51" s="89"/>
      <c r="L51" s="53"/>
      <c r="M51" s="53"/>
      <c r="N51" s="53"/>
    </row>
    <row r="52" spans="1:14" ht="6" customHeight="1" x14ac:dyDescent="0.25">
      <c r="A52" s="53"/>
      <c r="B52" s="79"/>
      <c r="C52" s="80"/>
      <c r="D52" s="85"/>
      <c r="E52" s="85"/>
      <c r="F52" s="85"/>
      <c r="G52" s="81"/>
      <c r="H52" s="53"/>
      <c r="I52" s="53"/>
      <c r="J52" s="53"/>
      <c r="K52" s="82"/>
      <c r="L52" s="53"/>
      <c r="M52" s="53"/>
      <c r="N52" s="53"/>
    </row>
    <row r="53" spans="1:14" ht="15.75" x14ac:dyDescent="0.25">
      <c r="A53" s="53"/>
      <c r="B53" s="79" t="s">
        <v>169</v>
      </c>
      <c r="C53" s="80"/>
      <c r="D53" s="626">
        <f>SUM(D49:D51)</f>
        <v>0</v>
      </c>
      <c r="E53" s="85"/>
      <c r="F53" s="626">
        <f>SUM(F49:F51)</f>
        <v>0</v>
      </c>
      <c r="G53" s="81"/>
      <c r="H53" s="53"/>
      <c r="I53" s="53"/>
      <c r="J53" s="53"/>
      <c r="K53" s="82"/>
      <c r="L53" s="53"/>
      <c r="M53" s="53"/>
      <c r="N53" s="53"/>
    </row>
    <row r="54" spans="1:14" ht="6" customHeight="1" x14ac:dyDescent="0.25">
      <c r="A54" s="53"/>
      <c r="B54" s="79"/>
      <c r="C54" s="80"/>
      <c r="D54" s="85"/>
      <c r="E54" s="85"/>
      <c r="F54" s="85"/>
      <c r="G54" s="81"/>
      <c r="H54" s="53"/>
      <c r="I54" s="53"/>
      <c r="J54" s="53"/>
      <c r="K54" s="82"/>
      <c r="L54" s="53"/>
      <c r="M54" s="53"/>
      <c r="N54" s="53"/>
    </row>
    <row r="55" spans="1:14" ht="15.75" x14ac:dyDescent="0.25">
      <c r="A55" s="53"/>
      <c r="B55" s="83" t="s">
        <v>197</v>
      </c>
      <c r="C55" s="621"/>
      <c r="D55" s="627"/>
      <c r="E55" s="628"/>
      <c r="F55" s="627"/>
      <c r="G55" s="623"/>
      <c r="H55" s="53"/>
      <c r="I55" s="53"/>
      <c r="J55" s="53"/>
      <c r="K55" s="82"/>
      <c r="L55" s="53"/>
      <c r="M55" s="53"/>
      <c r="N55" s="53"/>
    </row>
    <row r="56" spans="1:14" ht="6" customHeight="1" x14ac:dyDescent="0.25">
      <c r="A56" s="53"/>
      <c r="B56" s="79"/>
      <c r="C56" s="80"/>
      <c r="D56" s="85"/>
      <c r="E56" s="85"/>
      <c r="F56" s="85"/>
      <c r="G56" s="81"/>
      <c r="H56" s="53"/>
      <c r="I56" s="53"/>
      <c r="J56" s="53"/>
      <c r="K56" s="82"/>
      <c r="L56" s="53"/>
      <c r="M56" s="53"/>
      <c r="N56" s="53"/>
    </row>
    <row r="57" spans="1:14" ht="15.75" hidden="1" x14ac:dyDescent="0.25">
      <c r="A57" s="53"/>
      <c r="B57" s="79" t="s">
        <v>198</v>
      </c>
      <c r="C57" s="80"/>
      <c r="D57" s="629"/>
      <c r="E57" s="85"/>
      <c r="F57" s="629"/>
      <c r="G57" s="81"/>
      <c r="H57" s="53"/>
      <c r="I57" s="53"/>
      <c r="J57" s="53"/>
      <c r="K57" s="89"/>
      <c r="L57" s="53"/>
      <c r="M57" s="53"/>
      <c r="N57" s="53"/>
    </row>
    <row r="58" spans="1:14" ht="15.75" x14ac:dyDescent="0.25">
      <c r="A58" s="53"/>
      <c r="B58" s="79" t="s">
        <v>199</v>
      </c>
      <c r="C58" s="80"/>
      <c r="D58" s="624">
        <v>0</v>
      </c>
      <c r="E58" s="85"/>
      <c r="F58" s="624">
        <v>0</v>
      </c>
      <c r="G58" s="86"/>
      <c r="H58" s="53"/>
      <c r="I58" s="53"/>
      <c r="J58" s="53"/>
      <c r="K58" s="87"/>
      <c r="L58" s="53"/>
      <c r="M58" s="334" t="str">
        <f>IF(OR(D58="",F58=""),"Incomplete","Complete")</f>
        <v>Complete</v>
      </c>
      <c r="N58" s="53"/>
    </row>
    <row r="59" spans="1:14" ht="15.75" hidden="1" x14ac:dyDescent="0.25">
      <c r="A59" s="53"/>
      <c r="B59" s="79" t="s">
        <v>200</v>
      </c>
      <c r="C59" s="80"/>
      <c r="D59" s="624">
        <v>0</v>
      </c>
      <c r="E59" s="85"/>
      <c r="F59" s="624"/>
      <c r="G59" s="86"/>
      <c r="H59" s="53"/>
      <c r="I59" s="53"/>
      <c r="J59" s="53"/>
      <c r="K59" s="88"/>
      <c r="L59" s="53"/>
      <c r="M59" s="342"/>
      <c r="N59" s="53"/>
    </row>
    <row r="60" spans="1:14" ht="15.75" x14ac:dyDescent="0.25">
      <c r="A60" s="53"/>
      <c r="B60" s="79" t="s">
        <v>201</v>
      </c>
      <c r="C60" s="80"/>
      <c r="D60" s="624">
        <v>0</v>
      </c>
      <c r="E60" s="85"/>
      <c r="F60" s="625">
        <v>0</v>
      </c>
      <c r="G60" s="86"/>
      <c r="H60" s="53"/>
      <c r="I60" s="53"/>
      <c r="J60" s="53"/>
      <c r="K60" s="87"/>
      <c r="L60" s="53"/>
      <c r="M60" s="334" t="str">
        <f>IF(OR(D60=""),"Incomplete","Complete")</f>
        <v>Complete</v>
      </c>
      <c r="N60" s="53"/>
    </row>
    <row r="61" spans="1:14" ht="15.75" x14ac:dyDescent="0.25">
      <c r="A61" s="53"/>
      <c r="B61" s="79" t="s">
        <v>202</v>
      </c>
      <c r="C61" s="80"/>
      <c r="D61" s="624">
        <v>0</v>
      </c>
      <c r="E61" s="85"/>
      <c r="F61" s="624">
        <v>0</v>
      </c>
      <c r="G61" s="86"/>
      <c r="H61" s="53"/>
      <c r="I61" s="53"/>
      <c r="J61" s="53"/>
      <c r="K61" s="88"/>
      <c r="L61" s="53"/>
      <c r="M61" s="334" t="str">
        <f t="shared" ref="M61:M67" si="0">IF(OR(D61="",F61=""),"Incomplete","Complete")</f>
        <v>Complete</v>
      </c>
      <c r="N61" s="53"/>
    </row>
    <row r="62" spans="1:14" ht="15.75" x14ac:dyDescent="0.25">
      <c r="A62" s="53"/>
      <c r="B62" s="79" t="s">
        <v>1105</v>
      </c>
      <c r="C62" s="80"/>
      <c r="D62" s="624">
        <v>0</v>
      </c>
      <c r="E62" s="85"/>
      <c r="F62" s="624">
        <v>0</v>
      </c>
      <c r="G62" s="86"/>
      <c r="H62" s="53"/>
      <c r="I62" s="53"/>
      <c r="J62" s="53"/>
      <c r="K62" s="88"/>
      <c r="L62" s="53"/>
      <c r="M62" s="334" t="str">
        <f t="shared" si="0"/>
        <v>Complete</v>
      </c>
      <c r="N62" s="53"/>
    </row>
    <row r="63" spans="1:14" ht="15.75" x14ac:dyDescent="0.25">
      <c r="A63" s="53"/>
      <c r="B63" s="79" t="s">
        <v>203</v>
      </c>
      <c r="C63" s="80"/>
      <c r="D63" s="624">
        <v>0</v>
      </c>
      <c r="E63" s="85"/>
      <c r="F63" s="624">
        <v>0</v>
      </c>
      <c r="G63" s="86"/>
      <c r="H63" s="53"/>
      <c r="I63" s="53"/>
      <c r="J63" s="53"/>
      <c r="K63" s="87"/>
      <c r="L63" s="53"/>
      <c r="M63" s="334" t="str">
        <f t="shared" si="0"/>
        <v>Complete</v>
      </c>
      <c r="N63" s="53"/>
    </row>
    <row r="64" spans="1:14" ht="15.75" x14ac:dyDescent="0.25">
      <c r="A64" s="53"/>
      <c r="B64" s="79" t="s">
        <v>204</v>
      </c>
      <c r="C64" s="80"/>
      <c r="D64" s="624">
        <v>0</v>
      </c>
      <c r="E64" s="85"/>
      <c r="F64" s="624">
        <v>0</v>
      </c>
      <c r="G64" s="86"/>
      <c r="H64" s="53"/>
      <c r="I64" s="53"/>
      <c r="J64" s="53"/>
      <c r="K64" s="88"/>
      <c r="L64" s="53"/>
      <c r="M64" s="334" t="str">
        <f t="shared" si="0"/>
        <v>Complete</v>
      </c>
      <c r="N64" s="53"/>
    </row>
    <row r="65" spans="1:14" ht="15.75" x14ac:dyDescent="0.25">
      <c r="A65" s="53"/>
      <c r="B65" s="79" t="s">
        <v>205</v>
      </c>
      <c r="C65" s="80"/>
      <c r="D65" s="624">
        <v>0</v>
      </c>
      <c r="E65" s="85"/>
      <c r="F65" s="624">
        <v>0</v>
      </c>
      <c r="G65" s="86"/>
      <c r="H65" s="53"/>
      <c r="I65" s="53"/>
      <c r="J65" s="53"/>
      <c r="K65" s="87"/>
      <c r="L65" s="53"/>
      <c r="M65" s="334" t="str">
        <f t="shared" si="0"/>
        <v>Complete</v>
      </c>
      <c r="N65" s="53"/>
    </row>
    <row r="66" spans="1:14" ht="15.75" x14ac:dyDescent="0.25">
      <c r="A66" s="53"/>
      <c r="B66" s="79" t="s">
        <v>206</v>
      </c>
      <c r="C66" s="80"/>
      <c r="D66" s="624">
        <v>0</v>
      </c>
      <c r="E66" s="85"/>
      <c r="F66" s="624">
        <v>0</v>
      </c>
      <c r="G66" s="86"/>
      <c r="H66" s="53"/>
      <c r="I66" s="53"/>
      <c r="J66" s="53"/>
      <c r="K66" s="88"/>
      <c r="L66" s="53"/>
      <c r="M66" s="334" t="str">
        <f t="shared" si="0"/>
        <v>Complete</v>
      </c>
      <c r="N66" s="53"/>
    </row>
    <row r="67" spans="1:14" ht="15.75" x14ac:dyDescent="0.25">
      <c r="A67" s="53"/>
      <c r="B67" s="79" t="s">
        <v>207</v>
      </c>
      <c r="C67" s="80"/>
      <c r="D67" s="624">
        <v>0</v>
      </c>
      <c r="E67" s="85"/>
      <c r="F67" s="624">
        <v>0</v>
      </c>
      <c r="G67" s="86"/>
      <c r="H67" s="53"/>
      <c r="I67" s="53"/>
      <c r="J67" s="53"/>
      <c r="K67" s="87"/>
      <c r="L67" s="53"/>
      <c r="M67" s="334" t="str">
        <f t="shared" si="0"/>
        <v>Complete</v>
      </c>
      <c r="N67" s="53"/>
    </row>
    <row r="68" spans="1:14" ht="15.75" x14ac:dyDescent="0.25">
      <c r="A68" s="53"/>
      <c r="B68" s="79"/>
      <c r="C68" s="80"/>
      <c r="D68" s="85"/>
      <c r="E68" s="85"/>
      <c r="F68" s="85"/>
      <c r="G68" s="81"/>
      <c r="H68" s="53"/>
      <c r="I68" s="53"/>
      <c r="J68" s="53"/>
      <c r="K68" s="82"/>
      <c r="L68" s="53"/>
      <c r="M68" s="53"/>
      <c r="N68" s="53"/>
    </row>
    <row r="69" spans="1:14" ht="15.75" x14ac:dyDescent="0.25">
      <c r="A69" s="53"/>
      <c r="B69" s="79" t="s">
        <v>169</v>
      </c>
      <c r="C69" s="80"/>
      <c r="D69" s="626">
        <f>SUM(D57:D67)</f>
        <v>0</v>
      </c>
      <c r="E69" s="85"/>
      <c r="F69" s="626">
        <f>SUM(F57:F67)</f>
        <v>0</v>
      </c>
      <c r="G69" s="81"/>
      <c r="H69" s="53"/>
      <c r="I69" s="53"/>
      <c r="J69" s="53"/>
      <c r="K69" s="82"/>
      <c r="L69" s="53"/>
      <c r="M69" s="53"/>
      <c r="N69" s="53"/>
    </row>
    <row r="70" spans="1:14" ht="6" customHeight="1" x14ac:dyDescent="0.25">
      <c r="A70" s="53"/>
      <c r="B70" s="79"/>
      <c r="C70" s="80"/>
      <c r="D70" s="85"/>
      <c r="E70" s="85"/>
      <c r="F70" s="85"/>
      <c r="G70" s="81"/>
      <c r="H70" s="53"/>
      <c r="I70" s="53"/>
      <c r="J70" s="53"/>
      <c r="K70" s="82"/>
      <c r="L70" s="53"/>
      <c r="M70" s="53"/>
      <c r="N70" s="53"/>
    </row>
    <row r="71" spans="1:14" ht="15.75" x14ac:dyDescent="0.25">
      <c r="A71" s="53"/>
      <c r="B71" s="83" t="s">
        <v>208</v>
      </c>
      <c r="C71" s="621"/>
      <c r="D71" s="627"/>
      <c r="E71" s="628"/>
      <c r="F71" s="627"/>
      <c r="G71" s="623"/>
      <c r="H71" s="53"/>
      <c r="I71" s="53"/>
      <c r="J71" s="53"/>
      <c r="K71" s="82"/>
      <c r="L71" s="53"/>
      <c r="M71" s="53"/>
      <c r="N71" s="53"/>
    </row>
    <row r="72" spans="1:14" ht="6" customHeight="1" x14ac:dyDescent="0.25">
      <c r="A72" s="53"/>
      <c r="B72" s="79"/>
      <c r="C72" s="80"/>
      <c r="D72" s="85"/>
      <c r="E72" s="85"/>
      <c r="F72" s="85"/>
      <c r="G72" s="81"/>
      <c r="H72" s="53"/>
      <c r="I72" s="53"/>
      <c r="J72" s="53"/>
      <c r="K72" s="82"/>
      <c r="L72" s="53"/>
      <c r="M72" s="53"/>
      <c r="N72" s="53"/>
    </row>
    <row r="73" spans="1:14" ht="15.75" x14ac:dyDescent="0.25">
      <c r="A73" s="53"/>
      <c r="B73" s="79" t="s">
        <v>209</v>
      </c>
      <c r="C73" s="80"/>
      <c r="D73" s="626">
        <f>SUM(D14,D36,D45,D53,D69)</f>
        <v>0</v>
      </c>
      <c r="E73" s="85"/>
      <c r="F73" s="626">
        <f>SUM(F14,F36,F45,F53,F69)</f>
        <v>0</v>
      </c>
      <c r="G73" s="81"/>
      <c r="H73" s="53"/>
      <c r="I73" s="53"/>
      <c r="J73" s="53"/>
      <c r="K73" s="87"/>
      <c r="L73" s="53"/>
      <c r="M73" s="342"/>
      <c r="N73" s="53"/>
    </row>
    <row r="74" spans="1:14" ht="6" customHeight="1" thickBot="1" x14ac:dyDescent="0.3">
      <c r="A74" s="53"/>
      <c r="B74" s="92"/>
      <c r="C74" s="93"/>
      <c r="D74" s="93"/>
      <c r="E74" s="93"/>
      <c r="F74" s="93"/>
      <c r="G74" s="94"/>
      <c r="H74" s="53"/>
      <c r="I74" s="53"/>
      <c r="J74" s="53"/>
      <c r="K74" s="95"/>
      <c r="L74" s="53"/>
      <c r="M74" s="53"/>
      <c r="N74" s="53"/>
    </row>
    <row r="75" spans="1:14" ht="15.75" x14ac:dyDescent="0.25">
      <c r="A75" s="53"/>
      <c r="B75" s="65"/>
      <c r="C75" s="53"/>
      <c r="D75" s="53"/>
      <c r="E75" s="53"/>
      <c r="F75" s="96"/>
      <c r="G75" s="96"/>
      <c r="H75" s="96"/>
      <c r="I75" s="53"/>
      <c r="J75" s="53"/>
      <c r="K75" s="53"/>
      <c r="L75" s="53"/>
      <c r="M75" s="53"/>
      <c r="N75" s="53"/>
    </row>
    <row r="76" spans="1:14" ht="6" customHeight="1" x14ac:dyDescent="0.25">
      <c r="A76" s="99"/>
      <c r="B76" s="65"/>
      <c r="C76" s="53"/>
      <c r="D76" s="53"/>
      <c r="E76" s="53"/>
      <c r="F76" s="53"/>
      <c r="G76" s="53"/>
      <c r="H76" s="53"/>
      <c r="I76" s="53"/>
      <c r="J76" s="53"/>
      <c r="K76" s="53"/>
      <c r="L76" s="53"/>
      <c r="M76" s="53"/>
      <c r="N76" s="99"/>
    </row>
    <row r="77" spans="1:14" ht="15.75" x14ac:dyDescent="0.25">
      <c r="A77" s="100"/>
      <c r="B77" s="630" t="s">
        <v>210</v>
      </c>
      <c r="C77" s="631"/>
      <c r="D77" s="631"/>
      <c r="E77" s="631"/>
      <c r="F77" s="631"/>
      <c r="G77" s="631"/>
      <c r="H77" s="631"/>
      <c r="I77" s="631"/>
      <c r="J77" s="631"/>
      <c r="K77" s="631"/>
      <c r="L77" s="631"/>
      <c r="M77" s="631"/>
      <c r="N77" s="100"/>
    </row>
    <row r="78" spans="1:14" ht="15.75" x14ac:dyDescent="0.25">
      <c r="A78" s="53"/>
      <c r="B78" s="65"/>
      <c r="C78" s="53"/>
      <c r="D78" s="53"/>
      <c r="E78" s="53"/>
      <c r="F78" s="53"/>
      <c r="G78" s="53"/>
      <c r="H78" s="53"/>
      <c r="I78" s="53"/>
      <c r="J78" s="53"/>
      <c r="K78" s="53"/>
      <c r="L78" s="53"/>
      <c r="M78" s="53"/>
      <c r="N78" s="53"/>
    </row>
    <row r="79" spans="1:14" ht="15.75" x14ac:dyDescent="0.25">
      <c r="A79" s="53"/>
      <c r="B79" s="65"/>
      <c r="C79" s="53"/>
      <c r="D79" s="53"/>
      <c r="E79" s="53"/>
      <c r="F79" s="53"/>
      <c r="G79" s="53"/>
      <c r="H79" s="53"/>
      <c r="I79" s="53"/>
      <c r="J79" s="53"/>
      <c r="K79" s="53"/>
      <c r="L79" s="53"/>
      <c r="M79" s="53"/>
      <c r="N79" s="53"/>
    </row>
    <row r="80" spans="1:14" ht="15.75" x14ac:dyDescent="0.25">
      <c r="A80" s="53"/>
      <c r="B80" s="65"/>
      <c r="C80" s="53"/>
      <c r="D80" s="53"/>
      <c r="E80" s="53"/>
      <c r="F80" s="53"/>
      <c r="G80" s="53"/>
      <c r="H80" s="53"/>
      <c r="I80" s="53"/>
      <c r="J80" s="53"/>
      <c r="K80" s="53"/>
      <c r="L80" s="53"/>
      <c r="M80" s="53"/>
      <c r="N80" s="53"/>
    </row>
    <row r="81" spans="1:14" ht="15.75" x14ac:dyDescent="0.25">
      <c r="A81" s="53"/>
      <c r="B81" s="65"/>
      <c r="C81" s="53"/>
      <c r="D81" s="53"/>
      <c r="E81" s="53"/>
      <c r="F81" s="53"/>
      <c r="G81" s="53"/>
      <c r="H81" s="53"/>
      <c r="I81" s="53"/>
      <c r="J81" s="53"/>
      <c r="K81" s="53"/>
      <c r="L81" s="53"/>
      <c r="M81" s="53"/>
      <c r="N81" s="53"/>
    </row>
    <row r="82" spans="1:14" ht="15.75" x14ac:dyDescent="0.25">
      <c r="A82" s="53"/>
      <c r="B82" s="65"/>
      <c r="C82" s="53"/>
      <c r="D82" s="53"/>
      <c r="E82" s="53"/>
      <c r="F82" s="53"/>
      <c r="G82" s="53"/>
      <c r="H82" s="53"/>
      <c r="I82" s="53"/>
      <c r="J82" s="53"/>
      <c r="K82" s="53"/>
      <c r="L82" s="53"/>
      <c r="M82" s="53"/>
      <c r="N82" s="53"/>
    </row>
    <row r="83" spans="1:14" ht="15.75" x14ac:dyDescent="0.25">
      <c r="A83" s="53"/>
      <c r="B83" s="65"/>
      <c r="C83" s="53"/>
      <c r="D83" s="53"/>
      <c r="E83" s="53"/>
      <c r="F83" s="53"/>
      <c r="G83" s="53"/>
      <c r="H83" s="53"/>
      <c r="I83" s="53"/>
      <c r="J83" s="53"/>
      <c r="K83" s="53"/>
      <c r="L83" s="53"/>
      <c r="M83" s="53"/>
      <c r="N83" s="53"/>
    </row>
    <row r="84" spans="1:14" ht="15.75" x14ac:dyDescent="0.25">
      <c r="A84" s="53"/>
      <c r="B84" s="65"/>
      <c r="C84" s="53"/>
      <c r="D84" s="53"/>
      <c r="E84" s="53"/>
      <c r="F84" s="53"/>
      <c r="G84" s="53"/>
      <c r="H84" s="53"/>
      <c r="I84" s="53"/>
      <c r="J84" s="53"/>
      <c r="K84" s="53"/>
      <c r="L84" s="53"/>
      <c r="M84" s="53"/>
      <c r="N84" s="53"/>
    </row>
    <row r="85" spans="1:14" ht="15.75" x14ac:dyDescent="0.25">
      <c r="A85" s="53"/>
      <c r="B85" s="65"/>
      <c r="C85" s="53"/>
      <c r="D85" s="53"/>
      <c r="E85" s="53"/>
      <c r="F85" s="53"/>
      <c r="G85" s="53"/>
      <c r="H85" s="53"/>
      <c r="I85" s="53"/>
      <c r="J85" s="53"/>
      <c r="K85" s="53"/>
      <c r="L85" s="53"/>
      <c r="M85" s="53"/>
      <c r="N85" s="53"/>
    </row>
    <row r="86" spans="1:14" ht="15.75" x14ac:dyDescent="0.25">
      <c r="A86" s="53"/>
      <c r="B86" s="65"/>
      <c r="C86" s="53"/>
      <c r="D86" s="53"/>
      <c r="E86" s="53"/>
      <c r="F86" s="53"/>
      <c r="G86" s="53"/>
      <c r="H86" s="53"/>
      <c r="I86" s="53"/>
      <c r="J86" s="53"/>
      <c r="K86" s="53"/>
      <c r="L86" s="53"/>
      <c r="M86" s="53"/>
      <c r="N86" s="53"/>
    </row>
    <row r="87" spans="1:14" ht="15.75" x14ac:dyDescent="0.25">
      <c r="A87" s="53"/>
      <c r="B87" s="65"/>
      <c r="C87" s="53"/>
      <c r="D87" s="53"/>
      <c r="E87" s="53"/>
      <c r="F87" s="53"/>
      <c r="G87" s="53"/>
      <c r="H87" s="53"/>
      <c r="I87" s="53"/>
      <c r="J87" s="53"/>
      <c r="K87" s="53"/>
      <c r="L87" s="53"/>
      <c r="M87" s="53"/>
      <c r="N87" s="53"/>
    </row>
    <row r="88" spans="1:14" ht="15.75" x14ac:dyDescent="0.25">
      <c r="A88" s="53"/>
      <c r="B88" s="65"/>
      <c r="C88" s="53"/>
      <c r="D88" s="53"/>
      <c r="E88" s="53"/>
      <c r="F88" s="53"/>
      <c r="G88" s="53"/>
      <c r="H88" s="53"/>
      <c r="I88" s="53"/>
      <c r="J88" s="53"/>
      <c r="K88" s="53"/>
      <c r="L88" s="53"/>
      <c r="M88" s="53"/>
      <c r="N88" s="53"/>
    </row>
    <row r="89" spans="1:14" ht="15.75" x14ac:dyDescent="0.25">
      <c r="A89" s="53"/>
      <c r="B89" s="65"/>
      <c r="C89" s="53"/>
      <c r="D89" s="53"/>
      <c r="E89" s="53"/>
      <c r="F89" s="53"/>
      <c r="G89" s="53"/>
      <c r="H89" s="53"/>
      <c r="I89" s="53"/>
      <c r="J89" s="53"/>
      <c r="K89" s="53"/>
      <c r="L89" s="53"/>
      <c r="M89" s="53"/>
      <c r="N89" s="53"/>
    </row>
    <row r="90" spans="1:14" ht="15.75" x14ac:dyDescent="0.25">
      <c r="A90" s="53"/>
      <c r="B90" s="65"/>
      <c r="C90" s="53"/>
      <c r="D90" s="53"/>
      <c r="E90" s="53"/>
      <c r="F90" s="53"/>
      <c r="G90" s="53"/>
      <c r="H90" s="53"/>
      <c r="I90" s="53"/>
      <c r="J90" s="53"/>
      <c r="K90" s="53"/>
      <c r="L90" s="53"/>
      <c r="M90" s="53"/>
      <c r="N90" s="53"/>
    </row>
    <row r="91" spans="1:14" ht="15.75" x14ac:dyDescent="0.25">
      <c r="A91" s="53"/>
      <c r="B91" s="65"/>
      <c r="C91" s="53"/>
      <c r="D91" s="53"/>
      <c r="E91" s="53"/>
      <c r="F91" s="53"/>
      <c r="G91" s="53"/>
      <c r="H91" s="53"/>
      <c r="I91" s="53"/>
      <c r="J91" s="53"/>
      <c r="K91" s="53"/>
      <c r="L91" s="53"/>
      <c r="M91" s="53"/>
      <c r="N91" s="53"/>
    </row>
    <row r="92" spans="1:14" ht="15.75" x14ac:dyDescent="0.25">
      <c r="A92" s="53"/>
      <c r="B92" s="65"/>
      <c r="C92" s="53"/>
      <c r="D92" s="53"/>
      <c r="E92" s="53"/>
      <c r="F92" s="53"/>
      <c r="G92" s="53"/>
      <c r="H92" s="53"/>
      <c r="I92" s="53"/>
      <c r="J92" s="53"/>
      <c r="K92" s="53"/>
      <c r="L92" s="53"/>
      <c r="M92" s="53"/>
      <c r="N92" s="53"/>
    </row>
    <row r="93" spans="1:14" ht="15.75" x14ac:dyDescent="0.25">
      <c r="A93" s="53"/>
      <c r="B93" s="65"/>
      <c r="C93" s="53"/>
      <c r="D93" s="53"/>
      <c r="E93" s="53"/>
      <c r="F93" s="53"/>
      <c r="G93" s="53"/>
      <c r="H93" s="53"/>
      <c r="I93" s="53"/>
      <c r="J93" s="53"/>
      <c r="K93" s="53"/>
      <c r="L93" s="53"/>
      <c r="M93" s="53"/>
      <c r="N93" s="53"/>
    </row>
    <row r="94" spans="1:14" ht="15.75" x14ac:dyDescent="0.25">
      <c r="A94" s="53"/>
      <c r="B94" s="65"/>
      <c r="C94" s="53"/>
      <c r="D94" s="53"/>
      <c r="E94" s="53"/>
      <c r="F94" s="53"/>
      <c r="G94" s="53"/>
      <c r="H94" s="53"/>
      <c r="I94" s="53"/>
      <c r="J94" s="53"/>
      <c r="K94" s="53"/>
      <c r="L94" s="53"/>
      <c r="M94" s="53"/>
      <c r="N94" s="53"/>
    </row>
    <row r="95" spans="1:14" ht="15.75" x14ac:dyDescent="0.25">
      <c r="A95" s="53"/>
      <c r="B95" s="65"/>
      <c r="C95" s="53"/>
      <c r="D95" s="53"/>
      <c r="E95" s="53"/>
      <c r="F95" s="53"/>
      <c r="G95" s="53"/>
      <c r="H95" s="53"/>
      <c r="I95" s="53"/>
      <c r="J95" s="53"/>
      <c r="K95" s="53"/>
      <c r="L95" s="53"/>
      <c r="M95" s="53"/>
      <c r="N95" s="53"/>
    </row>
    <row r="96" spans="1:14" ht="15.75" x14ac:dyDescent="0.25">
      <c r="A96" s="53"/>
      <c r="B96" s="65"/>
      <c r="C96" s="53"/>
      <c r="D96" s="53"/>
      <c r="E96" s="53"/>
      <c r="F96" s="53"/>
      <c r="G96" s="53"/>
      <c r="H96" s="53"/>
      <c r="I96" s="53"/>
      <c r="J96" s="53"/>
      <c r="K96" s="53"/>
      <c r="L96" s="53"/>
      <c r="M96" s="53"/>
      <c r="N96" s="53"/>
    </row>
    <row r="97" spans="1:14" ht="15.75" x14ac:dyDescent="0.25">
      <c r="A97" s="53"/>
      <c r="B97" s="65"/>
      <c r="C97" s="53"/>
      <c r="D97" s="53"/>
      <c r="E97" s="53"/>
      <c r="F97" s="53"/>
      <c r="G97" s="53"/>
      <c r="H97" s="53"/>
      <c r="I97" s="53"/>
      <c r="J97" s="53"/>
      <c r="K97" s="53"/>
      <c r="L97" s="53"/>
      <c r="M97" s="53"/>
      <c r="N97" s="53"/>
    </row>
    <row r="98" spans="1:14" ht="15.75" x14ac:dyDescent="0.25">
      <c r="A98" s="53"/>
      <c r="B98" s="65"/>
      <c r="C98" s="53"/>
      <c r="D98" s="53"/>
      <c r="E98" s="53"/>
      <c r="F98" s="53"/>
      <c r="G98" s="53"/>
      <c r="H98" s="53"/>
      <c r="I98" s="53"/>
      <c r="J98" s="53"/>
      <c r="K98" s="53"/>
      <c r="L98" s="53"/>
      <c r="M98" s="53"/>
      <c r="N98" s="53"/>
    </row>
    <row r="99" spans="1:14" ht="15.75" x14ac:dyDescent="0.25">
      <c r="A99" s="53"/>
      <c r="B99" s="65"/>
      <c r="C99" s="53"/>
      <c r="D99" s="53"/>
      <c r="E99" s="53"/>
      <c r="F99" s="53"/>
      <c r="G99" s="53"/>
      <c r="H99" s="53"/>
      <c r="I99" s="53"/>
      <c r="J99" s="53"/>
      <c r="K99" s="53"/>
      <c r="L99" s="53"/>
      <c r="M99" s="53"/>
      <c r="N99" s="53"/>
    </row>
    <row r="100" spans="1:14" ht="15.75" x14ac:dyDescent="0.25">
      <c r="A100" s="53"/>
      <c r="B100" s="65"/>
      <c r="C100" s="53"/>
      <c r="D100" s="53"/>
      <c r="E100" s="53"/>
      <c r="F100" s="53"/>
      <c r="G100" s="53"/>
      <c r="H100" s="53"/>
      <c r="I100" s="53"/>
      <c r="J100" s="53"/>
      <c r="K100" s="53"/>
      <c r="L100" s="53"/>
      <c r="M100" s="53"/>
      <c r="N100" s="53"/>
    </row>
    <row r="101" spans="1:14" ht="15.75" x14ac:dyDescent="0.25">
      <c r="A101" s="53"/>
      <c r="B101" s="65"/>
      <c r="C101" s="53"/>
      <c r="D101" s="53"/>
      <c r="E101" s="53"/>
      <c r="F101" s="53"/>
      <c r="G101" s="53"/>
      <c r="H101" s="53"/>
      <c r="I101" s="53"/>
      <c r="J101" s="53"/>
      <c r="K101" s="53"/>
      <c r="L101" s="53"/>
      <c r="M101" s="53"/>
      <c r="N101" s="53"/>
    </row>
    <row r="102" spans="1:14" ht="15.75" x14ac:dyDescent="0.25">
      <c r="A102" s="53"/>
      <c r="B102" s="65"/>
      <c r="C102" s="53"/>
      <c r="D102" s="53"/>
      <c r="E102" s="53"/>
      <c r="F102" s="53"/>
      <c r="G102" s="53"/>
      <c r="H102" s="53"/>
      <c r="I102" s="53"/>
      <c r="J102" s="53"/>
      <c r="K102" s="53"/>
      <c r="L102" s="53"/>
      <c r="M102" s="53"/>
      <c r="N102" s="53"/>
    </row>
    <row r="103" spans="1:14" ht="15.75" x14ac:dyDescent="0.25">
      <c r="A103" s="53"/>
      <c r="B103" s="65"/>
      <c r="C103" s="53"/>
      <c r="D103" s="53"/>
      <c r="E103" s="53"/>
      <c r="F103" s="53"/>
      <c r="G103" s="53"/>
      <c r="H103" s="53"/>
      <c r="I103" s="53"/>
      <c r="J103" s="53"/>
      <c r="K103" s="53"/>
      <c r="L103" s="53"/>
      <c r="M103" s="53"/>
      <c r="N103" s="53"/>
    </row>
    <row r="104" spans="1:14" ht="15.75" x14ac:dyDescent="0.25">
      <c r="A104" s="53"/>
      <c r="B104" s="65"/>
      <c r="C104" s="53"/>
      <c r="D104" s="53"/>
      <c r="E104" s="53"/>
      <c r="F104" s="53"/>
      <c r="G104" s="53"/>
      <c r="H104" s="53"/>
      <c r="I104" s="53"/>
      <c r="J104" s="53"/>
      <c r="K104" s="53"/>
      <c r="L104" s="53"/>
      <c r="M104" s="53"/>
      <c r="N104" s="53"/>
    </row>
    <row r="105" spans="1:14" ht="15.75" x14ac:dyDescent="0.25">
      <c r="A105" s="53"/>
      <c r="B105" s="65"/>
      <c r="C105" s="53"/>
      <c r="D105" s="53"/>
      <c r="E105" s="53"/>
      <c r="F105" s="53"/>
      <c r="G105" s="53"/>
      <c r="H105" s="53"/>
      <c r="I105" s="53"/>
      <c r="J105" s="53"/>
      <c r="K105" s="53"/>
      <c r="L105" s="53"/>
      <c r="M105" s="53"/>
      <c r="N105" s="53"/>
    </row>
    <row r="106" spans="1:14" ht="15.75" x14ac:dyDescent="0.25">
      <c r="A106" s="53"/>
      <c r="B106" s="65"/>
      <c r="C106" s="53"/>
      <c r="D106" s="53"/>
      <c r="E106" s="53"/>
      <c r="F106" s="53"/>
      <c r="G106" s="53"/>
      <c r="H106" s="53"/>
      <c r="I106" s="53"/>
      <c r="J106" s="53"/>
      <c r="K106" s="53"/>
      <c r="L106" s="53"/>
      <c r="M106" s="53"/>
      <c r="N106" s="53"/>
    </row>
    <row r="107" spans="1:14" ht="15.75" x14ac:dyDescent="0.25">
      <c r="A107" s="53"/>
      <c r="B107" s="65"/>
      <c r="C107" s="53"/>
      <c r="D107" s="53"/>
      <c r="E107" s="53"/>
      <c r="F107" s="53"/>
      <c r="G107" s="53"/>
      <c r="H107" s="53"/>
      <c r="I107" s="53"/>
      <c r="J107" s="53"/>
      <c r="K107" s="53"/>
      <c r="L107" s="53"/>
      <c r="M107" s="53"/>
      <c r="N107" s="53"/>
    </row>
    <row r="108" spans="1:14" ht="15.75" x14ac:dyDescent="0.25">
      <c r="A108" s="53"/>
      <c r="B108" s="65"/>
      <c r="C108" s="53"/>
      <c r="D108" s="53"/>
      <c r="E108" s="53"/>
      <c r="F108" s="53"/>
      <c r="G108" s="53"/>
      <c r="H108" s="53"/>
      <c r="I108" s="53"/>
      <c r="J108" s="53"/>
      <c r="K108" s="53"/>
      <c r="L108" s="53"/>
      <c r="M108" s="53"/>
      <c r="N108" s="53"/>
    </row>
    <row r="109" spans="1:14" ht="15.75" x14ac:dyDescent="0.25">
      <c r="A109" s="53"/>
      <c r="B109" s="65"/>
      <c r="C109" s="53"/>
      <c r="D109" s="53"/>
      <c r="E109" s="53"/>
      <c r="F109" s="53"/>
      <c r="G109" s="53"/>
      <c r="H109" s="53"/>
      <c r="I109" s="53"/>
      <c r="J109" s="53"/>
      <c r="K109" s="53"/>
      <c r="L109" s="53"/>
      <c r="M109" s="53"/>
      <c r="N109" s="53"/>
    </row>
    <row r="110" spans="1:14" ht="15.75" x14ac:dyDescent="0.25">
      <c r="A110" s="53"/>
      <c r="B110" s="65"/>
      <c r="C110" s="53"/>
      <c r="D110" s="53"/>
      <c r="E110" s="53"/>
      <c r="F110" s="53"/>
      <c r="G110" s="53"/>
      <c r="H110" s="53"/>
      <c r="I110" s="53"/>
      <c r="J110" s="53"/>
      <c r="K110" s="53"/>
      <c r="L110" s="53"/>
      <c r="M110" s="53"/>
      <c r="N110" s="53"/>
    </row>
    <row r="111" spans="1:14" ht="15.75" x14ac:dyDescent="0.25">
      <c r="A111" s="53"/>
      <c r="B111" s="65"/>
      <c r="C111" s="53"/>
      <c r="D111" s="53"/>
      <c r="E111" s="53"/>
      <c r="F111" s="53"/>
      <c r="G111" s="53"/>
      <c r="H111" s="53"/>
      <c r="I111" s="53"/>
      <c r="J111" s="53"/>
      <c r="K111" s="53"/>
      <c r="L111" s="53"/>
      <c r="M111" s="53"/>
      <c r="N111" s="53"/>
    </row>
  </sheetData>
  <sheetProtection algorithmName="SHA-512" hashValue="IsxrR0+DLJm2JwB09FF3iF83WP0FGhi6pwVkqdR1N1IfJx2QKB62blMouo/pY9fFkU4GE+0X4XEt95Ngvcifow==" saltValue="HWMG466oJ2xp+NSR3N+9UA==" spinCount="100000" sheet="1" objects="1" scenarios="1"/>
  <customSheetViews>
    <customSheetView guid="{5F9ED89D-ECFA-4459-A055-6360C65F3370}" scale="85" fitToPage="1" hiddenRows="1" hiddenColumns="1" topLeftCell="A16">
      <selection activeCell="F24" sqref="F24"/>
      <pageMargins left="0" right="0" top="0" bottom="0" header="0" footer="0"/>
      <pageSetup paperSize="9" scale="81" orientation="portrait" r:id="rId1"/>
      <headerFooter>
        <oddFooter>&amp;CDRAFT - FOR DISCUSSION PURPOSES ONLY</oddFooter>
      </headerFooter>
    </customSheetView>
  </customSheetViews>
  <conditionalFormatting sqref="K1 K3:K4 K27:K34 K42:K44 K51 K57 K75:K110">
    <cfRule type="cellIs" dxfId="818" priority="103" operator="equal">
      <formula>"ZERO"</formula>
    </cfRule>
  </conditionalFormatting>
  <conditionalFormatting sqref="K1:K4">
    <cfRule type="cellIs" dxfId="817" priority="63" operator="equal">
      <formula>"OK"</formula>
    </cfRule>
    <cfRule type="cellIs" dxfId="816" priority="64" operator="equal">
      <formula>"ERROR"</formula>
    </cfRule>
  </conditionalFormatting>
  <conditionalFormatting sqref="K27:K34 K42:K44 K51 K57 K75:K110">
    <cfRule type="cellIs" dxfId="815" priority="71" operator="equal">
      <formula>"OK"</formula>
    </cfRule>
    <cfRule type="cellIs" dxfId="814" priority="72" operator="equal">
      <formula>"ERROR"</formula>
    </cfRule>
  </conditionalFormatting>
  <conditionalFormatting sqref="M3">
    <cfRule type="cellIs" dxfId="813" priority="53" operator="equal">
      <formula>"Complete"</formula>
    </cfRule>
    <cfRule type="cellIs" dxfId="812" priority="54" operator="equal">
      <formula>"Incomplete"</formula>
    </cfRule>
  </conditionalFormatting>
  <conditionalFormatting sqref="M10:M12">
    <cfRule type="cellIs" dxfId="811" priority="49" operator="equal">
      <formula>"Complete"</formula>
    </cfRule>
    <cfRule type="cellIs" dxfId="810" priority="50" operator="equal">
      <formula>"Incomplete"</formula>
    </cfRule>
  </conditionalFormatting>
  <conditionalFormatting sqref="M18:M26">
    <cfRule type="cellIs" dxfId="809" priority="27" operator="equal">
      <formula>"Complete"</formula>
    </cfRule>
    <cfRule type="cellIs" dxfId="808" priority="28" operator="equal">
      <formula>"Incomplete"</formula>
    </cfRule>
  </conditionalFormatting>
  <conditionalFormatting sqref="M40:M41">
    <cfRule type="cellIs" dxfId="807" priority="23" operator="equal">
      <formula>"Complete"</formula>
    </cfRule>
    <cfRule type="cellIs" dxfId="806" priority="24" operator="equal">
      <formula>"Incomplete"</formula>
    </cfRule>
  </conditionalFormatting>
  <conditionalFormatting sqref="M49">
    <cfRule type="cellIs" dxfId="805" priority="21" operator="equal">
      <formula>"Complete"</formula>
    </cfRule>
    <cfRule type="cellIs" dxfId="804" priority="22" operator="equal">
      <formula>"Incomplete"</formula>
    </cfRule>
  </conditionalFormatting>
  <conditionalFormatting sqref="M58:M67">
    <cfRule type="cellIs" dxfId="803" priority="1" operator="equal">
      <formula>"Complete"</formula>
    </cfRule>
    <cfRule type="cellIs" dxfId="802" priority="2" operator="equal">
      <formula>"Incomplete"</formula>
    </cfRule>
  </conditionalFormatting>
  <conditionalFormatting sqref="M73">
    <cfRule type="cellIs" dxfId="801" priority="39" operator="equal">
      <formula>"Complete"</formula>
    </cfRule>
    <cfRule type="cellIs" dxfId="800" priority="40" operator="equal">
      <formula>"Incomplete"</formula>
    </cfRule>
  </conditionalFormatting>
  <dataValidations count="6">
    <dataValidation allowBlank="1" showInputMessage="1" showErrorMessage="1" promptTitle="Regulatory basis" prompt="The value of assets, liabilities and capital resources for solvency purposes." sqref="F5" xr:uid="{00000000-0002-0000-0600-000000000000}"/>
    <dataValidation allowBlank="1" showInputMessage="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5" xr:uid="{00000000-0002-0000-0600-000001000000}"/>
    <dataValidation allowBlank="1" showErrorMessage="1" promptTitle="Balance Sheet - Assets" prompt="See TS(10) 1.1. for valuation of assets." sqref="C5:C6" xr:uid="{00000000-0002-0000-0600-000002000000}"/>
    <dataValidation allowBlank="1" showErrorMessage="1" prompt="Investments in money market instruments should be included here." sqref="B24" xr:uid="{00000000-0002-0000-06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xr:uid="{00000000-0002-0000-0600-000004000000}"/>
    <dataValidation allowBlank="1" showErrorMessage="1" sqref="A4:N4" xr:uid="{00000000-0002-0000-0600-000005000000}"/>
  </dataValidations>
  <pageMargins left="0.70866141732283472" right="0.70866141732283472" top="0.74803149606299213" bottom="0.74803149606299213" header="0.31496062992125984" footer="0.31496062992125984"/>
  <pageSetup paperSize="9" scale="77" orientation="portrait" r:id="rId2"/>
  <headerFooter>
    <oddFooter>&amp;CDRAFT - FOR DISCUSSION PURPOSES ONLY</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00B050"/>
    <pageSetUpPr fitToPage="1"/>
  </sheetPr>
  <dimension ref="A1:XFC128"/>
  <sheetViews>
    <sheetView workbookViewId="0"/>
  </sheetViews>
  <sheetFormatPr defaultColWidth="0" defaultRowHeight="14.25" zeroHeight="1" x14ac:dyDescent="0.2"/>
  <cols>
    <col min="1" max="1" width="1.875" customWidth="1"/>
    <col min="2" max="2" width="38.375" customWidth="1"/>
    <col min="3" max="3" width="2.375" customWidth="1"/>
    <col min="4" max="4" width="18.625" customWidth="1"/>
    <col min="5" max="5" width="1.875" customWidth="1"/>
    <col min="6" max="6" width="18.625" customWidth="1"/>
    <col min="7" max="9" width="1.875" customWidth="1"/>
    <col min="10" max="10" width="19.375" customWidth="1"/>
    <col min="11" max="12" width="1.875" customWidth="1"/>
    <col min="13" max="13" width="94.625" customWidth="1"/>
    <col min="14" max="14" width="2.625" customWidth="1"/>
    <col min="15" max="16" width="9" customWidth="1"/>
    <col min="17" max="32" width="9" hidden="1"/>
    <col min="33" max="16382" width="2" hidden="1"/>
    <col min="16383" max="16383" width="1.125" hidden="1"/>
    <col min="16384" max="16384" width="9" hidden="1"/>
  </cols>
  <sheetData>
    <row r="1" spans="1:16" ht="15.75" x14ac:dyDescent="0.25">
      <c r="A1" s="59">
        <v>1</v>
      </c>
      <c r="B1" s="59"/>
      <c r="C1" s="60"/>
      <c r="D1" s="60"/>
      <c r="E1" s="60"/>
      <c r="F1" s="59"/>
      <c r="G1" s="59"/>
      <c r="H1" s="59"/>
      <c r="I1" s="59"/>
      <c r="J1" s="59"/>
      <c r="K1" s="59"/>
      <c r="L1" s="59"/>
      <c r="M1" s="60"/>
      <c r="N1" s="59"/>
      <c r="O1" s="60"/>
      <c r="P1" s="60"/>
    </row>
    <row r="2" spans="1:16" ht="29.25" customHeight="1" x14ac:dyDescent="0.25">
      <c r="A2" s="60"/>
      <c r="B2" s="60"/>
      <c r="C2" s="60"/>
      <c r="D2" s="60"/>
      <c r="E2" s="60"/>
      <c r="F2" s="52" t="s">
        <v>211</v>
      </c>
      <c r="G2" s="60"/>
      <c r="H2" s="60"/>
      <c r="I2" s="60"/>
      <c r="J2" s="60"/>
      <c r="K2" s="60"/>
      <c r="L2" s="60"/>
      <c r="M2" s="61"/>
      <c r="N2" s="60"/>
      <c r="O2" s="60"/>
      <c r="P2" s="60"/>
    </row>
    <row r="3" spans="1:16" ht="15.75" x14ac:dyDescent="0.25">
      <c r="A3" s="53"/>
      <c r="B3" s="53"/>
      <c r="C3" s="53"/>
      <c r="D3" s="53"/>
      <c r="E3" s="53"/>
      <c r="F3" s="53"/>
      <c r="G3" s="53"/>
      <c r="H3" s="53"/>
      <c r="I3" s="53"/>
      <c r="J3" s="53"/>
      <c r="K3" s="53"/>
      <c r="L3" s="53"/>
      <c r="M3" s="53"/>
      <c r="N3" s="53"/>
      <c r="O3" s="53"/>
      <c r="P3" s="53"/>
    </row>
    <row r="4" spans="1:16" ht="16.5" thickBot="1" x14ac:dyDescent="0.3">
      <c r="A4" s="53"/>
      <c r="B4" s="53"/>
      <c r="C4" s="53"/>
      <c r="D4" s="53"/>
      <c r="E4" s="53"/>
      <c r="F4" s="53"/>
      <c r="G4" s="53"/>
      <c r="H4" s="53"/>
      <c r="I4" s="53"/>
      <c r="J4" s="53"/>
      <c r="K4" s="53"/>
      <c r="L4" s="53"/>
      <c r="M4" s="53"/>
      <c r="N4" s="53"/>
      <c r="O4" s="334" t="str">
        <f>IF(COUNTIF(O10:O120,"Incomplete")&gt;0,"Incomplete","Complete")</f>
        <v>Complete</v>
      </c>
      <c r="P4" s="53"/>
    </row>
    <row r="5" spans="1:16" ht="47.25" x14ac:dyDescent="0.25">
      <c r="A5" s="53"/>
      <c r="B5" s="101" t="s">
        <v>212</v>
      </c>
      <c r="C5" s="833"/>
      <c r="D5" s="350" t="s">
        <v>213</v>
      </c>
      <c r="E5" s="70"/>
      <c r="F5" s="350" t="s">
        <v>214</v>
      </c>
      <c r="G5" s="351"/>
      <c r="H5" s="53"/>
      <c r="I5" s="112"/>
      <c r="J5" s="350" t="s">
        <v>215</v>
      </c>
      <c r="K5" s="351"/>
      <c r="L5" s="53"/>
      <c r="M5" s="72" t="s">
        <v>163</v>
      </c>
      <c r="N5" s="53"/>
      <c r="O5" s="53"/>
      <c r="P5" s="53"/>
    </row>
    <row r="6" spans="1:16" ht="15.75" x14ac:dyDescent="0.25">
      <c r="A6" s="53"/>
      <c r="B6" s="102"/>
      <c r="C6" s="834"/>
      <c r="D6" s="103"/>
      <c r="E6" s="104"/>
      <c r="F6" s="368" t="s">
        <v>216</v>
      </c>
      <c r="G6" s="105"/>
      <c r="H6" s="53"/>
      <c r="I6" s="113"/>
      <c r="J6" s="114"/>
      <c r="K6" s="115"/>
      <c r="L6" s="53"/>
      <c r="M6" s="118"/>
      <c r="N6" s="53"/>
      <c r="O6" s="53"/>
      <c r="P6" s="53"/>
    </row>
    <row r="7" spans="1:16" ht="16.5" thickBot="1" x14ac:dyDescent="0.3">
      <c r="A7" s="53"/>
      <c r="B7" s="354"/>
      <c r="C7" s="352"/>
      <c r="D7" s="75" t="s">
        <v>164</v>
      </c>
      <c r="E7" s="76"/>
      <c r="F7" s="75" t="s">
        <v>164</v>
      </c>
      <c r="G7" s="77"/>
      <c r="H7" s="53"/>
      <c r="I7" s="116"/>
      <c r="J7" s="75" t="s">
        <v>164</v>
      </c>
      <c r="K7" s="117"/>
      <c r="L7" s="53"/>
      <c r="M7" s="119"/>
      <c r="N7" s="53"/>
      <c r="O7" s="53"/>
      <c r="P7" s="53"/>
    </row>
    <row r="8" spans="1:16" ht="15.75" x14ac:dyDescent="0.25">
      <c r="A8" s="53"/>
      <c r="B8" s="106"/>
      <c r="C8" s="80"/>
      <c r="D8" s="80"/>
      <c r="E8" s="80"/>
      <c r="F8" s="80"/>
      <c r="G8" s="81"/>
      <c r="H8" s="53"/>
      <c r="I8" s="756"/>
      <c r="J8" s="309"/>
      <c r="K8" s="751"/>
      <c r="L8" s="53"/>
      <c r="M8" s="757"/>
      <c r="N8" s="53"/>
      <c r="O8" s="53"/>
      <c r="P8" s="53"/>
    </row>
    <row r="9" spans="1:16" ht="15.75" x14ac:dyDescent="0.25">
      <c r="A9" s="53"/>
      <c r="B9" s="107" t="s">
        <v>217</v>
      </c>
      <c r="C9" s="621"/>
      <c r="D9" s="622"/>
      <c r="E9" s="621"/>
      <c r="F9" s="622"/>
      <c r="G9" s="623"/>
      <c r="H9" s="53"/>
      <c r="I9" s="107"/>
      <c r="J9" s="622"/>
      <c r="K9" s="632"/>
      <c r="L9" s="53"/>
      <c r="M9" s="84"/>
      <c r="N9" s="53"/>
      <c r="O9" s="53"/>
      <c r="P9" s="53"/>
    </row>
    <row r="10" spans="1:16" ht="15.75" x14ac:dyDescent="0.25">
      <c r="A10" s="53"/>
      <c r="B10" s="106"/>
      <c r="C10" s="80"/>
      <c r="D10" s="80"/>
      <c r="E10" s="80"/>
      <c r="F10" s="80"/>
      <c r="G10" s="81"/>
      <c r="H10" s="53"/>
      <c r="I10" s="749"/>
      <c r="J10" s="750"/>
      <c r="K10" s="751"/>
      <c r="L10" s="53"/>
      <c r="M10" s="752"/>
      <c r="N10" s="53"/>
      <c r="O10" s="334"/>
      <c r="P10" s="53"/>
    </row>
    <row r="11" spans="1:16" ht="15.75" x14ac:dyDescent="0.25">
      <c r="A11" s="53"/>
      <c r="B11" s="106" t="s">
        <v>218</v>
      </c>
      <c r="C11" s="80"/>
      <c r="D11" s="624">
        <v>0</v>
      </c>
      <c r="E11" s="85"/>
      <c r="F11" s="624">
        <v>0</v>
      </c>
      <c r="G11" s="108"/>
      <c r="H11" s="109"/>
      <c r="I11" s="749"/>
      <c r="J11" s="750"/>
      <c r="K11" s="751"/>
      <c r="L11" s="53"/>
      <c r="M11" s="87"/>
      <c r="N11" s="53"/>
      <c r="O11" s="334" t="str">
        <f>IF(OR(D11="",F11=""),"Incomplete","Complete")</f>
        <v>Complete</v>
      </c>
      <c r="P11" s="53"/>
    </row>
    <row r="12" spans="1:16" ht="15.75" x14ac:dyDescent="0.25">
      <c r="A12" s="53"/>
      <c r="B12" s="106" t="s">
        <v>219</v>
      </c>
      <c r="C12" s="80"/>
      <c r="D12" s="624">
        <v>0</v>
      </c>
      <c r="E12" s="85"/>
      <c r="F12" s="624">
        <v>0</v>
      </c>
      <c r="G12" s="108"/>
      <c r="H12" s="109"/>
      <c r="I12" s="749"/>
      <c r="J12" s="624">
        <v>0</v>
      </c>
      <c r="K12" s="751"/>
      <c r="L12" s="53"/>
      <c r="M12" s="87"/>
      <c r="N12" s="53"/>
      <c r="O12" s="334" t="str">
        <f>IF(OR(D12="",F12="",J12=""),"Incomplete","Complete")</f>
        <v>Complete</v>
      </c>
      <c r="P12" s="53"/>
    </row>
    <row r="13" spans="1:16" ht="15.75" x14ac:dyDescent="0.25">
      <c r="A13" s="53"/>
      <c r="B13" s="106" t="s">
        <v>220</v>
      </c>
      <c r="C13" s="80"/>
      <c r="D13" s="626">
        <f>SUM(D11:D12)</f>
        <v>0</v>
      </c>
      <c r="E13" s="85"/>
      <c r="F13" s="626">
        <f>SUM(F11:F12)</f>
        <v>0</v>
      </c>
      <c r="G13" s="108"/>
      <c r="H13" s="109"/>
      <c r="I13" s="749"/>
      <c r="J13" s="750"/>
      <c r="K13" s="751"/>
      <c r="L13" s="53"/>
      <c r="M13" s="752"/>
      <c r="N13" s="53"/>
      <c r="O13" s="53"/>
      <c r="P13" s="53"/>
    </row>
    <row r="14" spans="1:16" ht="15.75" x14ac:dyDescent="0.25">
      <c r="A14" s="53"/>
      <c r="B14" s="106" t="s">
        <v>221</v>
      </c>
      <c r="C14" s="80"/>
      <c r="D14" s="625">
        <v>0</v>
      </c>
      <c r="E14" s="85"/>
      <c r="F14" s="626">
        <f>'RBS - Risk Margin'!F62</f>
        <v>0</v>
      </c>
      <c r="G14" s="108"/>
      <c r="H14" s="109"/>
      <c r="I14" s="749"/>
      <c r="J14" s="750"/>
      <c r="K14" s="751"/>
      <c r="L14" s="53"/>
      <c r="M14" s="752"/>
      <c r="N14" s="53"/>
      <c r="O14" s="53"/>
      <c r="P14" s="53"/>
    </row>
    <row r="15" spans="1:16" ht="15.75" x14ac:dyDescent="0.25">
      <c r="A15" s="53"/>
      <c r="B15" s="106"/>
      <c r="C15" s="80"/>
      <c r="D15" s="85"/>
      <c r="E15" s="85"/>
      <c r="F15" s="85"/>
      <c r="G15" s="108"/>
      <c r="H15" s="109"/>
      <c r="I15" s="749"/>
      <c r="J15" s="750"/>
      <c r="K15" s="751"/>
      <c r="L15" s="53"/>
      <c r="M15" s="752"/>
      <c r="N15" s="53"/>
      <c r="O15" s="53"/>
      <c r="P15" s="53"/>
    </row>
    <row r="16" spans="1:16" ht="15.75" x14ac:dyDescent="0.25">
      <c r="A16" s="53"/>
      <c r="B16" s="106" t="s">
        <v>169</v>
      </c>
      <c r="C16" s="80"/>
      <c r="D16" s="626">
        <f>SUM(D13:D14)</f>
        <v>0</v>
      </c>
      <c r="E16" s="85"/>
      <c r="F16" s="626">
        <f>SUM(F13:F14)</f>
        <v>0</v>
      </c>
      <c r="G16" s="108"/>
      <c r="H16" s="109"/>
      <c r="I16" s="749"/>
      <c r="J16" s="750"/>
      <c r="K16" s="751"/>
      <c r="L16" s="53"/>
      <c r="M16" s="752"/>
      <c r="N16" s="53"/>
      <c r="O16" s="53"/>
      <c r="P16" s="53"/>
    </row>
    <row r="17" spans="1:16" ht="15.75" x14ac:dyDescent="0.25">
      <c r="A17" s="53"/>
      <c r="B17" s="106"/>
      <c r="C17" s="80"/>
      <c r="D17" s="80"/>
      <c r="E17" s="80"/>
      <c r="F17" s="80"/>
      <c r="G17" s="81"/>
      <c r="H17" s="53"/>
      <c r="I17" s="749"/>
      <c r="J17" s="750"/>
      <c r="K17" s="751"/>
      <c r="L17" s="53"/>
      <c r="M17" s="752"/>
      <c r="N17" s="53"/>
      <c r="O17" s="53"/>
      <c r="P17" s="53"/>
    </row>
    <row r="18" spans="1:16" ht="15.75" x14ac:dyDescent="0.25">
      <c r="A18" s="53"/>
      <c r="B18" s="107" t="s">
        <v>222</v>
      </c>
      <c r="C18" s="621"/>
      <c r="D18" s="627"/>
      <c r="E18" s="628"/>
      <c r="F18" s="627"/>
      <c r="G18" s="633"/>
      <c r="H18" s="109"/>
      <c r="I18" s="107"/>
      <c r="J18" s="622"/>
      <c r="K18" s="632"/>
      <c r="L18" s="53"/>
      <c r="M18" s="84"/>
      <c r="N18" s="53"/>
      <c r="O18" s="53"/>
      <c r="P18" s="53"/>
    </row>
    <row r="19" spans="1:16" ht="15.75" x14ac:dyDescent="0.25">
      <c r="A19" s="53"/>
      <c r="B19" s="106"/>
      <c r="C19" s="80"/>
      <c r="D19" s="85"/>
      <c r="E19" s="85"/>
      <c r="F19" s="85"/>
      <c r="G19" s="108"/>
      <c r="H19" s="109"/>
      <c r="I19" s="749"/>
      <c r="J19" s="750"/>
      <c r="K19" s="751"/>
      <c r="L19" s="53"/>
      <c r="M19" s="752"/>
      <c r="N19" s="53"/>
      <c r="O19" s="53"/>
      <c r="P19" s="53"/>
    </row>
    <row r="20" spans="1:16" ht="15.75" x14ac:dyDescent="0.25">
      <c r="A20" s="53"/>
      <c r="B20" s="106" t="s">
        <v>218</v>
      </c>
      <c r="C20" s="80"/>
      <c r="D20" s="624">
        <v>0</v>
      </c>
      <c r="E20" s="85"/>
      <c r="F20" s="624">
        <v>0</v>
      </c>
      <c r="G20" s="108"/>
      <c r="H20" s="109"/>
      <c r="I20" s="749"/>
      <c r="J20" s="750"/>
      <c r="K20" s="751"/>
      <c r="L20" s="53"/>
      <c r="M20" s="87"/>
      <c r="N20" s="53"/>
      <c r="O20" s="334" t="str">
        <f>IF(OR(D20="",F20=""),"Incomplete","Complete")</f>
        <v>Complete</v>
      </c>
      <c r="P20" s="53"/>
    </row>
    <row r="21" spans="1:16" ht="15.75" x14ac:dyDescent="0.25">
      <c r="A21" s="53"/>
      <c r="B21" s="106" t="s">
        <v>219</v>
      </c>
      <c r="C21" s="80"/>
      <c r="D21" s="624">
        <v>0</v>
      </c>
      <c r="E21" s="85"/>
      <c r="F21" s="624">
        <v>0</v>
      </c>
      <c r="G21" s="108"/>
      <c r="H21" s="109"/>
      <c r="I21" s="749"/>
      <c r="J21" s="624">
        <v>0</v>
      </c>
      <c r="K21" s="751"/>
      <c r="L21" s="53"/>
      <c r="M21" s="87"/>
      <c r="N21" s="53"/>
      <c r="O21" s="334" t="str">
        <f>IF(OR(D21="",F21="",J21=""),"Incomplete","Complete")</f>
        <v>Complete</v>
      </c>
      <c r="P21" s="53"/>
    </row>
    <row r="22" spans="1:16" ht="15.75" x14ac:dyDescent="0.25">
      <c r="A22" s="53"/>
      <c r="B22" s="106" t="s">
        <v>220</v>
      </c>
      <c r="C22" s="80"/>
      <c r="D22" s="626">
        <f>SUM(D20:D21)</f>
        <v>0</v>
      </c>
      <c r="E22" s="85"/>
      <c r="F22" s="626">
        <f>SUM(F20:F21)</f>
        <v>0</v>
      </c>
      <c r="G22" s="108"/>
      <c r="H22" s="109"/>
      <c r="I22" s="749"/>
      <c r="J22" s="750"/>
      <c r="K22" s="751"/>
      <c r="L22" s="53"/>
      <c r="M22" s="752"/>
      <c r="N22" s="53"/>
      <c r="O22" s="53"/>
      <c r="P22" s="53"/>
    </row>
    <row r="23" spans="1:16" ht="15.75" x14ac:dyDescent="0.25">
      <c r="A23" s="53"/>
      <c r="B23" s="106" t="s">
        <v>221</v>
      </c>
      <c r="C23" s="80"/>
      <c r="D23" s="625">
        <v>0</v>
      </c>
      <c r="E23" s="85"/>
      <c r="F23" s="626">
        <f>'RBS - Risk Margin'!H62</f>
        <v>0</v>
      </c>
      <c r="G23" s="108"/>
      <c r="H23" s="109"/>
      <c r="I23" s="749"/>
      <c r="J23" s="750"/>
      <c r="K23" s="751"/>
      <c r="L23" s="53"/>
      <c r="M23" s="752"/>
      <c r="N23" s="53"/>
      <c r="O23" s="53"/>
      <c r="P23" s="53"/>
    </row>
    <row r="24" spans="1:16" ht="15.75" x14ac:dyDescent="0.25">
      <c r="A24" s="53"/>
      <c r="B24" s="106"/>
      <c r="C24" s="80"/>
      <c r="D24" s="85"/>
      <c r="E24" s="85"/>
      <c r="F24" s="85"/>
      <c r="G24" s="108"/>
      <c r="H24" s="109"/>
      <c r="I24" s="749"/>
      <c r="J24" s="750"/>
      <c r="K24" s="751"/>
      <c r="L24" s="53"/>
      <c r="M24" s="752"/>
      <c r="N24" s="53"/>
      <c r="O24" s="53"/>
      <c r="P24" s="53"/>
    </row>
    <row r="25" spans="1:16" ht="15.75" x14ac:dyDescent="0.25">
      <c r="A25" s="53"/>
      <c r="B25" s="106" t="s">
        <v>169</v>
      </c>
      <c r="C25" s="80"/>
      <c r="D25" s="626">
        <f>SUM(D22:D23)</f>
        <v>0</v>
      </c>
      <c r="E25" s="85"/>
      <c r="F25" s="626">
        <f>SUM(F22:F23)</f>
        <v>0</v>
      </c>
      <c r="G25" s="108"/>
      <c r="H25" s="109"/>
      <c r="I25" s="749"/>
      <c r="J25" s="750"/>
      <c r="K25" s="751"/>
      <c r="L25" s="53"/>
      <c r="M25" s="752"/>
      <c r="N25" s="53"/>
      <c r="O25" s="53"/>
      <c r="P25" s="53"/>
    </row>
    <row r="26" spans="1:16" ht="15.75" x14ac:dyDescent="0.25">
      <c r="A26" s="53"/>
      <c r="B26" s="106"/>
      <c r="C26" s="80"/>
      <c r="D26" s="85"/>
      <c r="E26" s="85"/>
      <c r="F26" s="85"/>
      <c r="G26" s="108"/>
      <c r="H26" s="109"/>
      <c r="I26" s="749"/>
      <c r="J26" s="750"/>
      <c r="K26" s="751"/>
      <c r="L26" s="53"/>
      <c r="M26" s="752"/>
      <c r="N26" s="53"/>
      <c r="O26" s="53"/>
      <c r="P26" s="53"/>
    </row>
    <row r="27" spans="1:16" ht="15.75" x14ac:dyDescent="0.25">
      <c r="A27" s="53"/>
      <c r="B27" s="107" t="s">
        <v>223</v>
      </c>
      <c r="C27" s="621"/>
      <c r="D27" s="627"/>
      <c r="E27" s="628"/>
      <c r="F27" s="627"/>
      <c r="G27" s="633"/>
      <c r="H27" s="109"/>
      <c r="I27" s="107"/>
      <c r="J27" s="622"/>
      <c r="K27" s="632"/>
      <c r="L27" s="53"/>
      <c r="M27" s="84"/>
      <c r="N27" s="53"/>
      <c r="O27" s="53"/>
      <c r="P27" s="53"/>
    </row>
    <row r="28" spans="1:16" ht="15.75" x14ac:dyDescent="0.25">
      <c r="A28" s="53"/>
      <c r="B28" s="106"/>
      <c r="C28" s="80"/>
      <c r="D28" s="85"/>
      <c r="E28" s="85"/>
      <c r="F28" s="85"/>
      <c r="G28" s="108"/>
      <c r="H28" s="109"/>
      <c r="I28" s="749"/>
      <c r="J28" s="750"/>
      <c r="K28" s="751"/>
      <c r="L28" s="53"/>
      <c r="M28" s="752"/>
      <c r="N28" s="53"/>
      <c r="O28" s="53"/>
      <c r="P28" s="53"/>
    </row>
    <row r="29" spans="1:16" ht="15.75" x14ac:dyDescent="0.25">
      <c r="A29" s="53"/>
      <c r="B29" s="106" t="s">
        <v>218</v>
      </c>
      <c r="C29" s="80"/>
      <c r="D29" s="624">
        <v>0</v>
      </c>
      <c r="E29" s="85"/>
      <c r="F29" s="624">
        <v>0</v>
      </c>
      <c r="G29" s="108"/>
      <c r="H29" s="109"/>
      <c r="I29" s="749"/>
      <c r="J29" s="750"/>
      <c r="K29" s="751"/>
      <c r="L29" s="53"/>
      <c r="M29" s="87"/>
      <c r="N29" s="53"/>
      <c r="O29" s="334" t="str">
        <f>IF(OR(D29="",F29=""),"Incomplete","Complete")</f>
        <v>Complete</v>
      </c>
      <c r="P29" s="53"/>
    </row>
    <row r="30" spans="1:16" ht="15.75" x14ac:dyDescent="0.25">
      <c r="A30" s="53"/>
      <c r="B30" s="106" t="s">
        <v>219</v>
      </c>
      <c r="C30" s="80"/>
      <c r="D30" s="624">
        <v>0</v>
      </c>
      <c r="E30" s="85"/>
      <c r="F30" s="624">
        <v>0</v>
      </c>
      <c r="G30" s="108"/>
      <c r="H30" s="109"/>
      <c r="I30" s="749"/>
      <c r="J30" s="624">
        <v>0</v>
      </c>
      <c r="K30" s="751"/>
      <c r="L30" s="53"/>
      <c r="M30" s="87"/>
      <c r="N30" s="53"/>
      <c r="O30" s="334" t="str">
        <f>IF(OR(D30="",F30="",J30=""),"Incomplete","Complete")</f>
        <v>Complete</v>
      </c>
      <c r="P30" s="53"/>
    </row>
    <row r="31" spans="1:16" ht="15.75" x14ac:dyDescent="0.25">
      <c r="A31" s="53"/>
      <c r="B31" s="106" t="s">
        <v>220</v>
      </c>
      <c r="C31" s="80"/>
      <c r="D31" s="626">
        <f>SUM(D29:D30)</f>
        <v>0</v>
      </c>
      <c r="E31" s="85"/>
      <c r="F31" s="626">
        <f>SUM(F29:F30)</f>
        <v>0</v>
      </c>
      <c r="G31" s="108"/>
      <c r="H31" s="109"/>
      <c r="I31" s="749"/>
      <c r="J31" s="750"/>
      <c r="K31" s="751"/>
      <c r="L31" s="53"/>
      <c r="M31" s="752"/>
      <c r="N31" s="53"/>
      <c r="O31" s="53"/>
      <c r="P31" s="53"/>
    </row>
    <row r="32" spans="1:16" ht="15.75" x14ac:dyDescent="0.25">
      <c r="A32" s="53"/>
      <c r="B32" s="106" t="s">
        <v>221</v>
      </c>
      <c r="C32" s="80"/>
      <c r="D32" s="625">
        <v>0</v>
      </c>
      <c r="E32" s="85"/>
      <c r="F32" s="626">
        <f>'RBS - Risk Margin'!J62</f>
        <v>0</v>
      </c>
      <c r="G32" s="108"/>
      <c r="H32" s="109"/>
      <c r="I32" s="749"/>
      <c r="J32" s="750"/>
      <c r="K32" s="751"/>
      <c r="L32" s="53"/>
      <c r="M32" s="752"/>
      <c r="N32" s="53"/>
      <c r="O32" s="53"/>
      <c r="P32" s="53"/>
    </row>
    <row r="33" spans="1:16" ht="15.75" x14ac:dyDescent="0.25">
      <c r="A33" s="53"/>
      <c r="B33" s="106"/>
      <c r="C33" s="80"/>
      <c r="D33" s="80"/>
      <c r="E33" s="80"/>
      <c r="F33" s="80"/>
      <c r="G33" s="81"/>
      <c r="H33" s="53"/>
      <c r="I33" s="749"/>
      <c r="J33" s="750"/>
      <c r="K33" s="751"/>
      <c r="L33" s="53"/>
      <c r="M33" s="752"/>
      <c r="N33" s="53"/>
      <c r="O33" s="53"/>
      <c r="P33" s="53"/>
    </row>
    <row r="34" spans="1:16" ht="15.75" x14ac:dyDescent="0.25">
      <c r="A34" s="53"/>
      <c r="B34" s="106" t="s">
        <v>169</v>
      </c>
      <c r="C34" s="80"/>
      <c r="D34" s="626">
        <f>SUM(D31:D32)</f>
        <v>0</v>
      </c>
      <c r="E34" s="85"/>
      <c r="F34" s="626">
        <f>SUM(F31:F32)</f>
        <v>0</v>
      </c>
      <c r="G34" s="108"/>
      <c r="H34" s="109"/>
      <c r="I34" s="749"/>
      <c r="J34" s="750"/>
      <c r="K34" s="751"/>
      <c r="L34" s="53"/>
      <c r="M34" s="752"/>
      <c r="N34" s="53"/>
      <c r="O34" s="53"/>
      <c r="P34" s="53"/>
    </row>
    <row r="35" spans="1:16" ht="15.75" x14ac:dyDescent="0.25">
      <c r="A35" s="53"/>
      <c r="B35" s="106"/>
      <c r="C35" s="80"/>
      <c r="D35" s="85"/>
      <c r="E35" s="85"/>
      <c r="F35" s="85"/>
      <c r="G35" s="108"/>
      <c r="H35" s="109"/>
      <c r="I35" s="749"/>
      <c r="J35" s="750"/>
      <c r="K35" s="751"/>
      <c r="L35" s="53"/>
      <c r="M35" s="752"/>
      <c r="N35" s="53"/>
      <c r="O35" s="53"/>
      <c r="P35" s="53"/>
    </row>
    <row r="36" spans="1:16" ht="15.75" x14ac:dyDescent="0.25">
      <c r="A36" s="53"/>
      <c r="B36" s="107" t="s">
        <v>224</v>
      </c>
      <c r="C36" s="621"/>
      <c r="D36" s="627"/>
      <c r="E36" s="628"/>
      <c r="F36" s="627"/>
      <c r="G36" s="633"/>
      <c r="H36" s="109"/>
      <c r="I36" s="107"/>
      <c r="J36" s="622"/>
      <c r="K36" s="632"/>
      <c r="L36" s="53"/>
      <c r="M36" s="84"/>
      <c r="N36" s="53"/>
      <c r="O36" s="53"/>
      <c r="P36" s="53"/>
    </row>
    <row r="37" spans="1:16" ht="15.75" x14ac:dyDescent="0.25">
      <c r="A37" s="53"/>
      <c r="B37" s="106"/>
      <c r="C37" s="80"/>
      <c r="D37" s="85"/>
      <c r="E37" s="85"/>
      <c r="F37" s="85"/>
      <c r="G37" s="108"/>
      <c r="H37" s="109"/>
      <c r="I37" s="749"/>
      <c r="J37" s="750"/>
      <c r="K37" s="751"/>
      <c r="L37" s="53"/>
      <c r="M37" s="752"/>
      <c r="N37" s="53"/>
      <c r="O37" s="53"/>
      <c r="P37" s="53"/>
    </row>
    <row r="38" spans="1:16" ht="15.75" x14ac:dyDescent="0.25">
      <c r="A38" s="53"/>
      <c r="B38" s="106" t="s">
        <v>218</v>
      </c>
      <c r="C38" s="80"/>
      <c r="D38" s="624">
        <v>0</v>
      </c>
      <c r="E38" s="85"/>
      <c r="F38" s="624">
        <v>0</v>
      </c>
      <c r="G38" s="108"/>
      <c r="H38" s="109"/>
      <c r="I38" s="749"/>
      <c r="J38" s="750"/>
      <c r="K38" s="751"/>
      <c r="L38" s="53"/>
      <c r="M38" s="87"/>
      <c r="N38" s="53"/>
      <c r="O38" s="334" t="str">
        <f>IF(OR(D38="",F38=""),"Incomplete","Complete")</f>
        <v>Complete</v>
      </c>
      <c r="P38" s="53"/>
    </row>
    <row r="39" spans="1:16" ht="15.75" x14ac:dyDescent="0.25">
      <c r="A39" s="53"/>
      <c r="B39" s="106" t="s">
        <v>219</v>
      </c>
      <c r="C39" s="80"/>
      <c r="D39" s="624">
        <v>0</v>
      </c>
      <c r="E39" s="85"/>
      <c r="F39" s="624">
        <v>0</v>
      </c>
      <c r="G39" s="108"/>
      <c r="H39" s="109"/>
      <c r="I39" s="749"/>
      <c r="J39" s="624">
        <v>0</v>
      </c>
      <c r="K39" s="751"/>
      <c r="L39" s="53"/>
      <c r="M39" s="87"/>
      <c r="N39" s="53"/>
      <c r="O39" s="334" t="str">
        <f>IF(OR(D39="",F39="",J39=""),"Incomplete","Complete")</f>
        <v>Complete</v>
      </c>
      <c r="P39" s="53"/>
    </row>
    <row r="40" spans="1:16" ht="15.75" x14ac:dyDescent="0.25">
      <c r="A40" s="53"/>
      <c r="B40" s="106" t="s">
        <v>220</v>
      </c>
      <c r="C40" s="80"/>
      <c r="D40" s="626">
        <f>SUM(D38:D39)</f>
        <v>0</v>
      </c>
      <c r="E40" s="85"/>
      <c r="F40" s="626">
        <f>SUM(F38:F39)</f>
        <v>0</v>
      </c>
      <c r="G40" s="108"/>
      <c r="H40" s="109"/>
      <c r="I40" s="749"/>
      <c r="J40" s="750"/>
      <c r="K40" s="751"/>
      <c r="L40" s="53"/>
      <c r="M40" s="752"/>
      <c r="N40" s="53"/>
      <c r="O40" s="53"/>
      <c r="P40" s="53"/>
    </row>
    <row r="41" spans="1:16" ht="15.75" x14ac:dyDescent="0.25">
      <c r="A41" s="53"/>
      <c r="B41" s="106" t="s">
        <v>221</v>
      </c>
      <c r="C41" s="80"/>
      <c r="D41" s="625">
        <v>0</v>
      </c>
      <c r="E41" s="85"/>
      <c r="F41" s="626">
        <f>'RBS - Risk Margin'!L62</f>
        <v>0</v>
      </c>
      <c r="G41" s="108"/>
      <c r="H41" s="109"/>
      <c r="I41" s="749"/>
      <c r="J41" s="750"/>
      <c r="K41" s="751"/>
      <c r="L41" s="53"/>
      <c r="M41" s="752"/>
      <c r="N41" s="53"/>
      <c r="O41" s="53"/>
      <c r="P41" s="53"/>
    </row>
    <row r="42" spans="1:16" ht="15.75" x14ac:dyDescent="0.25">
      <c r="A42" s="53"/>
      <c r="B42" s="106"/>
      <c r="C42" s="80"/>
      <c r="D42" s="85"/>
      <c r="E42" s="85"/>
      <c r="F42" s="85"/>
      <c r="G42" s="108"/>
      <c r="H42" s="109"/>
      <c r="I42" s="749"/>
      <c r="J42" s="750"/>
      <c r="K42" s="751"/>
      <c r="L42" s="53"/>
      <c r="M42" s="752"/>
      <c r="N42" s="53"/>
      <c r="O42" s="53"/>
      <c r="P42" s="53"/>
    </row>
    <row r="43" spans="1:16" ht="15.75" x14ac:dyDescent="0.25">
      <c r="A43" s="53"/>
      <c r="B43" s="106" t="s">
        <v>169</v>
      </c>
      <c r="C43" s="80"/>
      <c r="D43" s="626">
        <f>SUM(D40:D41)</f>
        <v>0</v>
      </c>
      <c r="E43" s="85"/>
      <c r="F43" s="626">
        <f>SUM(F40:F41)</f>
        <v>0</v>
      </c>
      <c r="G43" s="108"/>
      <c r="H43" s="109"/>
      <c r="I43" s="749"/>
      <c r="J43" s="750"/>
      <c r="K43" s="751"/>
      <c r="L43" s="53"/>
      <c r="M43" s="752"/>
      <c r="N43" s="53"/>
      <c r="O43" s="53"/>
      <c r="P43" s="53"/>
    </row>
    <row r="44" spans="1:16" ht="15.75" x14ac:dyDescent="0.25">
      <c r="A44" s="53"/>
      <c r="B44" s="106"/>
      <c r="C44" s="80"/>
      <c r="D44" s="85"/>
      <c r="E44" s="85"/>
      <c r="F44" s="85"/>
      <c r="G44" s="108"/>
      <c r="H44" s="109"/>
      <c r="I44" s="749"/>
      <c r="J44" s="750"/>
      <c r="K44" s="751"/>
      <c r="L44" s="53"/>
      <c r="M44" s="752"/>
      <c r="N44" s="53"/>
      <c r="O44" s="53"/>
      <c r="P44" s="53"/>
    </row>
    <row r="45" spans="1:16" ht="15.75" x14ac:dyDescent="0.25">
      <c r="A45" s="53"/>
      <c r="B45" s="107" t="s">
        <v>225</v>
      </c>
      <c r="C45" s="621"/>
      <c r="D45" s="627"/>
      <c r="E45" s="628"/>
      <c r="F45" s="627"/>
      <c r="G45" s="633"/>
      <c r="H45" s="109"/>
      <c r="I45" s="107"/>
      <c r="J45" s="622"/>
      <c r="K45" s="632"/>
      <c r="L45" s="53"/>
      <c r="M45" s="84"/>
      <c r="N45" s="53"/>
      <c r="O45" s="53"/>
      <c r="P45" s="53"/>
    </row>
    <row r="46" spans="1:16" ht="15.75" x14ac:dyDescent="0.25">
      <c r="A46" s="53"/>
      <c r="B46" s="106"/>
      <c r="C46" s="80"/>
      <c r="D46" s="85"/>
      <c r="E46" s="85"/>
      <c r="F46" s="85"/>
      <c r="G46" s="108"/>
      <c r="H46" s="109"/>
      <c r="I46" s="749"/>
      <c r="J46" s="750"/>
      <c r="K46" s="751"/>
      <c r="L46" s="53"/>
      <c r="M46" s="752"/>
      <c r="N46" s="53"/>
      <c r="O46" s="53"/>
      <c r="P46" s="53"/>
    </row>
    <row r="47" spans="1:16" ht="15.75" x14ac:dyDescent="0.25">
      <c r="A47" s="53"/>
      <c r="B47" s="106" t="s">
        <v>218</v>
      </c>
      <c r="C47" s="80"/>
      <c r="D47" s="624">
        <v>0</v>
      </c>
      <c r="E47" s="85"/>
      <c r="F47" s="624">
        <v>0</v>
      </c>
      <c r="G47" s="108"/>
      <c r="H47" s="109"/>
      <c r="I47" s="749"/>
      <c r="J47" s="750"/>
      <c r="K47" s="751"/>
      <c r="L47" s="53"/>
      <c r="M47" s="87"/>
      <c r="N47" s="53"/>
      <c r="O47" s="334" t="str">
        <f>IF(OR(D47="",F47=""),"Incomplete","Complete")</f>
        <v>Complete</v>
      </c>
      <c r="P47" s="53"/>
    </row>
    <row r="48" spans="1:16" ht="15.75" x14ac:dyDescent="0.25">
      <c r="A48" s="53"/>
      <c r="B48" s="106" t="s">
        <v>219</v>
      </c>
      <c r="C48" s="80"/>
      <c r="D48" s="624">
        <v>0</v>
      </c>
      <c r="E48" s="85"/>
      <c r="F48" s="624">
        <v>0</v>
      </c>
      <c r="G48" s="108"/>
      <c r="H48" s="109"/>
      <c r="I48" s="749"/>
      <c r="J48" s="624">
        <v>0</v>
      </c>
      <c r="K48" s="751"/>
      <c r="L48" s="53"/>
      <c r="M48" s="87"/>
      <c r="N48" s="53"/>
      <c r="O48" s="334" t="str">
        <f>IF(OR(D48="",F48="",J48=""),"Incomplete","Complete")</f>
        <v>Complete</v>
      </c>
      <c r="P48" s="53"/>
    </row>
    <row r="49" spans="1:16" ht="15.75" x14ac:dyDescent="0.25">
      <c r="A49" s="53"/>
      <c r="B49" s="106" t="s">
        <v>220</v>
      </c>
      <c r="C49" s="80"/>
      <c r="D49" s="626">
        <f>SUM(D47:D48)</f>
        <v>0</v>
      </c>
      <c r="E49" s="85"/>
      <c r="F49" s="626">
        <f>SUM(F47:F48)</f>
        <v>0</v>
      </c>
      <c r="G49" s="108"/>
      <c r="H49" s="109"/>
      <c r="I49" s="749"/>
      <c r="J49" s="750"/>
      <c r="K49" s="751"/>
      <c r="L49" s="53"/>
      <c r="M49" s="752"/>
      <c r="N49" s="53"/>
      <c r="O49" s="334"/>
      <c r="P49" s="53"/>
    </row>
    <row r="50" spans="1:16" ht="15.75" x14ac:dyDescent="0.25">
      <c r="A50" s="53"/>
      <c r="B50" s="106" t="s">
        <v>221</v>
      </c>
      <c r="C50" s="80"/>
      <c r="D50" s="625">
        <v>0</v>
      </c>
      <c r="E50" s="85"/>
      <c r="F50" s="626">
        <f>'RBS - Risk Margin'!N62</f>
        <v>0</v>
      </c>
      <c r="G50" s="108"/>
      <c r="H50" s="109"/>
      <c r="I50" s="749"/>
      <c r="J50" s="750"/>
      <c r="K50" s="751"/>
      <c r="L50" s="53"/>
      <c r="M50" s="752"/>
      <c r="N50" s="53"/>
      <c r="O50" s="53"/>
      <c r="P50" s="53"/>
    </row>
    <row r="51" spans="1:16" ht="15.75" x14ac:dyDescent="0.25">
      <c r="A51" s="53"/>
      <c r="B51" s="106"/>
      <c r="C51" s="80"/>
      <c r="D51" s="85"/>
      <c r="E51" s="85"/>
      <c r="F51" s="85"/>
      <c r="G51" s="108"/>
      <c r="H51" s="109"/>
      <c r="I51" s="749"/>
      <c r="J51" s="750"/>
      <c r="K51" s="751"/>
      <c r="L51" s="53"/>
      <c r="M51" s="752"/>
      <c r="N51" s="53"/>
      <c r="O51" s="53"/>
      <c r="P51" s="53"/>
    </row>
    <row r="52" spans="1:16" ht="15.75" x14ac:dyDescent="0.25">
      <c r="A52" s="53"/>
      <c r="B52" s="106" t="s">
        <v>169</v>
      </c>
      <c r="C52" s="80"/>
      <c r="D52" s="626">
        <f>SUM(D49:D50)</f>
        <v>0</v>
      </c>
      <c r="E52" s="85"/>
      <c r="F52" s="626">
        <f>SUM(F49:F50)</f>
        <v>0</v>
      </c>
      <c r="G52" s="108"/>
      <c r="H52" s="109"/>
      <c r="I52" s="749"/>
      <c r="J52" s="750"/>
      <c r="K52" s="751"/>
      <c r="L52" s="53"/>
      <c r="M52" s="752"/>
      <c r="N52" s="53"/>
      <c r="O52" s="53"/>
      <c r="P52" s="53"/>
    </row>
    <row r="53" spans="1:16" ht="15.75" x14ac:dyDescent="0.25">
      <c r="A53" s="53"/>
      <c r="B53" s="106"/>
      <c r="C53" s="80"/>
      <c r="D53" s="85"/>
      <c r="E53" s="85"/>
      <c r="F53" s="85"/>
      <c r="G53" s="108"/>
      <c r="H53" s="109"/>
      <c r="I53" s="749"/>
      <c r="J53" s="750"/>
      <c r="K53" s="751"/>
      <c r="L53" s="53"/>
      <c r="M53" s="752"/>
      <c r="N53" s="53"/>
      <c r="O53" s="53"/>
      <c r="P53" s="53"/>
    </row>
    <row r="54" spans="1:16" ht="15.75" x14ac:dyDescent="0.25">
      <c r="A54" s="53"/>
      <c r="B54" s="107" t="s">
        <v>226</v>
      </c>
      <c r="C54" s="621"/>
      <c r="D54" s="627"/>
      <c r="E54" s="628"/>
      <c r="F54" s="627"/>
      <c r="G54" s="633"/>
      <c r="H54" s="109"/>
      <c r="I54" s="107"/>
      <c r="J54" s="622"/>
      <c r="K54" s="632"/>
      <c r="L54" s="53"/>
      <c r="M54" s="84"/>
      <c r="N54" s="53"/>
      <c r="O54" s="53"/>
      <c r="P54" s="53"/>
    </row>
    <row r="55" spans="1:16" ht="15.75" x14ac:dyDescent="0.25">
      <c r="A55" s="53"/>
      <c r="B55" s="106"/>
      <c r="C55" s="80"/>
      <c r="D55" s="85"/>
      <c r="E55" s="85"/>
      <c r="F55" s="85"/>
      <c r="G55" s="108"/>
      <c r="H55" s="109"/>
      <c r="I55" s="749"/>
      <c r="J55" s="750"/>
      <c r="K55" s="751"/>
      <c r="L55" s="53"/>
      <c r="M55" s="752"/>
      <c r="N55" s="53"/>
      <c r="O55" s="53"/>
      <c r="P55" s="53"/>
    </row>
    <row r="56" spans="1:16" ht="15.75" x14ac:dyDescent="0.25">
      <c r="A56" s="53"/>
      <c r="B56" s="106" t="s">
        <v>218</v>
      </c>
      <c r="C56" s="80"/>
      <c r="D56" s="624">
        <v>0</v>
      </c>
      <c r="E56" s="85"/>
      <c r="F56" s="624">
        <v>0</v>
      </c>
      <c r="G56" s="108"/>
      <c r="H56" s="109"/>
      <c r="I56" s="749"/>
      <c r="J56" s="750"/>
      <c r="K56" s="751"/>
      <c r="L56" s="53"/>
      <c r="M56" s="87"/>
      <c r="N56" s="53"/>
      <c r="O56" s="334" t="str">
        <f>IF(OR(D56="",F56=""),"Incomplete","Complete")</f>
        <v>Complete</v>
      </c>
      <c r="P56" s="53"/>
    </row>
    <row r="57" spans="1:16" ht="15.75" x14ac:dyDescent="0.25">
      <c r="A57" s="53"/>
      <c r="B57" s="106" t="s">
        <v>219</v>
      </c>
      <c r="C57" s="80"/>
      <c r="D57" s="624">
        <v>0</v>
      </c>
      <c r="E57" s="85"/>
      <c r="F57" s="624">
        <v>0</v>
      </c>
      <c r="G57" s="108"/>
      <c r="H57" s="109"/>
      <c r="I57" s="749"/>
      <c r="J57" s="624">
        <v>0</v>
      </c>
      <c r="K57" s="751"/>
      <c r="L57" s="53"/>
      <c r="M57" s="87"/>
      <c r="N57" s="53"/>
      <c r="O57" s="334" t="str">
        <f>IF(OR(D57="",F57="",J57=""),"Incomplete","Complete")</f>
        <v>Complete</v>
      </c>
      <c r="P57" s="53"/>
    </row>
    <row r="58" spans="1:16" ht="15.75" x14ac:dyDescent="0.25">
      <c r="A58" s="53"/>
      <c r="B58" s="106" t="s">
        <v>220</v>
      </c>
      <c r="C58" s="80"/>
      <c r="D58" s="626">
        <f>SUM(D56:D57)</f>
        <v>0</v>
      </c>
      <c r="E58" s="85"/>
      <c r="F58" s="626">
        <f>SUM(F56:F57)</f>
        <v>0</v>
      </c>
      <c r="G58" s="108"/>
      <c r="H58" s="109"/>
      <c r="I58" s="749"/>
      <c r="J58" s="750"/>
      <c r="K58" s="751"/>
      <c r="L58" s="53"/>
      <c r="M58" s="752"/>
      <c r="N58" s="53"/>
      <c r="O58" s="53"/>
      <c r="P58" s="53"/>
    </row>
    <row r="59" spans="1:16" ht="15.75" x14ac:dyDescent="0.25">
      <c r="A59" s="53"/>
      <c r="B59" s="106" t="s">
        <v>221</v>
      </c>
      <c r="C59" s="80"/>
      <c r="D59" s="625">
        <v>0</v>
      </c>
      <c r="E59" s="85"/>
      <c r="F59" s="626">
        <f>'RBS - Risk Margin'!P62</f>
        <v>0</v>
      </c>
      <c r="G59" s="108"/>
      <c r="H59" s="109"/>
      <c r="I59" s="749"/>
      <c r="J59" s="750"/>
      <c r="K59" s="751"/>
      <c r="L59" s="53"/>
      <c r="M59" s="752"/>
      <c r="N59" s="53"/>
      <c r="O59" s="53"/>
      <c r="P59" s="53"/>
    </row>
    <row r="60" spans="1:16" ht="15.75" x14ac:dyDescent="0.25">
      <c r="A60" s="53"/>
      <c r="B60" s="106"/>
      <c r="C60" s="80"/>
      <c r="D60" s="85"/>
      <c r="E60" s="85"/>
      <c r="F60" s="85"/>
      <c r="G60" s="108"/>
      <c r="H60" s="109"/>
      <c r="I60" s="749"/>
      <c r="J60" s="750"/>
      <c r="K60" s="751"/>
      <c r="L60" s="53"/>
      <c r="M60" s="752"/>
      <c r="N60" s="53"/>
      <c r="O60" s="53"/>
      <c r="P60" s="53"/>
    </row>
    <row r="61" spans="1:16" ht="15.75" x14ac:dyDescent="0.25">
      <c r="A61" s="53"/>
      <c r="B61" s="106" t="s">
        <v>169</v>
      </c>
      <c r="C61" s="80"/>
      <c r="D61" s="626">
        <f>SUM(D58:D59)</f>
        <v>0</v>
      </c>
      <c r="E61" s="85"/>
      <c r="F61" s="626">
        <f>SUM(F58:F59)</f>
        <v>0</v>
      </c>
      <c r="G61" s="108"/>
      <c r="H61" s="109"/>
      <c r="I61" s="749"/>
      <c r="J61" s="750"/>
      <c r="K61" s="751"/>
      <c r="L61" s="53"/>
      <c r="M61" s="752"/>
      <c r="N61" s="53"/>
      <c r="O61" s="53"/>
      <c r="P61" s="53"/>
    </row>
    <row r="62" spans="1:16" ht="15.75" x14ac:dyDescent="0.25">
      <c r="A62" s="53"/>
      <c r="B62" s="106"/>
      <c r="C62" s="80"/>
      <c r="D62" s="85"/>
      <c r="E62" s="85"/>
      <c r="F62" s="85"/>
      <c r="G62" s="108"/>
      <c r="H62" s="109"/>
      <c r="I62" s="749"/>
      <c r="J62" s="750"/>
      <c r="K62" s="751"/>
      <c r="L62" s="53"/>
      <c r="M62" s="752"/>
      <c r="N62" s="53"/>
      <c r="O62" s="53"/>
      <c r="P62" s="53"/>
    </row>
    <row r="63" spans="1:16" ht="15.75" x14ac:dyDescent="0.25">
      <c r="A63" s="53"/>
      <c r="B63" s="107" t="s">
        <v>227</v>
      </c>
      <c r="C63" s="621"/>
      <c r="D63" s="627"/>
      <c r="E63" s="628"/>
      <c r="F63" s="627"/>
      <c r="G63" s="633"/>
      <c r="H63" s="109"/>
      <c r="I63" s="107"/>
      <c r="J63" s="622"/>
      <c r="K63" s="632"/>
      <c r="L63" s="53"/>
      <c r="M63" s="84"/>
      <c r="N63" s="53"/>
      <c r="O63" s="53"/>
      <c r="P63" s="53"/>
    </row>
    <row r="64" spans="1:16" ht="15.75" x14ac:dyDescent="0.25">
      <c r="A64" s="53"/>
      <c r="B64" s="106"/>
      <c r="C64" s="80"/>
      <c r="D64" s="80"/>
      <c r="E64" s="80"/>
      <c r="F64" s="80"/>
      <c r="G64" s="81"/>
      <c r="H64" s="53"/>
      <c r="I64" s="749"/>
      <c r="J64" s="750"/>
      <c r="K64" s="751"/>
      <c r="L64" s="53"/>
      <c r="M64" s="752"/>
      <c r="N64" s="53"/>
      <c r="O64" s="53"/>
      <c r="P64" s="53"/>
    </row>
    <row r="65" spans="1:16" ht="15.75" x14ac:dyDescent="0.25">
      <c r="A65" s="53"/>
      <c r="B65" s="106" t="s">
        <v>218</v>
      </c>
      <c r="C65" s="80"/>
      <c r="D65" s="624">
        <v>0</v>
      </c>
      <c r="E65" s="85"/>
      <c r="F65" s="624">
        <v>0</v>
      </c>
      <c r="G65" s="108"/>
      <c r="H65" s="109"/>
      <c r="I65" s="749"/>
      <c r="J65" s="750"/>
      <c r="K65" s="751"/>
      <c r="L65" s="53"/>
      <c r="M65" s="87"/>
      <c r="N65" s="53"/>
      <c r="O65" s="334" t="str">
        <f>IF(OR(D65="",F65=""),"Incomplete","Complete")</f>
        <v>Complete</v>
      </c>
      <c r="P65" s="53"/>
    </row>
    <row r="66" spans="1:16" ht="15.75" x14ac:dyDescent="0.25">
      <c r="A66" s="53"/>
      <c r="B66" s="106" t="s">
        <v>219</v>
      </c>
      <c r="C66" s="80"/>
      <c r="D66" s="624">
        <v>0</v>
      </c>
      <c r="E66" s="85"/>
      <c r="F66" s="624">
        <v>0</v>
      </c>
      <c r="G66" s="108"/>
      <c r="H66" s="109"/>
      <c r="I66" s="749"/>
      <c r="J66" s="624">
        <v>0</v>
      </c>
      <c r="K66" s="751"/>
      <c r="L66" s="53"/>
      <c r="M66" s="87"/>
      <c r="N66" s="53"/>
      <c r="O66" s="334" t="str">
        <f>IF(OR(D66="",F66="",J66=""),"Incomplete","Complete")</f>
        <v>Complete</v>
      </c>
      <c r="P66" s="53"/>
    </row>
    <row r="67" spans="1:16" ht="15.75" x14ac:dyDescent="0.25">
      <c r="A67" s="53"/>
      <c r="B67" s="106" t="s">
        <v>220</v>
      </c>
      <c r="C67" s="80"/>
      <c r="D67" s="626">
        <f>SUM(D65:D66)</f>
        <v>0</v>
      </c>
      <c r="E67" s="85"/>
      <c r="F67" s="626">
        <f>SUM(F65:F66)</f>
        <v>0</v>
      </c>
      <c r="G67" s="108"/>
      <c r="H67" s="109"/>
      <c r="I67" s="749"/>
      <c r="J67" s="750"/>
      <c r="K67" s="751"/>
      <c r="L67" s="53"/>
      <c r="M67" s="752"/>
      <c r="N67" s="53"/>
      <c r="O67" s="53"/>
      <c r="P67" s="53"/>
    </row>
    <row r="68" spans="1:16" ht="15.75" x14ac:dyDescent="0.25">
      <c r="A68" s="53"/>
      <c r="B68" s="106" t="s">
        <v>221</v>
      </c>
      <c r="C68" s="80"/>
      <c r="D68" s="625">
        <v>0</v>
      </c>
      <c r="E68" s="85"/>
      <c r="F68" s="626">
        <f>'RBS - Risk Margin'!R62</f>
        <v>0</v>
      </c>
      <c r="G68" s="108"/>
      <c r="H68" s="109"/>
      <c r="I68" s="749"/>
      <c r="J68" s="750"/>
      <c r="K68" s="751"/>
      <c r="L68" s="53"/>
      <c r="M68" s="752"/>
      <c r="N68" s="53"/>
      <c r="O68" s="53"/>
      <c r="P68" s="53"/>
    </row>
    <row r="69" spans="1:16" ht="15.75" x14ac:dyDescent="0.25">
      <c r="A69" s="53"/>
      <c r="B69" s="106"/>
      <c r="C69" s="80"/>
      <c r="D69" s="85"/>
      <c r="E69" s="85"/>
      <c r="F69" s="85"/>
      <c r="G69" s="108"/>
      <c r="H69" s="109"/>
      <c r="I69" s="749"/>
      <c r="J69" s="750"/>
      <c r="K69" s="751"/>
      <c r="L69" s="53"/>
      <c r="M69" s="752"/>
      <c r="N69" s="53"/>
      <c r="O69" s="53"/>
      <c r="P69" s="53"/>
    </row>
    <row r="70" spans="1:16" ht="15.75" x14ac:dyDescent="0.25">
      <c r="A70" s="53"/>
      <c r="B70" s="106" t="s">
        <v>169</v>
      </c>
      <c r="C70" s="80"/>
      <c r="D70" s="626">
        <f>SUM(D67:D68)</f>
        <v>0</v>
      </c>
      <c r="E70" s="85"/>
      <c r="F70" s="626">
        <f>SUM(F67:F68)</f>
        <v>0</v>
      </c>
      <c r="G70" s="108"/>
      <c r="H70" s="109"/>
      <c r="I70" s="749"/>
      <c r="J70" s="750"/>
      <c r="K70" s="751"/>
      <c r="L70" s="53"/>
      <c r="M70" s="752"/>
      <c r="N70" s="53"/>
      <c r="O70" s="53"/>
      <c r="P70" s="53"/>
    </row>
    <row r="71" spans="1:16" ht="15.75" x14ac:dyDescent="0.25">
      <c r="A71" s="53"/>
      <c r="B71" s="106"/>
      <c r="C71" s="80"/>
      <c r="D71" s="85"/>
      <c r="E71" s="85"/>
      <c r="F71" s="85"/>
      <c r="G71" s="108"/>
      <c r="H71" s="109"/>
      <c r="I71" s="749"/>
      <c r="J71" s="750"/>
      <c r="K71" s="751"/>
      <c r="L71" s="53"/>
      <c r="M71" s="752"/>
      <c r="N71" s="53"/>
      <c r="O71" s="53"/>
      <c r="P71" s="53"/>
    </row>
    <row r="72" spans="1:16" ht="15.75" x14ac:dyDescent="0.25">
      <c r="A72" s="53"/>
      <c r="B72" s="107" t="s">
        <v>228</v>
      </c>
      <c r="C72" s="621"/>
      <c r="D72" s="627"/>
      <c r="E72" s="628"/>
      <c r="F72" s="627"/>
      <c r="G72" s="633"/>
      <c r="H72" s="109"/>
      <c r="I72" s="107"/>
      <c r="J72" s="622"/>
      <c r="K72" s="632"/>
      <c r="L72" s="53"/>
      <c r="M72" s="84"/>
      <c r="N72" s="53"/>
      <c r="O72" s="53"/>
      <c r="P72" s="53"/>
    </row>
    <row r="73" spans="1:16" ht="15.75" x14ac:dyDescent="0.25">
      <c r="A73" s="53"/>
      <c r="B73" s="106"/>
      <c r="C73" s="80"/>
      <c r="D73" s="85"/>
      <c r="E73" s="85"/>
      <c r="F73" s="85"/>
      <c r="G73" s="108"/>
      <c r="H73" s="109"/>
      <c r="I73" s="749"/>
      <c r="J73" s="750"/>
      <c r="K73" s="751"/>
      <c r="L73" s="53"/>
      <c r="M73" s="752"/>
      <c r="N73" s="53"/>
      <c r="O73" s="334"/>
      <c r="P73" s="53"/>
    </row>
    <row r="74" spans="1:16" ht="15.75" x14ac:dyDescent="0.25">
      <c r="A74" s="53"/>
      <c r="B74" s="106" t="s">
        <v>218</v>
      </c>
      <c r="C74" s="80"/>
      <c r="D74" s="624">
        <v>0</v>
      </c>
      <c r="E74" s="85"/>
      <c r="F74" s="624">
        <v>0</v>
      </c>
      <c r="G74" s="108"/>
      <c r="H74" s="109"/>
      <c r="I74" s="749"/>
      <c r="J74" s="750"/>
      <c r="K74" s="751"/>
      <c r="L74" s="53"/>
      <c r="M74" s="87"/>
      <c r="N74" s="53"/>
      <c r="O74" s="334" t="str">
        <f>IF(OR(D74="",F74=""),"Incomplete","Complete")</f>
        <v>Complete</v>
      </c>
      <c r="P74" s="53"/>
    </row>
    <row r="75" spans="1:16" ht="15.75" x14ac:dyDescent="0.25">
      <c r="A75" s="53"/>
      <c r="B75" s="106" t="s">
        <v>219</v>
      </c>
      <c r="C75" s="80"/>
      <c r="D75" s="624">
        <v>0</v>
      </c>
      <c r="E75" s="85"/>
      <c r="F75" s="624">
        <v>0</v>
      </c>
      <c r="G75" s="108"/>
      <c r="H75" s="109"/>
      <c r="I75" s="749"/>
      <c r="J75" s="624">
        <v>0</v>
      </c>
      <c r="K75" s="751"/>
      <c r="L75" s="53"/>
      <c r="M75" s="87"/>
      <c r="N75" s="53"/>
      <c r="O75" s="334" t="str">
        <f>IF(OR(D75="",F75="",J75=""),"Incomplete","Complete")</f>
        <v>Complete</v>
      </c>
      <c r="P75" s="53"/>
    </row>
    <row r="76" spans="1:16" ht="15.75" x14ac:dyDescent="0.25">
      <c r="A76" s="53"/>
      <c r="B76" s="106" t="s">
        <v>220</v>
      </c>
      <c r="C76" s="80"/>
      <c r="D76" s="626">
        <f>SUM(D74:D75)</f>
        <v>0</v>
      </c>
      <c r="E76" s="85"/>
      <c r="F76" s="626">
        <f>SUM(F74:F75)</f>
        <v>0</v>
      </c>
      <c r="G76" s="108"/>
      <c r="H76" s="109"/>
      <c r="I76" s="749"/>
      <c r="J76" s="750"/>
      <c r="K76" s="753"/>
      <c r="L76" s="53"/>
      <c r="M76" s="752"/>
      <c r="N76" s="53"/>
      <c r="O76" s="53"/>
      <c r="P76" s="53"/>
    </row>
    <row r="77" spans="1:16" ht="15.75" x14ac:dyDescent="0.25">
      <c r="A77" s="53"/>
      <c r="B77" s="106" t="s">
        <v>221</v>
      </c>
      <c r="C77" s="80"/>
      <c r="D77" s="625">
        <v>0</v>
      </c>
      <c r="E77" s="85"/>
      <c r="F77" s="626">
        <f>'RBS - Risk Margin'!T62</f>
        <v>0</v>
      </c>
      <c r="G77" s="108"/>
      <c r="H77" s="109"/>
      <c r="I77" s="749"/>
      <c r="J77" s="750"/>
      <c r="K77" s="751"/>
      <c r="L77" s="53"/>
      <c r="M77" s="752"/>
      <c r="N77" s="53"/>
      <c r="O77" s="53"/>
      <c r="P77" s="53"/>
    </row>
    <row r="78" spans="1:16" ht="15.75" x14ac:dyDescent="0.25">
      <c r="A78" s="53"/>
      <c r="B78" s="106"/>
      <c r="C78" s="80"/>
      <c r="D78" s="85"/>
      <c r="E78" s="85"/>
      <c r="F78" s="85"/>
      <c r="G78" s="108"/>
      <c r="H78" s="109"/>
      <c r="I78" s="749"/>
      <c r="J78" s="750"/>
      <c r="K78" s="751"/>
      <c r="L78" s="53"/>
      <c r="M78" s="752"/>
      <c r="N78" s="53"/>
      <c r="O78" s="53"/>
      <c r="P78" s="53"/>
    </row>
    <row r="79" spans="1:16" ht="15.75" x14ac:dyDescent="0.25">
      <c r="A79" s="53"/>
      <c r="B79" s="106" t="s">
        <v>169</v>
      </c>
      <c r="C79" s="80"/>
      <c r="D79" s="626">
        <f>SUM(D76:D77)</f>
        <v>0</v>
      </c>
      <c r="E79" s="85"/>
      <c r="F79" s="626">
        <f>SUM(F76:F77)</f>
        <v>0</v>
      </c>
      <c r="G79" s="108"/>
      <c r="H79" s="109"/>
      <c r="I79" s="749"/>
      <c r="J79" s="750"/>
      <c r="K79" s="751"/>
      <c r="L79" s="53"/>
      <c r="M79" s="752"/>
      <c r="N79" s="53"/>
      <c r="O79" s="53"/>
      <c r="P79" s="53"/>
    </row>
    <row r="80" spans="1:16" ht="15.75" x14ac:dyDescent="0.25">
      <c r="A80" s="53"/>
      <c r="B80" s="106"/>
      <c r="C80" s="80"/>
      <c r="D80" s="80"/>
      <c r="E80" s="80"/>
      <c r="F80" s="80"/>
      <c r="G80" s="81"/>
      <c r="H80" s="53"/>
      <c r="I80" s="749"/>
      <c r="J80" s="750"/>
      <c r="K80" s="751"/>
      <c r="L80" s="53"/>
      <c r="M80" s="752"/>
      <c r="N80" s="53"/>
      <c r="O80" s="53"/>
      <c r="P80" s="53"/>
    </row>
    <row r="81" spans="1:16" ht="15.75" x14ac:dyDescent="0.25">
      <c r="A81" s="53"/>
      <c r="B81" s="107" t="s">
        <v>229</v>
      </c>
      <c r="C81" s="621"/>
      <c r="D81" s="627"/>
      <c r="E81" s="628"/>
      <c r="F81" s="627"/>
      <c r="G81" s="633"/>
      <c r="H81" s="109"/>
      <c r="I81" s="107"/>
      <c r="J81" s="622"/>
      <c r="K81" s="632"/>
      <c r="L81" s="53"/>
      <c r="M81" s="84"/>
      <c r="N81" s="53"/>
      <c r="O81" s="53"/>
      <c r="P81" s="53"/>
    </row>
    <row r="82" spans="1:16" ht="15.75" x14ac:dyDescent="0.25">
      <c r="A82" s="53"/>
      <c r="B82" s="106"/>
      <c r="C82" s="80"/>
      <c r="D82" s="85"/>
      <c r="E82" s="85"/>
      <c r="F82" s="85"/>
      <c r="G82" s="108"/>
      <c r="H82" s="109"/>
      <c r="I82" s="749"/>
      <c r="J82" s="750"/>
      <c r="K82" s="751"/>
      <c r="L82" s="53"/>
      <c r="M82" s="752"/>
      <c r="N82" s="53"/>
      <c r="O82" s="53"/>
      <c r="P82" s="53"/>
    </row>
    <row r="83" spans="1:16" ht="15.75" x14ac:dyDescent="0.25">
      <c r="A83" s="53"/>
      <c r="B83" s="106" t="s">
        <v>218</v>
      </c>
      <c r="C83" s="80"/>
      <c r="D83" s="624">
        <v>0</v>
      </c>
      <c r="E83" s="85"/>
      <c r="F83" s="624">
        <v>0</v>
      </c>
      <c r="G83" s="108"/>
      <c r="H83" s="109"/>
      <c r="I83" s="749"/>
      <c r="J83" s="750"/>
      <c r="K83" s="751"/>
      <c r="L83" s="53"/>
      <c r="M83" s="87"/>
      <c r="N83" s="53"/>
      <c r="O83" s="334" t="str">
        <f>IF(OR(D83="",F83=""),"Incomplete","Complete")</f>
        <v>Complete</v>
      </c>
      <c r="P83" s="53"/>
    </row>
    <row r="84" spans="1:16" ht="15.75" x14ac:dyDescent="0.25">
      <c r="A84" s="53"/>
      <c r="B84" s="106" t="s">
        <v>219</v>
      </c>
      <c r="C84" s="80"/>
      <c r="D84" s="624">
        <v>0</v>
      </c>
      <c r="E84" s="85"/>
      <c r="F84" s="624">
        <v>0</v>
      </c>
      <c r="G84" s="108"/>
      <c r="H84" s="109"/>
      <c r="I84" s="749"/>
      <c r="J84" s="624">
        <v>0</v>
      </c>
      <c r="K84" s="751"/>
      <c r="L84" s="53"/>
      <c r="M84" s="87"/>
      <c r="N84" s="53"/>
      <c r="O84" s="334" t="str">
        <f>IF(OR(D84="",F84="",J84=""),"Incomplete","Complete")</f>
        <v>Complete</v>
      </c>
      <c r="P84" s="53"/>
    </row>
    <row r="85" spans="1:16" ht="15.75" x14ac:dyDescent="0.25">
      <c r="A85" s="53"/>
      <c r="B85" s="106" t="s">
        <v>220</v>
      </c>
      <c r="C85" s="80"/>
      <c r="D85" s="626">
        <f>SUM(D83:D84)</f>
        <v>0</v>
      </c>
      <c r="E85" s="85"/>
      <c r="F85" s="626">
        <f>SUM(F83:F84)</f>
        <v>0</v>
      </c>
      <c r="G85" s="108"/>
      <c r="H85" s="109"/>
      <c r="I85" s="749"/>
      <c r="J85" s="750"/>
      <c r="K85" s="751"/>
      <c r="L85" s="53"/>
      <c r="M85" s="752"/>
      <c r="N85" s="53"/>
      <c r="O85" s="53"/>
      <c r="P85" s="53"/>
    </row>
    <row r="86" spans="1:16" ht="15.75" x14ac:dyDescent="0.25">
      <c r="A86" s="53"/>
      <c r="B86" s="106" t="s">
        <v>221</v>
      </c>
      <c r="C86" s="80"/>
      <c r="D86" s="625">
        <v>0</v>
      </c>
      <c r="E86" s="85"/>
      <c r="F86" s="626">
        <f>'RBS - Risk Margin'!V62</f>
        <v>0</v>
      </c>
      <c r="G86" s="108"/>
      <c r="H86" s="109"/>
      <c r="I86" s="749"/>
      <c r="J86" s="750"/>
      <c r="K86" s="751"/>
      <c r="L86" s="53"/>
      <c r="M86" s="752"/>
      <c r="N86" s="53"/>
      <c r="O86" s="53"/>
      <c r="P86" s="53"/>
    </row>
    <row r="87" spans="1:16" ht="15.75" x14ac:dyDescent="0.25">
      <c r="A87" s="53"/>
      <c r="B87" s="106"/>
      <c r="C87" s="80"/>
      <c r="D87" s="85"/>
      <c r="E87" s="85"/>
      <c r="F87" s="85"/>
      <c r="G87" s="108"/>
      <c r="H87" s="109"/>
      <c r="I87" s="749"/>
      <c r="J87" s="750"/>
      <c r="K87" s="751"/>
      <c r="L87" s="53"/>
      <c r="M87" s="752"/>
      <c r="N87" s="53"/>
      <c r="O87" s="53"/>
      <c r="P87" s="53"/>
    </row>
    <row r="88" spans="1:16" ht="15.75" x14ac:dyDescent="0.25">
      <c r="A88" s="53"/>
      <c r="B88" s="106" t="s">
        <v>169</v>
      </c>
      <c r="C88" s="80"/>
      <c r="D88" s="626">
        <f>SUM(D85:D86)</f>
        <v>0</v>
      </c>
      <c r="E88" s="85"/>
      <c r="F88" s="626">
        <f>SUM(F85:F86)</f>
        <v>0</v>
      </c>
      <c r="G88" s="108"/>
      <c r="H88" s="109"/>
      <c r="I88" s="749"/>
      <c r="J88" s="750"/>
      <c r="K88" s="751"/>
      <c r="L88" s="53"/>
      <c r="M88" s="752"/>
      <c r="N88" s="53"/>
      <c r="O88" s="53"/>
      <c r="P88" s="53"/>
    </row>
    <row r="89" spans="1:16" ht="15.75" x14ac:dyDescent="0.25">
      <c r="A89" s="53"/>
      <c r="B89" s="106"/>
      <c r="C89" s="80"/>
      <c r="D89" s="85"/>
      <c r="E89" s="85"/>
      <c r="F89" s="85"/>
      <c r="G89" s="108"/>
      <c r="H89" s="109"/>
      <c r="I89" s="749"/>
      <c r="J89" s="750"/>
      <c r="K89" s="751"/>
      <c r="L89" s="53"/>
      <c r="M89" s="752"/>
      <c r="N89" s="53"/>
      <c r="O89" s="53"/>
      <c r="P89" s="53"/>
    </row>
    <row r="90" spans="1:16" ht="15.75" x14ac:dyDescent="0.25">
      <c r="A90" s="53"/>
      <c r="B90" s="107" t="s">
        <v>230</v>
      </c>
      <c r="C90" s="621"/>
      <c r="D90" s="627"/>
      <c r="E90" s="628"/>
      <c r="F90" s="627"/>
      <c r="G90" s="633"/>
      <c r="H90" s="109"/>
      <c r="I90" s="107"/>
      <c r="J90" s="622"/>
      <c r="K90" s="632"/>
      <c r="L90" s="53"/>
      <c r="M90" s="84"/>
      <c r="N90" s="53"/>
      <c r="O90" s="53"/>
      <c r="P90" s="53"/>
    </row>
    <row r="91" spans="1:16" ht="15.75" x14ac:dyDescent="0.25">
      <c r="A91" s="53"/>
      <c r="B91" s="106"/>
      <c r="C91" s="80"/>
      <c r="D91" s="85"/>
      <c r="E91" s="85"/>
      <c r="F91" s="85"/>
      <c r="G91" s="108"/>
      <c r="H91" s="109"/>
      <c r="I91" s="749"/>
      <c r="J91" s="750"/>
      <c r="K91" s="751"/>
      <c r="L91" s="53"/>
      <c r="M91" s="752"/>
      <c r="N91" s="53"/>
      <c r="O91" s="53"/>
      <c r="P91" s="53"/>
    </row>
    <row r="92" spans="1:16" ht="15.75" x14ac:dyDescent="0.25">
      <c r="A92" s="53"/>
      <c r="B92" s="106" t="s">
        <v>218</v>
      </c>
      <c r="C92" s="80"/>
      <c r="D92" s="624">
        <v>0</v>
      </c>
      <c r="E92" s="85"/>
      <c r="F92" s="624">
        <v>0</v>
      </c>
      <c r="G92" s="108"/>
      <c r="H92" s="109"/>
      <c r="I92" s="749"/>
      <c r="J92" s="750"/>
      <c r="K92" s="751"/>
      <c r="L92" s="53"/>
      <c r="M92" s="87"/>
      <c r="N92" s="53"/>
      <c r="O92" s="334" t="str">
        <f>IF(OR(D92="",F92=""),"Incomplete","Complete")</f>
        <v>Complete</v>
      </c>
      <c r="P92" s="53"/>
    </row>
    <row r="93" spans="1:16" ht="15.75" x14ac:dyDescent="0.25">
      <c r="A93" s="53"/>
      <c r="B93" s="106" t="s">
        <v>219</v>
      </c>
      <c r="C93" s="80"/>
      <c r="D93" s="624">
        <v>0</v>
      </c>
      <c r="E93" s="85"/>
      <c r="F93" s="624">
        <v>0</v>
      </c>
      <c r="G93" s="108"/>
      <c r="H93" s="109"/>
      <c r="I93" s="749"/>
      <c r="J93" s="624">
        <v>0</v>
      </c>
      <c r="K93" s="751"/>
      <c r="L93" s="53"/>
      <c r="M93" s="87"/>
      <c r="N93" s="53"/>
      <c r="O93" s="334" t="str">
        <f>IF(OR(D93="",F93="",J93=""),"Incomplete","Complete")</f>
        <v>Complete</v>
      </c>
      <c r="P93" s="53"/>
    </row>
    <row r="94" spans="1:16" ht="15.75" x14ac:dyDescent="0.25">
      <c r="A94" s="53"/>
      <c r="B94" s="106" t="s">
        <v>220</v>
      </c>
      <c r="C94" s="80"/>
      <c r="D94" s="626">
        <f>SUM(D92:D93)</f>
        <v>0</v>
      </c>
      <c r="E94" s="85"/>
      <c r="F94" s="626">
        <f>SUM(F92:F93)</f>
        <v>0</v>
      </c>
      <c r="G94" s="108"/>
      <c r="H94" s="109"/>
      <c r="I94" s="749"/>
      <c r="J94" s="750"/>
      <c r="K94" s="751"/>
      <c r="L94" s="53"/>
      <c r="M94" s="752"/>
      <c r="N94" s="53"/>
      <c r="O94" s="53"/>
      <c r="P94" s="53"/>
    </row>
    <row r="95" spans="1:16" ht="15.75" x14ac:dyDescent="0.25">
      <c r="A95" s="53"/>
      <c r="B95" s="106" t="s">
        <v>221</v>
      </c>
      <c r="C95" s="80"/>
      <c r="D95" s="625">
        <v>0</v>
      </c>
      <c r="E95" s="85"/>
      <c r="F95" s="626">
        <f>'RBS - Risk Margin'!X62</f>
        <v>0</v>
      </c>
      <c r="G95" s="108"/>
      <c r="H95" s="109"/>
      <c r="I95" s="749"/>
      <c r="J95" s="750"/>
      <c r="K95" s="751"/>
      <c r="L95" s="53"/>
      <c r="M95" s="752"/>
      <c r="N95" s="53"/>
      <c r="O95" s="53"/>
      <c r="P95" s="53"/>
    </row>
    <row r="96" spans="1:16" ht="15.75" x14ac:dyDescent="0.25">
      <c r="A96" s="53"/>
      <c r="B96" s="106"/>
      <c r="C96" s="80"/>
      <c r="D96" s="80"/>
      <c r="E96" s="80"/>
      <c r="F96" s="80"/>
      <c r="G96" s="81"/>
      <c r="H96" s="53"/>
      <c r="I96" s="749"/>
      <c r="J96" s="750"/>
      <c r="K96" s="751"/>
      <c r="L96" s="53"/>
      <c r="M96" s="752"/>
      <c r="N96" s="53"/>
      <c r="O96" s="53"/>
      <c r="P96" s="53"/>
    </row>
    <row r="97" spans="1:16" ht="15.75" x14ac:dyDescent="0.25">
      <c r="A97" s="53"/>
      <c r="B97" s="106" t="s">
        <v>169</v>
      </c>
      <c r="C97" s="80"/>
      <c r="D97" s="626">
        <f>SUM(D94:D95)</f>
        <v>0</v>
      </c>
      <c r="E97" s="85"/>
      <c r="F97" s="626">
        <f>SUM(F94:F95)</f>
        <v>0</v>
      </c>
      <c r="G97" s="108"/>
      <c r="H97" s="109"/>
      <c r="I97" s="749"/>
      <c r="J97" s="750"/>
      <c r="K97" s="751"/>
      <c r="L97" s="53"/>
      <c r="M97" s="752"/>
      <c r="N97" s="53"/>
      <c r="O97" s="53"/>
      <c r="P97" s="53"/>
    </row>
    <row r="98" spans="1:16" ht="15.75" x14ac:dyDescent="0.25">
      <c r="A98" s="53"/>
      <c r="B98" s="106"/>
      <c r="C98" s="80"/>
      <c r="D98" s="85"/>
      <c r="E98" s="85"/>
      <c r="F98" s="85"/>
      <c r="G98" s="108"/>
      <c r="H98" s="109"/>
      <c r="I98" s="749"/>
      <c r="J98" s="750"/>
      <c r="K98" s="751"/>
      <c r="L98" s="53"/>
      <c r="M98" s="752"/>
      <c r="N98" s="53"/>
      <c r="O98" s="53"/>
      <c r="P98" s="53"/>
    </row>
    <row r="99" spans="1:16" ht="15.75" x14ac:dyDescent="0.25">
      <c r="A99" s="53"/>
      <c r="B99" s="107" t="s">
        <v>231</v>
      </c>
      <c r="C99" s="621"/>
      <c r="D99" s="627"/>
      <c r="E99" s="628"/>
      <c r="F99" s="627"/>
      <c r="G99" s="633"/>
      <c r="H99" s="109"/>
      <c r="I99" s="107"/>
      <c r="J99" s="622"/>
      <c r="K99" s="632"/>
      <c r="L99" s="53"/>
      <c r="M99" s="84"/>
      <c r="N99" s="53"/>
      <c r="O99" s="53"/>
      <c r="P99" s="53"/>
    </row>
    <row r="100" spans="1:16" ht="15.75" x14ac:dyDescent="0.25">
      <c r="A100" s="53"/>
      <c r="B100" s="106"/>
      <c r="C100" s="80"/>
      <c r="D100" s="85"/>
      <c r="E100" s="85"/>
      <c r="F100" s="85"/>
      <c r="G100" s="108"/>
      <c r="H100" s="109"/>
      <c r="I100" s="749"/>
      <c r="J100" s="750"/>
      <c r="K100" s="751"/>
      <c r="L100" s="53"/>
      <c r="M100" s="752"/>
      <c r="N100" s="53"/>
      <c r="O100" s="53"/>
      <c r="P100" s="53"/>
    </row>
    <row r="101" spans="1:16" ht="15.75" x14ac:dyDescent="0.25">
      <c r="A101" s="53"/>
      <c r="B101" s="106" t="s">
        <v>218</v>
      </c>
      <c r="C101" s="80"/>
      <c r="D101" s="624">
        <v>0</v>
      </c>
      <c r="E101" s="85"/>
      <c r="F101" s="624">
        <v>0</v>
      </c>
      <c r="G101" s="108"/>
      <c r="H101" s="109"/>
      <c r="I101" s="749"/>
      <c r="J101" s="750"/>
      <c r="K101" s="751"/>
      <c r="L101" s="53"/>
      <c r="M101" s="87"/>
      <c r="N101" s="53"/>
      <c r="O101" s="334" t="str">
        <f>IF(OR(D101="",F101=""),"Incomplete","Complete")</f>
        <v>Complete</v>
      </c>
      <c r="P101" s="53"/>
    </row>
    <row r="102" spans="1:16" ht="15.75" x14ac:dyDescent="0.25">
      <c r="A102" s="53"/>
      <c r="B102" s="106" t="s">
        <v>219</v>
      </c>
      <c r="C102" s="80"/>
      <c r="D102" s="624">
        <v>0</v>
      </c>
      <c r="E102" s="85"/>
      <c r="F102" s="624">
        <v>0</v>
      </c>
      <c r="G102" s="108"/>
      <c r="H102" s="109"/>
      <c r="I102" s="749"/>
      <c r="J102" s="624">
        <v>0</v>
      </c>
      <c r="K102" s="751"/>
      <c r="L102" s="53"/>
      <c r="M102" s="87"/>
      <c r="N102" s="53"/>
      <c r="O102" s="334" t="str">
        <f>IF(OR(D102="",F102="",J102=""),"Incomplete","Complete")</f>
        <v>Complete</v>
      </c>
      <c r="P102" s="53"/>
    </row>
    <row r="103" spans="1:16" ht="15.75" x14ac:dyDescent="0.25">
      <c r="A103" s="53"/>
      <c r="B103" s="106" t="s">
        <v>220</v>
      </c>
      <c r="C103" s="80"/>
      <c r="D103" s="626">
        <f>SUM(D101:D102)</f>
        <v>0</v>
      </c>
      <c r="E103" s="85"/>
      <c r="F103" s="626">
        <f>SUM(F101:F102)</f>
        <v>0</v>
      </c>
      <c r="G103" s="108"/>
      <c r="H103" s="109"/>
      <c r="I103" s="749"/>
      <c r="J103" s="750"/>
      <c r="K103" s="751"/>
      <c r="L103" s="53"/>
      <c r="M103" s="752"/>
      <c r="N103" s="53"/>
      <c r="O103" s="53"/>
      <c r="P103" s="53"/>
    </row>
    <row r="104" spans="1:16" ht="15.75" x14ac:dyDescent="0.25">
      <c r="A104" s="53"/>
      <c r="B104" s="106" t="s">
        <v>221</v>
      </c>
      <c r="C104" s="80"/>
      <c r="D104" s="625">
        <v>0</v>
      </c>
      <c r="E104" s="85"/>
      <c r="F104" s="626">
        <f>'RBS - Risk Margin'!Z62</f>
        <v>0</v>
      </c>
      <c r="G104" s="108"/>
      <c r="H104" s="109"/>
      <c r="I104" s="749"/>
      <c r="J104" s="750"/>
      <c r="K104" s="751"/>
      <c r="L104" s="53"/>
      <c r="M104" s="752"/>
      <c r="N104" s="53"/>
      <c r="O104" s="53"/>
      <c r="P104" s="53"/>
    </row>
    <row r="105" spans="1:16" ht="15.75" x14ac:dyDescent="0.25">
      <c r="A105" s="53"/>
      <c r="B105" s="106"/>
      <c r="C105" s="80"/>
      <c r="D105" s="85"/>
      <c r="E105" s="85"/>
      <c r="F105" s="85"/>
      <c r="G105" s="108"/>
      <c r="H105" s="109"/>
      <c r="I105" s="749"/>
      <c r="J105" s="750"/>
      <c r="K105" s="751"/>
      <c r="L105" s="53"/>
      <c r="M105" s="752"/>
      <c r="N105" s="53"/>
      <c r="O105" s="53"/>
      <c r="P105" s="53"/>
    </row>
    <row r="106" spans="1:16" ht="15.75" x14ac:dyDescent="0.25">
      <c r="A106" s="53"/>
      <c r="B106" s="106" t="s">
        <v>169</v>
      </c>
      <c r="C106" s="80"/>
      <c r="D106" s="626">
        <f>SUM(D103:D104)</f>
        <v>0</v>
      </c>
      <c r="E106" s="85"/>
      <c r="F106" s="626">
        <f>SUM(F103:F104)</f>
        <v>0</v>
      </c>
      <c r="G106" s="108"/>
      <c r="H106" s="109"/>
      <c r="I106" s="749"/>
      <c r="J106" s="750"/>
      <c r="K106" s="751"/>
      <c r="L106" s="53"/>
      <c r="M106" s="752"/>
      <c r="N106" s="53"/>
      <c r="O106" s="53"/>
      <c r="P106" s="53"/>
    </row>
    <row r="107" spans="1:16" ht="15.75" x14ac:dyDescent="0.25">
      <c r="A107" s="53"/>
      <c r="B107" s="106"/>
      <c r="C107" s="80"/>
      <c r="D107" s="85"/>
      <c r="E107" s="85"/>
      <c r="F107" s="85"/>
      <c r="G107" s="108"/>
      <c r="H107" s="109"/>
      <c r="I107" s="749"/>
      <c r="J107" s="750"/>
      <c r="K107" s="751"/>
      <c r="L107" s="53"/>
      <c r="M107" s="752"/>
      <c r="N107" s="53"/>
      <c r="O107" s="53"/>
      <c r="P107" s="53"/>
    </row>
    <row r="108" spans="1:16" ht="15.75" x14ac:dyDescent="0.25">
      <c r="A108" s="53"/>
      <c r="B108" s="107" t="s">
        <v>232</v>
      </c>
      <c r="C108" s="621"/>
      <c r="D108" s="627"/>
      <c r="E108" s="628"/>
      <c r="F108" s="627"/>
      <c r="G108" s="633"/>
      <c r="H108" s="109"/>
      <c r="I108" s="107"/>
      <c r="J108" s="622"/>
      <c r="K108" s="632"/>
      <c r="L108" s="53"/>
      <c r="M108" s="84"/>
      <c r="N108" s="53"/>
      <c r="O108" s="53"/>
      <c r="P108" s="53"/>
    </row>
    <row r="109" spans="1:16" ht="15.75" x14ac:dyDescent="0.25">
      <c r="A109" s="53"/>
      <c r="B109" s="106"/>
      <c r="C109" s="80"/>
      <c r="D109" s="85"/>
      <c r="E109" s="85"/>
      <c r="F109" s="85"/>
      <c r="G109" s="108"/>
      <c r="H109" s="109"/>
      <c r="I109" s="749"/>
      <c r="J109" s="750"/>
      <c r="K109" s="751"/>
      <c r="L109" s="53"/>
      <c r="M109" s="752"/>
      <c r="N109" s="53"/>
      <c r="O109" s="53"/>
      <c r="P109" s="53"/>
    </row>
    <row r="110" spans="1:16" ht="15.75" x14ac:dyDescent="0.25">
      <c r="A110" s="53"/>
      <c r="B110" s="106" t="s">
        <v>218</v>
      </c>
      <c r="C110" s="80"/>
      <c r="D110" s="624">
        <v>0</v>
      </c>
      <c r="E110" s="85"/>
      <c r="F110" s="624">
        <v>0</v>
      </c>
      <c r="G110" s="108"/>
      <c r="H110" s="109"/>
      <c r="I110" s="749"/>
      <c r="J110" s="750"/>
      <c r="K110" s="751"/>
      <c r="L110" s="53"/>
      <c r="M110" s="87"/>
      <c r="N110" s="53"/>
      <c r="O110" s="334" t="str">
        <f>IF(OR(D110="",F110=""),"Incomplete","Complete")</f>
        <v>Complete</v>
      </c>
      <c r="P110" s="53"/>
    </row>
    <row r="111" spans="1:16" ht="15.75" x14ac:dyDescent="0.25">
      <c r="A111" s="53"/>
      <c r="B111" s="106" t="s">
        <v>219</v>
      </c>
      <c r="C111" s="80"/>
      <c r="D111" s="624">
        <v>0</v>
      </c>
      <c r="E111" s="85"/>
      <c r="F111" s="624">
        <v>0</v>
      </c>
      <c r="G111" s="108"/>
      <c r="H111" s="109"/>
      <c r="I111" s="749"/>
      <c r="J111" s="624">
        <v>0</v>
      </c>
      <c r="K111" s="751"/>
      <c r="L111" s="53"/>
      <c r="M111" s="87"/>
      <c r="N111" s="53"/>
      <c r="O111" s="334" t="str">
        <f>IF(OR(D111="",F111="",J111=""),"Incomplete","Complete")</f>
        <v>Complete</v>
      </c>
      <c r="P111" s="53"/>
    </row>
    <row r="112" spans="1:16" ht="15.75" x14ac:dyDescent="0.25">
      <c r="A112" s="53"/>
      <c r="B112" s="106" t="s">
        <v>220</v>
      </c>
      <c r="C112" s="80"/>
      <c r="D112" s="626">
        <f>SUM(D110:D111)</f>
        <v>0</v>
      </c>
      <c r="E112" s="85"/>
      <c r="F112" s="626">
        <f>SUM(F110:F111)</f>
        <v>0</v>
      </c>
      <c r="G112" s="108"/>
      <c r="H112" s="109"/>
      <c r="I112" s="749"/>
      <c r="J112" s="750"/>
      <c r="K112" s="751"/>
      <c r="L112" s="53"/>
      <c r="M112" s="752"/>
      <c r="N112" s="53"/>
      <c r="O112" s="53"/>
      <c r="P112" s="53"/>
    </row>
    <row r="113" spans="1:16" ht="15.75" x14ac:dyDescent="0.25">
      <c r="A113" s="53"/>
      <c r="B113" s="106" t="s">
        <v>221</v>
      </c>
      <c r="C113" s="80"/>
      <c r="D113" s="717">
        <v>0</v>
      </c>
      <c r="E113" s="85"/>
      <c r="F113" s="718">
        <f>'RBS - Risk Margin'!AB62</f>
        <v>0</v>
      </c>
      <c r="G113" s="108"/>
      <c r="H113" s="109"/>
      <c r="I113" s="749"/>
      <c r="J113" s="750"/>
      <c r="K113" s="751"/>
      <c r="L113" s="53"/>
      <c r="M113" s="752"/>
      <c r="N113" s="53"/>
      <c r="O113" s="53"/>
      <c r="P113" s="53"/>
    </row>
    <row r="114" spans="1:16" ht="15.75" x14ac:dyDescent="0.25">
      <c r="A114" s="53"/>
      <c r="B114" s="106"/>
      <c r="C114" s="80"/>
      <c r="D114" s="85"/>
      <c r="E114" s="85"/>
      <c r="F114" s="85"/>
      <c r="G114" s="108"/>
      <c r="H114" s="109"/>
      <c r="I114" s="749"/>
      <c r="J114" s="750"/>
      <c r="K114" s="751"/>
      <c r="L114" s="53"/>
      <c r="M114" s="752"/>
      <c r="N114" s="53"/>
      <c r="O114" s="53"/>
      <c r="P114" s="53"/>
    </row>
    <row r="115" spans="1:16" ht="15.75" x14ac:dyDescent="0.25">
      <c r="A115" s="53"/>
      <c r="B115" s="106" t="s">
        <v>169</v>
      </c>
      <c r="C115" s="80"/>
      <c r="D115" s="718">
        <f>SUM(D112:D113)</f>
        <v>0</v>
      </c>
      <c r="E115" s="85"/>
      <c r="F115" s="718">
        <f>SUM(F112:F113)</f>
        <v>0</v>
      </c>
      <c r="G115" s="108"/>
      <c r="H115" s="109"/>
      <c r="I115" s="749"/>
      <c r="J115" s="750"/>
      <c r="K115" s="751"/>
      <c r="L115" s="53"/>
      <c r="M115" s="752"/>
      <c r="N115" s="53"/>
      <c r="O115" s="53"/>
      <c r="P115" s="53"/>
    </row>
    <row r="116" spans="1:16" ht="15.75" x14ac:dyDescent="0.25">
      <c r="A116" s="53"/>
      <c r="B116" s="106"/>
      <c r="C116" s="80"/>
      <c r="D116" s="85"/>
      <c r="E116" s="85"/>
      <c r="F116" s="85"/>
      <c r="G116" s="108"/>
      <c r="H116" s="109"/>
      <c r="I116" s="749"/>
      <c r="J116" s="750"/>
      <c r="K116" s="751"/>
      <c r="L116" s="53"/>
      <c r="M116" s="752"/>
      <c r="N116" s="53"/>
      <c r="O116" s="53"/>
      <c r="P116" s="53"/>
    </row>
    <row r="117" spans="1:16" ht="16.5" thickBot="1" x14ac:dyDescent="0.3">
      <c r="A117" s="53"/>
      <c r="B117" s="107" t="s">
        <v>233</v>
      </c>
      <c r="C117" s="719"/>
      <c r="D117" s="720"/>
      <c r="E117" s="721"/>
      <c r="F117" s="720"/>
      <c r="G117" s="722"/>
      <c r="H117" s="109"/>
      <c r="I117" s="723"/>
      <c r="J117" s="724"/>
      <c r="K117" s="716"/>
      <c r="L117" s="53"/>
      <c r="M117" s="84"/>
      <c r="N117" s="53"/>
      <c r="O117" s="53"/>
      <c r="P117" s="53"/>
    </row>
    <row r="118" spans="1:16" ht="15.75" x14ac:dyDescent="0.25">
      <c r="A118" s="53"/>
      <c r="B118" s="106"/>
      <c r="C118" s="80"/>
      <c r="D118" s="85"/>
      <c r="E118" s="85"/>
      <c r="F118" s="85"/>
      <c r="G118" s="108"/>
      <c r="H118" s="109"/>
      <c r="I118" s="106"/>
      <c r="J118" s="80"/>
      <c r="K118" s="81"/>
      <c r="L118" s="53"/>
      <c r="M118" s="752"/>
      <c r="N118" s="53"/>
      <c r="O118" s="53"/>
      <c r="P118" s="53"/>
    </row>
    <row r="119" spans="1:16" ht="15.75" x14ac:dyDescent="0.25">
      <c r="A119" s="53"/>
      <c r="B119" s="106" t="s">
        <v>209</v>
      </c>
      <c r="C119" s="80"/>
      <c r="D119" s="718">
        <f>SUM(Acc_TP_1,Acc_TP_2,Acc_TP_3,Acc_TP_4,Acc_TP_5,Acc_TP_6,Acc_TP_7,Acc_TP_8,Acc_TP_9,Acc_TP_10,Acc_TP_11,Acc_TP_12)</f>
        <v>0</v>
      </c>
      <c r="E119" s="85"/>
      <c r="F119" s="718">
        <f>SUM(Reg_TP_1_10,Reg_TP_2_10,Reg_TP_3_10,Reg_TP_4_10,Reg_TP_5_10,Reg_TP_6_10,Reg_TP_7_10,Reg_TP_8_10,Reg_TP_9_10,Reg_TP_10_10,Reg_TP_11_10,Reg_TP_12_10)</f>
        <v>0</v>
      </c>
      <c r="G119" s="108"/>
      <c r="H119" s="109"/>
      <c r="I119" s="106"/>
      <c r="J119" s="725">
        <f>J111+J102+J93+J84+J75+J66+J57+J48+J39+J30+J21+J12</f>
        <v>0</v>
      </c>
      <c r="K119" s="81"/>
      <c r="L119" s="53"/>
      <c r="M119" s="87"/>
      <c r="N119" s="53"/>
      <c r="O119" s="53"/>
      <c r="P119" s="53"/>
    </row>
    <row r="120" spans="1:16" ht="16.5" thickBot="1" x14ac:dyDescent="0.3">
      <c r="A120" s="53"/>
      <c r="B120" s="110"/>
      <c r="C120" s="93"/>
      <c r="D120" s="93"/>
      <c r="E120" s="93"/>
      <c r="F120" s="93"/>
      <c r="G120" s="94"/>
      <c r="H120" s="53"/>
      <c r="I120" s="110"/>
      <c r="J120" s="93"/>
      <c r="K120" s="94"/>
      <c r="L120" s="53"/>
      <c r="M120" s="754"/>
      <c r="N120" s="53"/>
      <c r="O120" s="53"/>
      <c r="P120" s="53"/>
    </row>
    <row r="121" spans="1:16" ht="15.75" x14ac:dyDescent="0.25">
      <c r="A121" s="53"/>
      <c r="B121" s="53"/>
      <c r="C121" s="53"/>
      <c r="D121" s="53"/>
      <c r="E121" s="53"/>
      <c r="F121" s="53"/>
      <c r="G121" s="53"/>
      <c r="H121" s="53"/>
      <c r="I121" s="53"/>
      <c r="J121" s="53"/>
      <c r="K121" s="53"/>
      <c r="L121" s="53"/>
      <c r="M121" s="53"/>
      <c r="N121" s="53"/>
      <c r="O121" s="53"/>
      <c r="P121" s="53"/>
    </row>
    <row r="122" spans="1:16" ht="15.75" x14ac:dyDescent="0.25">
      <c r="A122" s="53"/>
      <c r="B122" s="53"/>
      <c r="C122" s="53"/>
      <c r="D122" s="53"/>
      <c r="E122" s="53"/>
      <c r="F122" s="53"/>
      <c r="G122" s="53"/>
      <c r="H122" s="53"/>
      <c r="I122" s="53"/>
      <c r="J122" s="53"/>
      <c r="K122" s="53"/>
      <c r="L122" s="53"/>
      <c r="M122" s="53"/>
      <c r="N122" s="53"/>
      <c r="O122" s="53"/>
      <c r="P122" s="53"/>
    </row>
    <row r="123" spans="1:16" ht="15.75" x14ac:dyDescent="0.25">
      <c r="A123" s="53"/>
      <c r="B123" s="53"/>
      <c r="C123" s="53"/>
      <c r="D123" s="53"/>
      <c r="E123" s="53"/>
      <c r="F123" s="53"/>
      <c r="G123" s="53"/>
      <c r="H123" s="53"/>
      <c r="I123" s="53"/>
      <c r="J123" s="53"/>
      <c r="K123" s="53"/>
      <c r="L123" s="53"/>
      <c r="M123" s="53"/>
      <c r="N123" s="53"/>
      <c r="O123" s="53"/>
      <c r="P123" s="53"/>
    </row>
    <row r="124" spans="1:16" ht="15.75" x14ac:dyDescent="0.25">
      <c r="A124" s="53"/>
      <c r="B124" s="53"/>
      <c r="C124" s="53"/>
      <c r="D124" s="53"/>
      <c r="E124" s="53"/>
      <c r="F124" s="53"/>
      <c r="G124" s="53"/>
      <c r="H124" s="53"/>
      <c r="I124" s="53"/>
      <c r="J124" s="53"/>
      <c r="K124" s="53"/>
      <c r="L124" s="53"/>
      <c r="M124" s="53"/>
      <c r="N124" s="53"/>
      <c r="O124" s="53"/>
      <c r="P124" s="53"/>
    </row>
    <row r="125" spans="1:16" ht="15.75" x14ac:dyDescent="0.25">
      <c r="A125" s="53"/>
      <c r="B125" s="53"/>
      <c r="C125" s="53"/>
      <c r="D125" s="53"/>
      <c r="E125" s="53"/>
      <c r="F125" s="53"/>
      <c r="G125" s="53"/>
      <c r="H125" s="53"/>
      <c r="I125" s="53"/>
      <c r="J125" s="53"/>
      <c r="K125" s="53"/>
      <c r="L125" s="53"/>
      <c r="M125" s="53"/>
      <c r="N125" s="53"/>
      <c r="O125" s="53"/>
      <c r="P125" s="53"/>
    </row>
    <row r="126" spans="1:16" ht="15.75" x14ac:dyDescent="0.25">
      <c r="A126" s="53"/>
      <c r="B126" s="53"/>
      <c r="C126" s="53"/>
      <c r="D126" s="53"/>
      <c r="E126" s="53"/>
      <c r="F126" s="53"/>
      <c r="G126" s="53"/>
      <c r="H126" s="53"/>
      <c r="I126" s="53"/>
      <c r="J126" s="53"/>
      <c r="K126" s="53"/>
      <c r="L126" s="53"/>
      <c r="M126" s="53"/>
      <c r="N126" s="53"/>
      <c r="O126" s="53"/>
      <c r="P126" s="53"/>
    </row>
    <row r="127" spans="1:16" ht="15.75" x14ac:dyDescent="0.25">
      <c r="A127" s="53"/>
      <c r="B127" s="53"/>
      <c r="C127" s="53"/>
      <c r="D127" s="53"/>
      <c r="E127" s="53"/>
      <c r="F127" s="53"/>
      <c r="G127" s="53"/>
      <c r="H127" s="53"/>
      <c r="I127" s="53"/>
      <c r="J127" s="53"/>
      <c r="K127" s="53"/>
      <c r="L127" s="53"/>
      <c r="M127" s="53"/>
      <c r="N127" s="53"/>
      <c r="O127" s="53"/>
      <c r="P127" s="53"/>
    </row>
    <row r="128" spans="1:16" ht="15.75" x14ac:dyDescent="0.25">
      <c r="A128" s="53"/>
      <c r="B128" s="53"/>
      <c r="C128" s="53"/>
      <c r="D128" s="53"/>
      <c r="E128" s="53"/>
      <c r="F128" s="53"/>
      <c r="G128" s="53"/>
      <c r="H128" s="53"/>
      <c r="I128" s="53"/>
      <c r="J128" s="53"/>
      <c r="K128" s="53"/>
      <c r="L128" s="53"/>
      <c r="M128" s="53"/>
      <c r="N128" s="53"/>
      <c r="O128" s="53"/>
      <c r="P128" s="53"/>
    </row>
  </sheetData>
  <sheetProtection algorithmName="SHA-512" hashValue="kd/2Bq/qtE+1W7z5HzP5AolIi4BzhfPwEPxWBQAWjlPSzcgWnuymiqaOicTJnTlb6HeihrBg69U/djvg1Y/JlQ==" saltValue="ua47Jw7CxyI69RsmvIj33g==" spinCount="100000" sheet="1" objects="1" scenarios="1"/>
  <customSheetViews>
    <customSheetView guid="{5F9ED89D-ECFA-4459-A055-6360C65F3370}" scale="85" fitToPage="1" hiddenRows="1" hiddenColumns="1">
      <selection activeCell="D93" sqref="D93"/>
      <pageMargins left="0" right="0" top="0" bottom="0" header="0" footer="0"/>
      <pageSetup paperSize="9" scale="73" orientation="portrait" r:id="rId1"/>
      <headerFooter>
        <oddFooter>&amp;CDRAFT - FOR DISCUSSION PURPOSES ONLY</oddFooter>
      </headerFooter>
    </customSheetView>
  </customSheetViews>
  <mergeCells count="1">
    <mergeCell ref="C5:C6"/>
  </mergeCells>
  <conditionalFormatting sqref="M1 M3:M4 M121:M128">
    <cfRule type="cellIs" dxfId="799" priority="176" operator="equal">
      <formula>"ZERO"</formula>
    </cfRule>
  </conditionalFormatting>
  <conditionalFormatting sqref="M1:M4">
    <cfRule type="cellIs" dxfId="798" priority="166" operator="equal">
      <formula>"OK"</formula>
    </cfRule>
    <cfRule type="cellIs" dxfId="797" priority="167" operator="equal">
      <formula>"ERROR"</formula>
    </cfRule>
  </conditionalFormatting>
  <conditionalFormatting sqref="M121:M128">
    <cfRule type="cellIs" dxfId="796" priority="174" operator="equal">
      <formula>"OK"</formula>
    </cfRule>
    <cfRule type="cellIs" dxfId="795" priority="175" operator="equal">
      <formula>"ERROR"</formula>
    </cfRule>
  </conditionalFormatting>
  <conditionalFormatting sqref="O4">
    <cfRule type="cellIs" dxfId="794" priority="57" operator="equal">
      <formula>"Complete"</formula>
    </cfRule>
    <cfRule type="cellIs" dxfId="793" priority="58" operator="equal">
      <formula>"Incomplete"</formula>
    </cfRule>
  </conditionalFormatting>
  <conditionalFormatting sqref="O10:O12">
    <cfRule type="cellIs" dxfId="792" priority="55" operator="equal">
      <formula>"Complete"</formula>
    </cfRule>
    <cfRule type="cellIs" dxfId="791" priority="56" operator="equal">
      <formula>"Incomplete"</formula>
    </cfRule>
  </conditionalFormatting>
  <conditionalFormatting sqref="O20:O21">
    <cfRule type="cellIs" dxfId="790" priority="21" operator="equal">
      <formula>"Complete"</formula>
    </cfRule>
    <cfRule type="cellIs" dxfId="789" priority="22" operator="equal">
      <formula>"Incomplete"</formula>
    </cfRule>
  </conditionalFormatting>
  <conditionalFormatting sqref="O29:O30">
    <cfRule type="cellIs" dxfId="788" priority="19" operator="equal">
      <formula>"Complete"</formula>
    </cfRule>
    <cfRule type="cellIs" dxfId="787" priority="20" operator="equal">
      <formula>"Incomplete"</formula>
    </cfRule>
  </conditionalFormatting>
  <conditionalFormatting sqref="O38:O41">
    <cfRule type="cellIs" dxfId="786" priority="17" operator="equal">
      <formula>"Complete"</formula>
    </cfRule>
    <cfRule type="cellIs" dxfId="785" priority="18" operator="equal">
      <formula>"Incomplete"</formula>
    </cfRule>
  </conditionalFormatting>
  <conditionalFormatting sqref="O47:O49">
    <cfRule type="cellIs" dxfId="784" priority="15" operator="equal">
      <formula>"Complete"</formula>
    </cfRule>
    <cfRule type="cellIs" dxfId="783" priority="16" operator="equal">
      <formula>"Incomplete"</formula>
    </cfRule>
  </conditionalFormatting>
  <conditionalFormatting sqref="O56:O67">
    <cfRule type="cellIs" dxfId="782" priority="11" operator="equal">
      <formula>"Complete"</formula>
    </cfRule>
    <cfRule type="cellIs" dxfId="781" priority="12" operator="equal">
      <formula>"Incomplete"</formula>
    </cfRule>
  </conditionalFormatting>
  <conditionalFormatting sqref="O73:O75">
    <cfRule type="cellIs" dxfId="780" priority="9" operator="equal">
      <formula>"Complete"</formula>
    </cfRule>
    <cfRule type="cellIs" dxfId="779" priority="10" operator="equal">
      <formula>"Incomplete"</formula>
    </cfRule>
  </conditionalFormatting>
  <conditionalFormatting sqref="O83:O84">
    <cfRule type="cellIs" dxfId="778" priority="7" operator="equal">
      <formula>"Complete"</formula>
    </cfRule>
    <cfRule type="cellIs" dxfId="777" priority="8" operator="equal">
      <formula>"Incomplete"</formula>
    </cfRule>
  </conditionalFormatting>
  <conditionalFormatting sqref="O92:O93">
    <cfRule type="cellIs" dxfId="776" priority="5" operator="equal">
      <formula>"Complete"</formula>
    </cfRule>
    <cfRule type="cellIs" dxfId="775" priority="6" operator="equal">
      <formula>"Incomplete"</formula>
    </cfRule>
  </conditionalFormatting>
  <conditionalFormatting sqref="O101:O102">
    <cfRule type="cellIs" dxfId="774" priority="3" operator="equal">
      <formula>"Complete"</formula>
    </cfRule>
    <cfRule type="cellIs" dxfId="773" priority="4" operator="equal">
      <formula>"Incomplete"</formula>
    </cfRule>
  </conditionalFormatting>
  <conditionalFormatting sqref="O110:O111">
    <cfRule type="cellIs" dxfId="772" priority="1" operator="equal">
      <formula>"Complete"</formula>
    </cfRule>
    <cfRule type="cellIs" dxfId="771" priority="2" operator="equal">
      <formula>"Incomplete"</formula>
    </cfRule>
  </conditionalFormatting>
  <dataValidations count="7">
    <dataValidation allowBlank="1" showInputMessage="1" showErrorMessage="1" promptTitle="Regulatory basis" prompt="The value of technical provisions for QIS3 solvency purposes where the valuation of such items is defined in TS 1.3. Risk margins, where included, should be on a 1 in 10 basis. " sqref="K5" xr:uid="{00000000-0002-0000-0700-000000000000}"/>
    <dataValidation allowBlank="1" showErrorMessage="1" prompt="Input best estimate of amounts recoverable from reinsurance contracts and SPVS in respect of claims outstanding for each LOB, provided that these  meet the requirements of TS(10) 2.10.  Used in the reserve risk volume measures - see TS(10) 2.6.4." sqref="J6" xr:uid="{00000000-0002-0000-0700-000001000000}"/>
    <dataValidation allowBlank="1" showErrorMessage="1" promptTitle="Regulatory basis" prompt="The value of technical provisions in accordance with Part 2 of the regulations." sqref="F5:G5" xr:uid="{00000000-0002-0000-0700-000002000000}"/>
    <dataValidation allowBlank="1" showErrorMessage="1" promptTitle="Balance Sheet - Liabilities" prompt="See TS(10) 1.2. for valuation of technical provisions._x000a_See TS(10) 1.1. for valuation of &quot;Other liabilities&quot;." sqref="C5:C7" xr:uid="{00000000-0002-0000-0700-000003000000}"/>
    <dataValidation allowBlank="1" showInputMessage="1" showErrorMessage="1" prompt="Best estimate of amounts recoverable from reinsurance contracts and SPVS in respect of claims outstanding for each LOB. " sqref="J5" xr:uid="{00000000-0002-0000-0700-000004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F7 J7" xr:uid="{00000000-0002-0000-0700-000005000000}"/>
    <dataValidation allowBlank="1" showErrorMessage="1" sqref="B4" xr:uid="{00000000-0002-0000-0700-000006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00B050"/>
    <pageSetUpPr fitToPage="1"/>
  </sheetPr>
  <dimension ref="A1:Q166"/>
  <sheetViews>
    <sheetView workbookViewId="0"/>
  </sheetViews>
  <sheetFormatPr defaultColWidth="0" defaultRowHeight="14.25" zeroHeight="1" x14ac:dyDescent="0.2"/>
  <cols>
    <col min="1" max="1" width="1.875" customWidth="1"/>
    <col min="2" max="2" width="38.375" customWidth="1"/>
    <col min="3" max="3" width="2.375" customWidth="1"/>
    <col min="4" max="4" width="19.125" customWidth="1"/>
    <col min="5" max="5" width="1.875" customWidth="1"/>
    <col min="6" max="6" width="18.625" customWidth="1"/>
    <col min="7" max="9" width="1.875" customWidth="1"/>
    <col min="10" max="10" width="19.125" customWidth="1"/>
    <col min="11" max="12" width="1.875" customWidth="1"/>
    <col min="13" max="13" width="91.5" customWidth="1"/>
    <col min="14" max="14" width="1.875" customWidth="1"/>
    <col min="15" max="17" width="9" customWidth="1"/>
  </cols>
  <sheetData>
    <row r="1" spans="1:17" ht="15.75" x14ac:dyDescent="0.25">
      <c r="A1" s="59">
        <v>1</v>
      </c>
      <c r="B1" s="59">
        <v>1</v>
      </c>
      <c r="C1" s="60"/>
      <c r="D1" s="60"/>
      <c r="E1" s="60"/>
      <c r="F1" s="59"/>
      <c r="G1" s="59"/>
      <c r="H1" s="59"/>
      <c r="I1" s="59"/>
      <c r="J1" s="59"/>
      <c r="K1" s="59"/>
      <c r="L1" s="59"/>
      <c r="M1" s="60"/>
      <c r="N1" s="59"/>
      <c r="O1" s="60"/>
      <c r="P1" s="60"/>
      <c r="Q1" s="60"/>
    </row>
    <row r="2" spans="1:17" ht="27" customHeight="1" x14ac:dyDescent="0.25">
      <c r="A2" s="60"/>
      <c r="B2" s="60"/>
      <c r="C2" s="60"/>
      <c r="D2" s="60"/>
      <c r="E2" s="60"/>
      <c r="F2" s="52" t="s">
        <v>234</v>
      </c>
      <c r="G2" s="60"/>
      <c r="H2" s="60"/>
      <c r="I2" s="60"/>
      <c r="J2" s="60"/>
      <c r="K2" s="60"/>
      <c r="L2" s="60"/>
      <c r="M2" s="61"/>
      <c r="N2" s="60"/>
      <c r="O2" s="60"/>
      <c r="P2" s="60"/>
      <c r="Q2" s="60"/>
    </row>
    <row r="3" spans="1:17" ht="15.75" x14ac:dyDescent="0.25">
      <c r="A3" s="53"/>
      <c r="B3" s="53"/>
      <c r="C3" s="53"/>
      <c r="D3" s="53"/>
      <c r="E3" s="53"/>
      <c r="F3" s="53"/>
      <c r="G3" s="53"/>
      <c r="H3" s="53"/>
      <c r="I3" s="53"/>
      <c r="J3" s="53"/>
      <c r="K3" s="53"/>
      <c r="L3" s="53"/>
      <c r="M3" s="53"/>
      <c r="N3" s="53"/>
      <c r="O3" s="53"/>
      <c r="P3" s="53"/>
      <c r="Q3" s="53"/>
    </row>
    <row r="4" spans="1:17" ht="16.5" thickBot="1" x14ac:dyDescent="0.3">
      <c r="A4" s="53"/>
      <c r="B4" s="53"/>
      <c r="C4" s="53"/>
      <c r="D4" s="53"/>
      <c r="E4" s="53"/>
      <c r="F4" s="120"/>
      <c r="G4" s="53"/>
      <c r="H4" s="53"/>
      <c r="I4" s="53"/>
      <c r="J4" s="53"/>
      <c r="K4" s="53"/>
      <c r="L4" s="53"/>
      <c r="M4" s="53"/>
      <c r="N4" s="53"/>
      <c r="O4" s="334" t="str">
        <f>IF(COUNTIF(O10:O149,"Incomplete")&gt;0,"Incomplete","Complete")</f>
        <v>Complete</v>
      </c>
      <c r="P4" s="53"/>
      <c r="Q4" s="53"/>
    </row>
    <row r="5" spans="1:17" ht="47.25" x14ac:dyDescent="0.25">
      <c r="A5" s="53"/>
      <c r="B5" s="101" t="s">
        <v>235</v>
      </c>
      <c r="C5" s="833"/>
      <c r="D5" s="350" t="s">
        <v>213</v>
      </c>
      <c r="E5" s="70"/>
      <c r="F5" s="835" t="s">
        <v>236</v>
      </c>
      <c r="G5" s="836"/>
      <c r="H5" s="53"/>
      <c r="I5" s="112"/>
      <c r="J5" s="726" t="s">
        <v>215</v>
      </c>
      <c r="K5" s="727"/>
      <c r="L5" s="53"/>
      <c r="M5" s="72" t="s">
        <v>163</v>
      </c>
      <c r="N5" s="53"/>
      <c r="O5" s="53"/>
      <c r="P5" s="53"/>
      <c r="Q5" s="53"/>
    </row>
    <row r="6" spans="1:17" ht="15.75" x14ac:dyDescent="0.25">
      <c r="A6" s="53"/>
      <c r="B6" s="102"/>
      <c r="C6" s="834"/>
      <c r="D6" s="103"/>
      <c r="E6" s="104"/>
      <c r="F6" s="368" t="s">
        <v>216</v>
      </c>
      <c r="G6" s="105"/>
      <c r="H6" s="53"/>
      <c r="I6" s="113"/>
      <c r="J6" s="114"/>
      <c r="K6" s="115"/>
      <c r="L6" s="53"/>
      <c r="M6" s="118"/>
      <c r="N6" s="53"/>
      <c r="O6" s="53"/>
      <c r="P6" s="53"/>
      <c r="Q6" s="53"/>
    </row>
    <row r="7" spans="1:17" ht="16.5" thickBot="1" x14ac:dyDescent="0.3">
      <c r="A7" s="53"/>
      <c r="B7" s="354"/>
      <c r="C7" s="352"/>
      <c r="D7" s="75" t="s">
        <v>164</v>
      </c>
      <c r="E7" s="76"/>
      <c r="F7" s="75" t="s">
        <v>164</v>
      </c>
      <c r="G7" s="77"/>
      <c r="H7" s="53"/>
      <c r="I7" s="116"/>
      <c r="J7" s="75" t="s">
        <v>164</v>
      </c>
      <c r="K7" s="117"/>
      <c r="L7" s="53"/>
      <c r="M7" s="119"/>
      <c r="N7" s="53"/>
      <c r="O7" s="53"/>
      <c r="P7" s="53"/>
      <c r="Q7" s="53"/>
    </row>
    <row r="8" spans="1:17" ht="16.5" thickBot="1" x14ac:dyDescent="0.3">
      <c r="A8" s="53"/>
      <c r="B8" s="110"/>
      <c r="C8" s="93"/>
      <c r="D8" s="93"/>
      <c r="E8" s="93"/>
      <c r="F8" s="93"/>
      <c r="G8" s="94"/>
      <c r="H8" s="53"/>
      <c r="I8" s="758"/>
      <c r="J8" s="309"/>
      <c r="K8" s="751"/>
      <c r="L8" s="53"/>
      <c r="M8" s="757"/>
      <c r="N8" s="53"/>
      <c r="O8" s="53"/>
      <c r="P8" s="53"/>
      <c r="Q8" s="53"/>
    </row>
    <row r="9" spans="1:17" ht="15.75" x14ac:dyDescent="0.25">
      <c r="A9" s="53"/>
      <c r="B9" s="121" t="s">
        <v>237</v>
      </c>
      <c r="C9" s="122"/>
      <c r="D9" s="123"/>
      <c r="E9" s="122"/>
      <c r="F9" s="123"/>
      <c r="G9" s="124"/>
      <c r="H9" s="53"/>
      <c r="I9" s="107"/>
      <c r="J9" s="728"/>
      <c r="K9" s="729"/>
      <c r="L9" s="53"/>
      <c r="M9" s="84"/>
      <c r="N9" s="53"/>
      <c r="O9" s="53"/>
      <c r="P9" s="53"/>
      <c r="Q9" s="53"/>
    </row>
    <row r="10" spans="1:17" ht="15.75" x14ac:dyDescent="0.25">
      <c r="A10" s="53"/>
      <c r="B10" s="106"/>
      <c r="C10" s="80"/>
      <c r="D10" s="80"/>
      <c r="E10" s="80"/>
      <c r="F10" s="80"/>
      <c r="G10" s="81"/>
      <c r="H10" s="53"/>
      <c r="I10" s="749"/>
      <c r="J10" s="750"/>
      <c r="K10" s="751"/>
      <c r="L10" s="53"/>
      <c r="M10" s="752"/>
      <c r="N10" s="53"/>
      <c r="O10" s="334"/>
      <c r="P10" s="53"/>
      <c r="Q10" s="53"/>
    </row>
    <row r="11" spans="1:17" ht="15.75" x14ac:dyDescent="0.25">
      <c r="A11" s="53"/>
      <c r="B11" s="106" t="s">
        <v>218</v>
      </c>
      <c r="C11" s="80"/>
      <c r="D11" s="730">
        <v>0</v>
      </c>
      <c r="E11" s="85"/>
      <c r="F11" s="730">
        <v>0</v>
      </c>
      <c r="G11" s="108"/>
      <c r="H11" s="109"/>
      <c r="I11" s="749"/>
      <c r="J11" s="750"/>
      <c r="K11" s="751"/>
      <c r="L11" s="53"/>
      <c r="M11" s="87"/>
      <c r="N11" s="53"/>
      <c r="O11" s="334" t="str">
        <f>IF(OR(D11="",F11=""),"Incomplete","Complete")</f>
        <v>Complete</v>
      </c>
      <c r="P11" s="53"/>
      <c r="Q11" s="53"/>
    </row>
    <row r="12" spans="1:17" ht="15.75" x14ac:dyDescent="0.25">
      <c r="A12" s="53"/>
      <c r="B12" s="106" t="s">
        <v>219</v>
      </c>
      <c r="C12" s="80"/>
      <c r="D12" s="730">
        <v>0</v>
      </c>
      <c r="E12" s="85"/>
      <c r="F12" s="730">
        <v>0</v>
      </c>
      <c r="G12" s="108"/>
      <c r="H12" s="109"/>
      <c r="I12" s="749"/>
      <c r="J12" s="730">
        <v>0</v>
      </c>
      <c r="K12" s="751"/>
      <c r="L12" s="53"/>
      <c r="M12" s="87"/>
      <c r="N12" s="53"/>
      <c r="O12" s="334" t="str">
        <f>IF(OR(D12="",F12="",J12=""),"Incomplete","Complete")</f>
        <v>Complete</v>
      </c>
      <c r="P12" s="53"/>
      <c r="Q12" s="53"/>
    </row>
    <row r="13" spans="1:17" ht="15.75" x14ac:dyDescent="0.25">
      <c r="A13" s="53"/>
      <c r="B13" s="106" t="s">
        <v>220</v>
      </c>
      <c r="C13" s="80"/>
      <c r="D13" s="718">
        <f>SUM(D11:D12)</f>
        <v>0</v>
      </c>
      <c r="E13" s="85"/>
      <c r="F13" s="718">
        <f>SUM(F11:F12)</f>
        <v>0</v>
      </c>
      <c r="G13" s="108"/>
      <c r="H13" s="109"/>
      <c r="I13" s="749"/>
      <c r="J13" s="750"/>
      <c r="K13" s="751"/>
      <c r="L13" s="53"/>
      <c r="M13" s="752"/>
      <c r="N13" s="53"/>
      <c r="O13" s="53"/>
      <c r="P13" s="53"/>
      <c r="Q13" s="53"/>
    </row>
    <row r="14" spans="1:17" ht="15.75" x14ac:dyDescent="0.25">
      <c r="A14" s="53"/>
      <c r="B14" s="106" t="s">
        <v>221</v>
      </c>
      <c r="C14" s="80"/>
      <c r="D14" s="717">
        <v>0</v>
      </c>
      <c r="E14" s="85"/>
      <c r="F14" s="718">
        <f>'RBS - Risk Margin'!AD62</f>
        <v>0</v>
      </c>
      <c r="G14" s="108"/>
      <c r="H14" s="109"/>
      <c r="I14" s="749"/>
      <c r="J14" s="750"/>
      <c r="K14" s="751"/>
      <c r="L14" s="53"/>
      <c r="M14" s="752"/>
      <c r="N14" s="53"/>
      <c r="O14" s="53"/>
      <c r="P14" s="53"/>
      <c r="Q14" s="53"/>
    </row>
    <row r="15" spans="1:17" ht="15.75" x14ac:dyDescent="0.25">
      <c r="A15" s="53"/>
      <c r="B15" s="106"/>
      <c r="C15" s="80"/>
      <c r="D15" s="85"/>
      <c r="E15" s="85"/>
      <c r="F15" s="85"/>
      <c r="G15" s="108"/>
      <c r="H15" s="109"/>
      <c r="I15" s="749"/>
      <c r="J15" s="750"/>
      <c r="K15" s="751"/>
      <c r="L15" s="53"/>
      <c r="M15" s="752"/>
      <c r="N15" s="53"/>
      <c r="O15" s="53"/>
      <c r="P15" s="53"/>
      <c r="Q15" s="53"/>
    </row>
    <row r="16" spans="1:17" ht="15.75" x14ac:dyDescent="0.25">
      <c r="A16" s="53"/>
      <c r="B16" s="106" t="s">
        <v>169</v>
      </c>
      <c r="C16" s="80"/>
      <c r="D16" s="718">
        <f>SUM(D13:D14)</f>
        <v>0</v>
      </c>
      <c r="E16" s="85"/>
      <c r="F16" s="718">
        <f>SUM(F13:F14)</f>
        <v>0</v>
      </c>
      <c r="G16" s="108"/>
      <c r="H16" s="109"/>
      <c r="I16" s="749"/>
      <c r="J16" s="750"/>
      <c r="K16" s="751"/>
      <c r="L16" s="53"/>
      <c r="M16" s="752"/>
      <c r="N16" s="53"/>
      <c r="O16" s="53"/>
      <c r="P16" s="53"/>
      <c r="Q16" s="53"/>
    </row>
    <row r="17" spans="1:17" ht="15.75" x14ac:dyDescent="0.25">
      <c r="A17" s="53"/>
      <c r="B17" s="106"/>
      <c r="C17" s="80"/>
      <c r="D17" s="85"/>
      <c r="E17" s="85"/>
      <c r="F17" s="85"/>
      <c r="G17" s="108"/>
      <c r="H17" s="109"/>
      <c r="I17" s="749"/>
      <c r="J17" s="750"/>
      <c r="K17" s="751"/>
      <c r="L17" s="53"/>
      <c r="M17" s="752"/>
      <c r="N17" s="53"/>
      <c r="O17" s="53"/>
      <c r="P17" s="53"/>
      <c r="Q17" s="53"/>
    </row>
    <row r="18" spans="1:17" ht="15.75" x14ac:dyDescent="0.25">
      <c r="A18" s="53"/>
      <c r="B18" s="107" t="s">
        <v>238</v>
      </c>
      <c r="C18" s="719"/>
      <c r="D18" s="720"/>
      <c r="E18" s="721"/>
      <c r="F18" s="720"/>
      <c r="G18" s="722"/>
      <c r="H18" s="109"/>
      <c r="I18" s="107"/>
      <c r="J18" s="728"/>
      <c r="K18" s="729"/>
      <c r="L18" s="53"/>
      <c r="M18" s="84"/>
      <c r="N18" s="53"/>
      <c r="O18" s="53"/>
      <c r="P18" s="53"/>
      <c r="Q18" s="53"/>
    </row>
    <row r="19" spans="1:17" ht="15.75" x14ac:dyDescent="0.25">
      <c r="A19" s="53"/>
      <c r="B19" s="106"/>
      <c r="C19" s="80"/>
      <c r="D19" s="85"/>
      <c r="E19" s="85"/>
      <c r="F19" s="85"/>
      <c r="G19" s="108"/>
      <c r="H19" s="109"/>
      <c r="I19" s="749"/>
      <c r="J19" s="750"/>
      <c r="K19" s="751"/>
      <c r="L19" s="53"/>
      <c r="M19" s="752"/>
      <c r="N19" s="53"/>
      <c r="O19" s="53"/>
      <c r="P19" s="53"/>
      <c r="Q19" s="53"/>
    </row>
    <row r="20" spans="1:17" ht="15.75" x14ac:dyDescent="0.25">
      <c r="A20" s="53"/>
      <c r="B20" s="106" t="s">
        <v>218</v>
      </c>
      <c r="C20" s="80"/>
      <c r="D20" s="730">
        <v>0</v>
      </c>
      <c r="E20" s="85"/>
      <c r="F20" s="730">
        <v>0</v>
      </c>
      <c r="G20" s="108"/>
      <c r="H20" s="109"/>
      <c r="I20" s="749"/>
      <c r="J20" s="750"/>
      <c r="K20" s="751"/>
      <c r="L20" s="53"/>
      <c r="M20" s="87"/>
      <c r="N20" s="53"/>
      <c r="O20" s="334" t="str">
        <f>IF(OR(D20="",F20=""),"Incomplete","Complete")</f>
        <v>Complete</v>
      </c>
      <c r="P20" s="53"/>
      <c r="Q20" s="53"/>
    </row>
    <row r="21" spans="1:17" ht="15.75" x14ac:dyDescent="0.25">
      <c r="A21" s="53"/>
      <c r="B21" s="106" t="s">
        <v>219</v>
      </c>
      <c r="C21" s="80"/>
      <c r="D21" s="730">
        <v>0</v>
      </c>
      <c r="E21" s="85"/>
      <c r="F21" s="730">
        <v>0</v>
      </c>
      <c r="G21" s="108"/>
      <c r="H21" s="109"/>
      <c r="I21" s="749"/>
      <c r="J21" s="730">
        <v>0</v>
      </c>
      <c r="K21" s="751"/>
      <c r="L21" s="53"/>
      <c r="M21" s="87"/>
      <c r="N21" s="53"/>
      <c r="O21" s="334" t="str">
        <f>IF(OR(D21="",F21="",J21=""),"Incomplete","Complete")</f>
        <v>Complete</v>
      </c>
      <c r="P21" s="53"/>
      <c r="Q21" s="53"/>
    </row>
    <row r="22" spans="1:17" ht="15.75" x14ac:dyDescent="0.25">
      <c r="A22" s="53"/>
      <c r="B22" s="106" t="s">
        <v>220</v>
      </c>
      <c r="C22" s="80"/>
      <c r="D22" s="718">
        <f>SUM(D20:D21)</f>
        <v>0</v>
      </c>
      <c r="E22" s="85"/>
      <c r="F22" s="718">
        <f>SUM(F20:F21)</f>
        <v>0</v>
      </c>
      <c r="G22" s="108"/>
      <c r="H22" s="109"/>
      <c r="I22" s="749"/>
      <c r="J22" s="750"/>
      <c r="K22" s="751"/>
      <c r="L22" s="53"/>
      <c r="M22" s="752"/>
      <c r="N22" s="53"/>
      <c r="O22" s="53"/>
      <c r="P22" s="53"/>
      <c r="Q22" s="53"/>
    </row>
    <row r="23" spans="1:17" ht="15.75" x14ac:dyDescent="0.25">
      <c r="A23" s="53"/>
      <c r="B23" s="106" t="s">
        <v>221</v>
      </c>
      <c r="C23" s="80"/>
      <c r="D23" s="717">
        <v>0</v>
      </c>
      <c r="E23" s="85"/>
      <c r="F23" s="718">
        <f>'RBS - Risk Margin'!AF62</f>
        <v>0</v>
      </c>
      <c r="G23" s="108"/>
      <c r="H23" s="109"/>
      <c r="I23" s="749"/>
      <c r="J23" s="750"/>
      <c r="K23" s="751"/>
      <c r="L23" s="53"/>
      <c r="M23" s="752"/>
      <c r="N23" s="53"/>
      <c r="O23" s="53"/>
      <c r="P23" s="53"/>
      <c r="Q23" s="53"/>
    </row>
    <row r="24" spans="1:17" ht="15.75" x14ac:dyDescent="0.25">
      <c r="A24" s="53"/>
      <c r="B24" s="106"/>
      <c r="C24" s="80"/>
      <c r="D24" s="85"/>
      <c r="E24" s="85"/>
      <c r="F24" s="85"/>
      <c r="G24" s="108"/>
      <c r="H24" s="109"/>
      <c r="I24" s="749"/>
      <c r="J24" s="750"/>
      <c r="K24" s="751"/>
      <c r="L24" s="53"/>
      <c r="M24" s="752"/>
      <c r="N24" s="53"/>
      <c r="O24" s="53"/>
      <c r="P24" s="53"/>
      <c r="Q24" s="53"/>
    </row>
    <row r="25" spans="1:17" ht="15.75" x14ac:dyDescent="0.25">
      <c r="A25" s="53"/>
      <c r="B25" s="106" t="s">
        <v>169</v>
      </c>
      <c r="C25" s="80"/>
      <c r="D25" s="718">
        <f>SUM(D22:D23)</f>
        <v>0</v>
      </c>
      <c r="E25" s="85"/>
      <c r="F25" s="718">
        <f>SUM(F22:F23)</f>
        <v>0</v>
      </c>
      <c r="G25" s="108"/>
      <c r="H25" s="109"/>
      <c r="I25" s="749"/>
      <c r="J25" s="750"/>
      <c r="K25" s="751"/>
      <c r="L25" s="53"/>
      <c r="M25" s="752"/>
      <c r="N25" s="53"/>
      <c r="O25" s="53"/>
      <c r="P25" s="53"/>
      <c r="Q25" s="53"/>
    </row>
    <row r="26" spans="1:17" ht="15.75" x14ac:dyDescent="0.25">
      <c r="A26" s="53"/>
      <c r="B26" s="106"/>
      <c r="C26" s="80"/>
      <c r="D26" s="85"/>
      <c r="E26" s="85"/>
      <c r="F26" s="85"/>
      <c r="G26" s="108"/>
      <c r="H26" s="109"/>
      <c r="I26" s="749"/>
      <c r="J26" s="750"/>
      <c r="K26" s="751"/>
      <c r="L26" s="53"/>
      <c r="M26" s="752"/>
      <c r="N26" s="53"/>
      <c r="O26" s="53"/>
      <c r="P26" s="53"/>
      <c r="Q26" s="53"/>
    </row>
    <row r="27" spans="1:17" ht="15.75" x14ac:dyDescent="0.25">
      <c r="A27" s="53"/>
      <c r="B27" s="107" t="s">
        <v>239</v>
      </c>
      <c r="C27" s="719"/>
      <c r="D27" s="720"/>
      <c r="E27" s="721"/>
      <c r="F27" s="720"/>
      <c r="G27" s="722"/>
      <c r="H27" s="109"/>
      <c r="I27" s="107"/>
      <c r="J27" s="728"/>
      <c r="K27" s="729"/>
      <c r="L27" s="53"/>
      <c r="M27" s="84"/>
      <c r="N27" s="53"/>
      <c r="O27" s="53"/>
      <c r="P27" s="53"/>
      <c r="Q27" s="53"/>
    </row>
    <row r="28" spans="1:17" ht="15.75" x14ac:dyDescent="0.25">
      <c r="A28" s="53"/>
      <c r="B28" s="106"/>
      <c r="C28" s="80"/>
      <c r="D28" s="85"/>
      <c r="E28" s="85"/>
      <c r="F28" s="85"/>
      <c r="G28" s="108"/>
      <c r="H28" s="109"/>
      <c r="I28" s="749"/>
      <c r="J28" s="750"/>
      <c r="K28" s="751"/>
      <c r="L28" s="53"/>
      <c r="M28" s="752"/>
      <c r="N28" s="53"/>
      <c r="O28" s="53"/>
      <c r="P28" s="53"/>
      <c r="Q28" s="53"/>
    </row>
    <row r="29" spans="1:17" ht="15.75" x14ac:dyDescent="0.25">
      <c r="A29" s="53"/>
      <c r="B29" s="106" t="s">
        <v>218</v>
      </c>
      <c r="C29" s="80"/>
      <c r="D29" s="730">
        <v>0</v>
      </c>
      <c r="E29" s="85"/>
      <c r="F29" s="730">
        <v>0</v>
      </c>
      <c r="G29" s="108"/>
      <c r="H29" s="109"/>
      <c r="I29" s="749"/>
      <c r="J29" s="750"/>
      <c r="K29" s="751"/>
      <c r="L29" s="53"/>
      <c r="M29" s="87"/>
      <c r="N29" s="53"/>
      <c r="O29" s="334" t="str">
        <f>IF(OR(D29="",F29=""),"Incomplete","Complete")</f>
        <v>Complete</v>
      </c>
      <c r="P29" s="53"/>
      <c r="Q29" s="53"/>
    </row>
    <row r="30" spans="1:17" ht="15.75" x14ac:dyDescent="0.25">
      <c r="A30" s="53"/>
      <c r="B30" s="106" t="s">
        <v>219</v>
      </c>
      <c r="C30" s="80"/>
      <c r="D30" s="730">
        <v>0</v>
      </c>
      <c r="E30" s="85"/>
      <c r="F30" s="730">
        <v>0</v>
      </c>
      <c r="G30" s="108"/>
      <c r="H30" s="109"/>
      <c r="I30" s="749"/>
      <c r="J30" s="730">
        <v>0</v>
      </c>
      <c r="K30" s="751"/>
      <c r="L30" s="53"/>
      <c r="M30" s="87"/>
      <c r="N30" s="53"/>
      <c r="O30" s="334" t="str">
        <f>IF(OR(D30="",F30="",J30=""),"Incomplete","Complete")</f>
        <v>Complete</v>
      </c>
      <c r="P30" s="53"/>
      <c r="Q30" s="53"/>
    </row>
    <row r="31" spans="1:17" ht="15.75" x14ac:dyDescent="0.25">
      <c r="A31" s="53"/>
      <c r="B31" s="106" t="s">
        <v>220</v>
      </c>
      <c r="C31" s="80"/>
      <c r="D31" s="718">
        <f>SUM(D29:D30)</f>
        <v>0</v>
      </c>
      <c r="E31" s="85"/>
      <c r="F31" s="718">
        <f>SUM(F29:F30)</f>
        <v>0</v>
      </c>
      <c r="G31" s="108"/>
      <c r="H31" s="109"/>
      <c r="I31" s="749"/>
      <c r="J31" s="750"/>
      <c r="K31" s="751"/>
      <c r="L31" s="53"/>
      <c r="M31" s="752"/>
      <c r="N31" s="53"/>
      <c r="O31" s="53"/>
      <c r="P31" s="53"/>
      <c r="Q31" s="53"/>
    </row>
    <row r="32" spans="1:17" ht="15.75" x14ac:dyDescent="0.25">
      <c r="A32" s="53"/>
      <c r="B32" s="106" t="s">
        <v>221</v>
      </c>
      <c r="C32" s="80"/>
      <c r="D32" s="717">
        <v>0</v>
      </c>
      <c r="E32" s="85"/>
      <c r="F32" s="718">
        <f>'RBS - Risk Margin'!AH62</f>
        <v>0</v>
      </c>
      <c r="G32" s="108"/>
      <c r="H32" s="109"/>
      <c r="I32" s="749"/>
      <c r="J32" s="750"/>
      <c r="K32" s="751"/>
      <c r="L32" s="53"/>
      <c r="M32" s="752"/>
      <c r="N32" s="53"/>
      <c r="O32" s="53"/>
      <c r="P32" s="53"/>
      <c r="Q32" s="53"/>
    </row>
    <row r="33" spans="1:17" ht="15.75" x14ac:dyDescent="0.25">
      <c r="A33" s="53"/>
      <c r="B33" s="106"/>
      <c r="C33" s="80"/>
      <c r="D33" s="85"/>
      <c r="E33" s="85"/>
      <c r="F33" s="85"/>
      <c r="G33" s="108"/>
      <c r="H33" s="109"/>
      <c r="I33" s="749"/>
      <c r="J33" s="750"/>
      <c r="K33" s="751"/>
      <c r="L33" s="53"/>
      <c r="M33" s="752"/>
      <c r="N33" s="53"/>
      <c r="O33" s="53"/>
      <c r="P33" s="53"/>
      <c r="Q33" s="53"/>
    </row>
    <row r="34" spans="1:17" ht="15.75" x14ac:dyDescent="0.25">
      <c r="A34" s="53"/>
      <c r="B34" s="106" t="s">
        <v>169</v>
      </c>
      <c r="C34" s="80"/>
      <c r="D34" s="718">
        <f>SUM(D31:D32)</f>
        <v>0</v>
      </c>
      <c r="E34" s="85"/>
      <c r="F34" s="718">
        <f>SUM(F31:F32)</f>
        <v>0</v>
      </c>
      <c r="G34" s="108"/>
      <c r="H34" s="109"/>
      <c r="I34" s="749"/>
      <c r="J34" s="750"/>
      <c r="K34" s="751"/>
      <c r="L34" s="53"/>
      <c r="M34" s="752"/>
      <c r="N34" s="53"/>
      <c r="O34" s="53"/>
      <c r="P34" s="53"/>
      <c r="Q34" s="53"/>
    </row>
    <row r="35" spans="1:17" ht="15.75" x14ac:dyDescent="0.25">
      <c r="A35" s="53"/>
      <c r="B35" s="106"/>
      <c r="C35" s="80"/>
      <c r="D35" s="85"/>
      <c r="E35" s="85"/>
      <c r="F35" s="85"/>
      <c r="G35" s="108"/>
      <c r="H35" s="109"/>
      <c r="I35" s="749"/>
      <c r="J35" s="750"/>
      <c r="K35" s="751"/>
      <c r="L35" s="53"/>
      <c r="M35" s="752"/>
      <c r="N35" s="53"/>
      <c r="O35" s="53"/>
      <c r="P35" s="53"/>
      <c r="Q35" s="53"/>
    </row>
    <row r="36" spans="1:17" ht="15.75" x14ac:dyDescent="0.25">
      <c r="A36" s="53"/>
      <c r="B36" s="107" t="s">
        <v>240</v>
      </c>
      <c r="C36" s="719"/>
      <c r="D36" s="720"/>
      <c r="E36" s="721"/>
      <c r="F36" s="720"/>
      <c r="G36" s="722"/>
      <c r="H36" s="109"/>
      <c r="I36" s="107"/>
      <c r="J36" s="728"/>
      <c r="K36" s="729"/>
      <c r="L36" s="53"/>
      <c r="M36" s="84"/>
      <c r="N36" s="53"/>
      <c r="O36" s="53"/>
      <c r="P36" s="53"/>
      <c r="Q36" s="53"/>
    </row>
    <row r="37" spans="1:17" ht="15.75" x14ac:dyDescent="0.25">
      <c r="A37" s="53"/>
      <c r="B37" s="106"/>
      <c r="C37" s="80"/>
      <c r="D37" s="85"/>
      <c r="E37" s="85"/>
      <c r="F37" s="85"/>
      <c r="G37" s="108"/>
      <c r="H37" s="109"/>
      <c r="I37" s="749"/>
      <c r="J37" s="750"/>
      <c r="K37" s="751"/>
      <c r="L37" s="53"/>
      <c r="M37" s="752"/>
      <c r="N37" s="53"/>
      <c r="O37" s="53"/>
      <c r="P37" s="53"/>
      <c r="Q37" s="53"/>
    </row>
    <row r="38" spans="1:17" ht="15.75" x14ac:dyDescent="0.25">
      <c r="A38" s="53"/>
      <c r="B38" s="106" t="s">
        <v>218</v>
      </c>
      <c r="C38" s="80"/>
      <c r="D38" s="730">
        <v>0</v>
      </c>
      <c r="E38" s="85"/>
      <c r="F38" s="730">
        <v>0</v>
      </c>
      <c r="G38" s="108"/>
      <c r="H38" s="109"/>
      <c r="I38" s="749"/>
      <c r="J38" s="750"/>
      <c r="K38" s="751"/>
      <c r="L38" s="53"/>
      <c r="M38" s="87"/>
      <c r="N38" s="53"/>
      <c r="O38" s="334" t="str">
        <f>IF(OR(D38="",F38=""),"Incomplete","Complete")</f>
        <v>Complete</v>
      </c>
      <c r="P38" s="53"/>
      <c r="Q38" s="53"/>
    </row>
    <row r="39" spans="1:17" ht="15.75" x14ac:dyDescent="0.25">
      <c r="A39" s="53"/>
      <c r="B39" s="106" t="s">
        <v>219</v>
      </c>
      <c r="C39" s="80"/>
      <c r="D39" s="730">
        <v>0</v>
      </c>
      <c r="E39" s="85"/>
      <c r="F39" s="730">
        <v>0</v>
      </c>
      <c r="G39" s="108"/>
      <c r="H39" s="109"/>
      <c r="I39" s="749"/>
      <c r="J39" s="730">
        <v>0</v>
      </c>
      <c r="K39" s="751"/>
      <c r="L39" s="53"/>
      <c r="M39" s="87"/>
      <c r="N39" s="53"/>
      <c r="O39" s="334" t="str">
        <f>IF(OR(D39="",F39="",J39=""),"Incomplete","Complete")</f>
        <v>Complete</v>
      </c>
      <c r="P39" s="53"/>
      <c r="Q39" s="53"/>
    </row>
    <row r="40" spans="1:17" ht="15.75" x14ac:dyDescent="0.25">
      <c r="A40" s="53"/>
      <c r="B40" s="106" t="s">
        <v>220</v>
      </c>
      <c r="C40" s="80"/>
      <c r="D40" s="718">
        <f>SUM(D38:D39)</f>
        <v>0</v>
      </c>
      <c r="E40" s="85"/>
      <c r="F40" s="718">
        <f>SUM(F38:F39)</f>
        <v>0</v>
      </c>
      <c r="G40" s="108"/>
      <c r="H40" s="109"/>
      <c r="I40" s="749"/>
      <c r="J40" s="750"/>
      <c r="K40" s="751"/>
      <c r="L40" s="53"/>
      <c r="M40" s="752"/>
      <c r="N40" s="53"/>
      <c r="O40" s="53"/>
      <c r="P40" s="53"/>
      <c r="Q40" s="53"/>
    </row>
    <row r="41" spans="1:17" ht="15.75" x14ac:dyDescent="0.25">
      <c r="A41" s="53"/>
      <c r="B41" s="106" t="s">
        <v>221</v>
      </c>
      <c r="C41" s="80"/>
      <c r="D41" s="717">
        <v>0</v>
      </c>
      <c r="E41" s="85"/>
      <c r="F41" s="718">
        <f>'RBS - Risk Margin'!AJ62</f>
        <v>0</v>
      </c>
      <c r="G41" s="108"/>
      <c r="H41" s="109"/>
      <c r="I41" s="749"/>
      <c r="J41" s="750"/>
      <c r="K41" s="751"/>
      <c r="L41" s="53"/>
      <c r="M41" s="752"/>
      <c r="N41" s="53"/>
      <c r="O41" s="53"/>
      <c r="P41" s="53"/>
      <c r="Q41" s="53"/>
    </row>
    <row r="42" spans="1:17" ht="15.75" x14ac:dyDescent="0.25">
      <c r="A42" s="53"/>
      <c r="B42" s="106"/>
      <c r="C42" s="80"/>
      <c r="D42" s="85"/>
      <c r="E42" s="85"/>
      <c r="F42" s="85"/>
      <c r="G42" s="108"/>
      <c r="H42" s="109"/>
      <c r="I42" s="749"/>
      <c r="J42" s="750"/>
      <c r="K42" s="751"/>
      <c r="L42" s="53"/>
      <c r="M42" s="752"/>
      <c r="N42" s="53"/>
      <c r="O42" s="53"/>
      <c r="P42" s="53"/>
      <c r="Q42" s="53"/>
    </row>
    <row r="43" spans="1:17" ht="15.75" x14ac:dyDescent="0.25">
      <c r="A43" s="53"/>
      <c r="B43" s="106" t="s">
        <v>169</v>
      </c>
      <c r="C43" s="80"/>
      <c r="D43" s="718">
        <f>SUM(D40:D41)</f>
        <v>0</v>
      </c>
      <c r="E43" s="85"/>
      <c r="F43" s="718">
        <f>SUM(F40:F41)</f>
        <v>0</v>
      </c>
      <c r="G43" s="108"/>
      <c r="H43" s="109"/>
      <c r="I43" s="749"/>
      <c r="J43" s="750"/>
      <c r="K43" s="751"/>
      <c r="L43" s="53"/>
      <c r="M43" s="752"/>
      <c r="N43" s="53"/>
      <c r="O43" s="53"/>
      <c r="P43" s="53"/>
      <c r="Q43" s="53"/>
    </row>
    <row r="44" spans="1:17" ht="15.75" x14ac:dyDescent="0.25">
      <c r="A44" s="53"/>
      <c r="B44" s="106"/>
      <c r="C44" s="80"/>
      <c r="D44" s="85"/>
      <c r="E44" s="85"/>
      <c r="F44" s="85"/>
      <c r="G44" s="108"/>
      <c r="H44" s="109"/>
      <c r="I44" s="749"/>
      <c r="J44" s="750"/>
      <c r="K44" s="751"/>
      <c r="L44" s="53"/>
      <c r="M44" s="752"/>
      <c r="N44" s="53"/>
      <c r="O44" s="53"/>
      <c r="P44" s="53"/>
      <c r="Q44" s="53"/>
    </row>
    <row r="45" spans="1:17" ht="15.75" x14ac:dyDescent="0.25">
      <c r="A45" s="53"/>
      <c r="B45" s="107" t="s">
        <v>241</v>
      </c>
      <c r="C45" s="719"/>
      <c r="D45" s="720"/>
      <c r="E45" s="721"/>
      <c r="F45" s="720"/>
      <c r="G45" s="722"/>
      <c r="H45" s="109"/>
      <c r="I45" s="107"/>
      <c r="J45" s="728"/>
      <c r="K45" s="729"/>
      <c r="L45" s="53"/>
      <c r="M45" s="84"/>
      <c r="N45" s="53"/>
      <c r="O45" s="53"/>
      <c r="P45" s="53"/>
      <c r="Q45" s="53"/>
    </row>
    <row r="46" spans="1:17" ht="15.75" x14ac:dyDescent="0.25">
      <c r="A46" s="53"/>
      <c r="B46" s="106"/>
      <c r="C46" s="80"/>
      <c r="D46" s="85"/>
      <c r="E46" s="85"/>
      <c r="F46" s="85"/>
      <c r="G46" s="108"/>
      <c r="H46" s="109"/>
      <c r="I46" s="749"/>
      <c r="J46" s="750"/>
      <c r="K46" s="751"/>
      <c r="L46" s="53"/>
      <c r="M46" s="752"/>
      <c r="N46" s="53"/>
      <c r="O46" s="53"/>
      <c r="P46" s="53"/>
      <c r="Q46" s="53"/>
    </row>
    <row r="47" spans="1:17" ht="15.75" x14ac:dyDescent="0.25">
      <c r="A47" s="53"/>
      <c r="B47" s="106" t="s">
        <v>218</v>
      </c>
      <c r="C47" s="80"/>
      <c r="D47" s="730">
        <v>0</v>
      </c>
      <c r="E47" s="85"/>
      <c r="F47" s="730">
        <v>0</v>
      </c>
      <c r="G47" s="108"/>
      <c r="H47" s="109"/>
      <c r="I47" s="749"/>
      <c r="J47" s="750"/>
      <c r="K47" s="751"/>
      <c r="L47" s="53"/>
      <c r="M47" s="87"/>
      <c r="N47" s="53"/>
      <c r="O47" s="334" t="str">
        <f>IF(OR(D47="",F47=""),"Incomplete","Complete")</f>
        <v>Complete</v>
      </c>
      <c r="P47" s="53"/>
      <c r="Q47" s="53"/>
    </row>
    <row r="48" spans="1:17" ht="15.75" x14ac:dyDescent="0.25">
      <c r="A48" s="53"/>
      <c r="B48" s="106" t="s">
        <v>219</v>
      </c>
      <c r="C48" s="80"/>
      <c r="D48" s="730">
        <v>0</v>
      </c>
      <c r="E48" s="85"/>
      <c r="F48" s="730">
        <v>0</v>
      </c>
      <c r="G48" s="108"/>
      <c r="H48" s="109"/>
      <c r="I48" s="749"/>
      <c r="J48" s="730">
        <v>0</v>
      </c>
      <c r="K48" s="751"/>
      <c r="L48" s="53"/>
      <c r="M48" s="87"/>
      <c r="N48" s="53"/>
      <c r="O48" s="334" t="str">
        <f>IF(OR(D48="",F48="",J48=""),"Incomplete","Complete")</f>
        <v>Complete</v>
      </c>
      <c r="P48" s="53"/>
      <c r="Q48" s="53"/>
    </row>
    <row r="49" spans="1:17" ht="15.75" x14ac:dyDescent="0.25">
      <c r="A49" s="53"/>
      <c r="B49" s="106" t="s">
        <v>220</v>
      </c>
      <c r="C49" s="80"/>
      <c r="D49" s="718">
        <f>SUM(D47:D48)</f>
        <v>0</v>
      </c>
      <c r="E49" s="85"/>
      <c r="F49" s="718">
        <f>SUM(F47:F48)</f>
        <v>0</v>
      </c>
      <c r="G49" s="108"/>
      <c r="H49" s="109"/>
      <c r="I49" s="749"/>
      <c r="J49" s="750"/>
      <c r="K49" s="751"/>
      <c r="L49" s="53"/>
      <c r="M49" s="752"/>
      <c r="N49" s="53"/>
      <c r="O49" s="334"/>
      <c r="P49" s="53"/>
      <c r="Q49" s="53"/>
    </row>
    <row r="50" spans="1:17" ht="15.75" x14ac:dyDescent="0.25">
      <c r="A50" s="53"/>
      <c r="B50" s="106" t="s">
        <v>221</v>
      </c>
      <c r="C50" s="80"/>
      <c r="D50" s="717">
        <v>0</v>
      </c>
      <c r="E50" s="85"/>
      <c r="F50" s="718">
        <f>'RBS - Risk Margin'!AL62</f>
        <v>0</v>
      </c>
      <c r="G50" s="108"/>
      <c r="H50" s="109"/>
      <c r="I50" s="749"/>
      <c r="J50" s="750"/>
      <c r="K50" s="751"/>
      <c r="L50" s="53"/>
      <c r="M50" s="752"/>
      <c r="N50" s="53"/>
      <c r="O50" s="53"/>
      <c r="P50" s="53"/>
      <c r="Q50" s="53"/>
    </row>
    <row r="51" spans="1:17" ht="15.75" x14ac:dyDescent="0.25">
      <c r="A51" s="53"/>
      <c r="B51" s="106"/>
      <c r="C51" s="80"/>
      <c r="D51" s="85"/>
      <c r="E51" s="85"/>
      <c r="F51" s="85"/>
      <c r="G51" s="108"/>
      <c r="H51" s="109"/>
      <c r="I51" s="749"/>
      <c r="J51" s="750"/>
      <c r="K51" s="751"/>
      <c r="L51" s="53"/>
      <c r="M51" s="752"/>
      <c r="N51" s="53"/>
      <c r="O51" s="53"/>
      <c r="P51" s="53"/>
      <c r="Q51" s="53"/>
    </row>
    <row r="52" spans="1:17" ht="15.75" x14ac:dyDescent="0.25">
      <c r="A52" s="53"/>
      <c r="B52" s="106" t="s">
        <v>169</v>
      </c>
      <c r="C52" s="80"/>
      <c r="D52" s="718">
        <f>SUM(D49:D50)</f>
        <v>0</v>
      </c>
      <c r="E52" s="85"/>
      <c r="F52" s="718">
        <f>SUM(F49:F50)</f>
        <v>0</v>
      </c>
      <c r="G52" s="108"/>
      <c r="H52" s="109"/>
      <c r="I52" s="749"/>
      <c r="J52" s="750"/>
      <c r="K52" s="751"/>
      <c r="L52" s="53"/>
      <c r="M52" s="752"/>
      <c r="N52" s="53"/>
      <c r="O52" s="53"/>
      <c r="P52" s="53"/>
      <c r="Q52" s="53"/>
    </row>
    <row r="53" spans="1:17" ht="15.75" x14ac:dyDescent="0.25">
      <c r="A53" s="53"/>
      <c r="B53" s="106"/>
      <c r="C53" s="80"/>
      <c r="D53" s="85"/>
      <c r="E53" s="85"/>
      <c r="F53" s="85"/>
      <c r="G53" s="108"/>
      <c r="H53" s="109"/>
      <c r="I53" s="749"/>
      <c r="J53" s="750"/>
      <c r="K53" s="751"/>
      <c r="L53" s="53"/>
      <c r="M53" s="752"/>
      <c r="N53" s="53"/>
      <c r="O53" s="53"/>
      <c r="P53" s="53"/>
      <c r="Q53" s="53"/>
    </row>
    <row r="54" spans="1:17" ht="15.75" x14ac:dyDescent="0.25">
      <c r="A54" s="53"/>
      <c r="B54" s="107" t="s">
        <v>242</v>
      </c>
      <c r="C54" s="719"/>
      <c r="D54" s="720"/>
      <c r="E54" s="721"/>
      <c r="F54" s="720"/>
      <c r="G54" s="722"/>
      <c r="H54" s="109"/>
      <c r="I54" s="107"/>
      <c r="J54" s="728"/>
      <c r="K54" s="729"/>
      <c r="L54" s="53"/>
      <c r="M54" s="84"/>
      <c r="N54" s="53"/>
      <c r="O54" s="53"/>
      <c r="P54" s="53"/>
      <c r="Q54" s="53"/>
    </row>
    <row r="55" spans="1:17" ht="15.75" x14ac:dyDescent="0.25">
      <c r="A55" s="53"/>
      <c r="B55" s="106"/>
      <c r="C55" s="80"/>
      <c r="D55" s="85"/>
      <c r="E55" s="85"/>
      <c r="F55" s="85"/>
      <c r="G55" s="108"/>
      <c r="H55" s="109"/>
      <c r="I55" s="749"/>
      <c r="J55" s="750"/>
      <c r="K55" s="751"/>
      <c r="L55" s="53"/>
      <c r="M55" s="752"/>
      <c r="N55" s="53"/>
      <c r="O55" s="53"/>
      <c r="P55" s="53"/>
      <c r="Q55" s="53"/>
    </row>
    <row r="56" spans="1:17" ht="15.75" x14ac:dyDescent="0.25">
      <c r="A56" s="53"/>
      <c r="B56" s="106" t="s">
        <v>218</v>
      </c>
      <c r="C56" s="80"/>
      <c r="D56" s="730">
        <v>0</v>
      </c>
      <c r="E56" s="85"/>
      <c r="F56" s="730">
        <v>0</v>
      </c>
      <c r="G56" s="108"/>
      <c r="H56" s="109"/>
      <c r="I56" s="749"/>
      <c r="J56" s="750"/>
      <c r="K56" s="751"/>
      <c r="L56" s="53"/>
      <c r="M56" s="87"/>
      <c r="N56" s="53"/>
      <c r="O56" s="334" t="str">
        <f>IF(OR(D56="",F56=""),"Incomplete","Complete")</f>
        <v>Complete</v>
      </c>
      <c r="P56" s="53"/>
      <c r="Q56" s="53"/>
    </row>
    <row r="57" spans="1:17" ht="15.75" x14ac:dyDescent="0.25">
      <c r="A57" s="53"/>
      <c r="B57" s="106" t="s">
        <v>219</v>
      </c>
      <c r="C57" s="80"/>
      <c r="D57" s="730">
        <v>0</v>
      </c>
      <c r="E57" s="85"/>
      <c r="F57" s="730">
        <v>0</v>
      </c>
      <c r="G57" s="108"/>
      <c r="H57" s="109"/>
      <c r="I57" s="749"/>
      <c r="J57" s="730">
        <v>0</v>
      </c>
      <c r="K57" s="751"/>
      <c r="L57" s="53"/>
      <c r="M57" s="87"/>
      <c r="N57" s="53"/>
      <c r="O57" s="334" t="str">
        <f>IF(OR(D57="",F57="",J57=""),"Incomplete","Complete")</f>
        <v>Complete</v>
      </c>
      <c r="P57" s="53"/>
      <c r="Q57" s="53"/>
    </row>
    <row r="58" spans="1:17" ht="15.75" x14ac:dyDescent="0.25">
      <c r="A58" s="53"/>
      <c r="B58" s="106" t="s">
        <v>220</v>
      </c>
      <c r="C58" s="80"/>
      <c r="D58" s="718">
        <f>SUM(D56:D57)</f>
        <v>0</v>
      </c>
      <c r="E58" s="85"/>
      <c r="F58" s="718">
        <f>SUM(F56:F57)</f>
        <v>0</v>
      </c>
      <c r="G58" s="108"/>
      <c r="H58" s="109"/>
      <c r="I58" s="749"/>
      <c r="J58" s="750"/>
      <c r="K58" s="751"/>
      <c r="L58" s="53"/>
      <c r="M58" s="752"/>
      <c r="N58" s="53"/>
      <c r="O58" s="53"/>
      <c r="P58" s="53"/>
      <c r="Q58" s="53"/>
    </row>
    <row r="59" spans="1:17" ht="15.75" x14ac:dyDescent="0.25">
      <c r="A59" s="53"/>
      <c r="B59" s="106" t="s">
        <v>221</v>
      </c>
      <c r="C59" s="80"/>
      <c r="D59" s="717">
        <v>0</v>
      </c>
      <c r="E59" s="85"/>
      <c r="F59" s="718">
        <f>'RBS - Risk Margin'!AN62</f>
        <v>0</v>
      </c>
      <c r="G59" s="108"/>
      <c r="H59" s="109"/>
      <c r="I59" s="749"/>
      <c r="J59" s="750"/>
      <c r="K59" s="751"/>
      <c r="L59" s="53"/>
      <c r="M59" s="752"/>
      <c r="N59" s="53"/>
      <c r="O59" s="53"/>
      <c r="P59" s="53"/>
      <c r="Q59" s="53"/>
    </row>
    <row r="60" spans="1:17" ht="15.75" x14ac:dyDescent="0.25">
      <c r="A60" s="53"/>
      <c r="B60" s="106"/>
      <c r="C60" s="80"/>
      <c r="D60" s="85"/>
      <c r="E60" s="85"/>
      <c r="F60" s="85"/>
      <c r="G60" s="108"/>
      <c r="H60" s="109"/>
      <c r="I60" s="749"/>
      <c r="J60" s="750"/>
      <c r="K60" s="751"/>
      <c r="L60" s="53"/>
      <c r="M60" s="752"/>
      <c r="N60" s="53"/>
      <c r="O60" s="53"/>
      <c r="P60" s="53"/>
      <c r="Q60" s="53"/>
    </row>
    <row r="61" spans="1:17" ht="15.75" x14ac:dyDescent="0.25">
      <c r="A61" s="53"/>
      <c r="B61" s="106" t="s">
        <v>169</v>
      </c>
      <c r="C61" s="80"/>
      <c r="D61" s="718">
        <f>SUM(D58:D59)</f>
        <v>0</v>
      </c>
      <c r="E61" s="85"/>
      <c r="F61" s="718">
        <f>SUM(F58:F59)</f>
        <v>0</v>
      </c>
      <c r="G61" s="108"/>
      <c r="H61" s="109"/>
      <c r="I61" s="749"/>
      <c r="J61" s="750"/>
      <c r="K61" s="751"/>
      <c r="L61" s="53"/>
      <c r="M61" s="752"/>
      <c r="N61" s="53"/>
      <c r="O61" s="53"/>
      <c r="P61" s="53"/>
      <c r="Q61" s="53"/>
    </row>
    <row r="62" spans="1:17" ht="15.75" x14ac:dyDescent="0.25">
      <c r="A62" s="53"/>
      <c r="B62" s="106"/>
      <c r="C62" s="80"/>
      <c r="D62" s="85"/>
      <c r="E62" s="85"/>
      <c r="F62" s="85"/>
      <c r="G62" s="108"/>
      <c r="H62" s="109"/>
      <c r="I62" s="749"/>
      <c r="J62" s="750"/>
      <c r="K62" s="751"/>
      <c r="L62" s="53"/>
      <c r="M62" s="752"/>
      <c r="N62" s="53"/>
      <c r="O62" s="53"/>
      <c r="P62" s="53"/>
      <c r="Q62" s="53"/>
    </row>
    <row r="63" spans="1:17" ht="15.75" x14ac:dyDescent="0.25">
      <c r="A63" s="53"/>
      <c r="B63" s="107" t="s">
        <v>243</v>
      </c>
      <c r="C63" s="719"/>
      <c r="D63" s="720"/>
      <c r="E63" s="721"/>
      <c r="F63" s="720"/>
      <c r="G63" s="722"/>
      <c r="H63" s="109"/>
      <c r="I63" s="107"/>
      <c r="J63" s="728"/>
      <c r="K63" s="729"/>
      <c r="L63" s="53"/>
      <c r="M63" s="84"/>
      <c r="N63" s="53"/>
      <c r="O63" s="53"/>
      <c r="P63" s="53"/>
      <c r="Q63" s="53"/>
    </row>
    <row r="64" spans="1:17" ht="15.75" x14ac:dyDescent="0.25">
      <c r="A64" s="53"/>
      <c r="B64" s="106"/>
      <c r="C64" s="80"/>
      <c r="D64" s="85"/>
      <c r="E64" s="85"/>
      <c r="F64" s="85"/>
      <c r="G64" s="108"/>
      <c r="H64" s="109"/>
      <c r="I64" s="749"/>
      <c r="J64" s="750"/>
      <c r="K64" s="751"/>
      <c r="L64" s="53"/>
      <c r="M64" s="752"/>
      <c r="N64" s="53"/>
      <c r="O64" s="53"/>
      <c r="P64" s="53"/>
      <c r="Q64" s="53"/>
    </row>
    <row r="65" spans="1:17" ht="15.75" x14ac:dyDescent="0.25">
      <c r="A65" s="53"/>
      <c r="B65" s="106" t="s">
        <v>218</v>
      </c>
      <c r="C65" s="80"/>
      <c r="D65" s="730">
        <v>0</v>
      </c>
      <c r="E65" s="85"/>
      <c r="F65" s="730">
        <v>0</v>
      </c>
      <c r="G65" s="108"/>
      <c r="H65" s="109"/>
      <c r="I65" s="749"/>
      <c r="J65" s="750"/>
      <c r="K65" s="751"/>
      <c r="L65" s="53"/>
      <c r="M65" s="87"/>
      <c r="N65" s="53"/>
      <c r="O65" s="334" t="str">
        <f>IF(OR(D65="",F65=""),"Incomplete","Complete")</f>
        <v>Complete</v>
      </c>
      <c r="P65" s="53"/>
      <c r="Q65" s="53"/>
    </row>
    <row r="66" spans="1:17" ht="15.75" x14ac:dyDescent="0.25">
      <c r="A66" s="53"/>
      <c r="B66" s="106" t="s">
        <v>219</v>
      </c>
      <c r="C66" s="80"/>
      <c r="D66" s="730">
        <v>0</v>
      </c>
      <c r="E66" s="85"/>
      <c r="F66" s="730">
        <v>0</v>
      </c>
      <c r="G66" s="108"/>
      <c r="H66" s="109"/>
      <c r="I66" s="749"/>
      <c r="J66" s="730">
        <v>0</v>
      </c>
      <c r="K66" s="751"/>
      <c r="L66" s="53"/>
      <c r="M66" s="87"/>
      <c r="N66" s="53"/>
      <c r="O66" s="334" t="str">
        <f>IF(OR(D66="",F66="",J66=""),"Incomplete","Complete")</f>
        <v>Complete</v>
      </c>
      <c r="P66" s="53"/>
      <c r="Q66" s="53"/>
    </row>
    <row r="67" spans="1:17" ht="15.75" x14ac:dyDescent="0.25">
      <c r="A67" s="53"/>
      <c r="B67" s="106" t="s">
        <v>220</v>
      </c>
      <c r="C67" s="80"/>
      <c r="D67" s="718">
        <f>SUM(D65:D66)</f>
        <v>0</v>
      </c>
      <c r="E67" s="85"/>
      <c r="F67" s="718">
        <f>SUM(F65:F66)</f>
        <v>0</v>
      </c>
      <c r="G67" s="108"/>
      <c r="H67" s="109"/>
      <c r="I67" s="749"/>
      <c r="J67" s="750"/>
      <c r="K67" s="751"/>
      <c r="L67" s="53"/>
      <c r="M67" s="752"/>
      <c r="N67" s="53"/>
      <c r="O67" s="53"/>
      <c r="P67" s="53"/>
      <c r="Q67" s="53"/>
    </row>
    <row r="68" spans="1:17" ht="15.75" x14ac:dyDescent="0.25">
      <c r="A68" s="53"/>
      <c r="B68" s="106" t="s">
        <v>221</v>
      </c>
      <c r="C68" s="80"/>
      <c r="D68" s="717">
        <v>0</v>
      </c>
      <c r="E68" s="85"/>
      <c r="F68" s="718">
        <f>'RBS - Risk Margin'!AP62</f>
        <v>0</v>
      </c>
      <c r="G68" s="108"/>
      <c r="H68" s="109"/>
      <c r="I68" s="749"/>
      <c r="J68" s="750"/>
      <c r="K68" s="751"/>
      <c r="L68" s="53"/>
      <c r="M68" s="752"/>
      <c r="N68" s="53"/>
      <c r="O68" s="53"/>
      <c r="P68" s="53"/>
      <c r="Q68" s="53"/>
    </row>
    <row r="69" spans="1:17" ht="15.75" x14ac:dyDescent="0.25">
      <c r="A69" s="53"/>
      <c r="B69" s="106"/>
      <c r="C69" s="80"/>
      <c r="D69" s="85"/>
      <c r="E69" s="85"/>
      <c r="F69" s="85"/>
      <c r="G69" s="108"/>
      <c r="H69" s="109"/>
      <c r="I69" s="749"/>
      <c r="J69" s="750"/>
      <c r="K69" s="751"/>
      <c r="L69" s="53"/>
      <c r="M69" s="752"/>
      <c r="N69" s="53"/>
      <c r="O69" s="53"/>
      <c r="P69" s="53"/>
      <c r="Q69" s="53"/>
    </row>
    <row r="70" spans="1:17" ht="15.75" x14ac:dyDescent="0.25">
      <c r="A70" s="53"/>
      <c r="B70" s="106" t="s">
        <v>169</v>
      </c>
      <c r="C70" s="80"/>
      <c r="D70" s="718">
        <f>SUM(D67:D68)</f>
        <v>0</v>
      </c>
      <c r="E70" s="85"/>
      <c r="F70" s="718">
        <f>SUM(F67:F68)</f>
        <v>0</v>
      </c>
      <c r="G70" s="108"/>
      <c r="H70" s="109"/>
      <c r="I70" s="749"/>
      <c r="J70" s="750"/>
      <c r="K70" s="751"/>
      <c r="L70" s="53"/>
      <c r="M70" s="752"/>
      <c r="N70" s="53"/>
      <c r="O70" s="53"/>
      <c r="P70" s="53"/>
      <c r="Q70" s="53"/>
    </row>
    <row r="71" spans="1:17" ht="15.75" x14ac:dyDescent="0.25">
      <c r="A71" s="53"/>
      <c r="B71" s="106"/>
      <c r="C71" s="80"/>
      <c r="D71" s="85"/>
      <c r="E71" s="85"/>
      <c r="F71" s="85"/>
      <c r="G71" s="108"/>
      <c r="H71" s="109"/>
      <c r="I71" s="749"/>
      <c r="J71" s="750"/>
      <c r="K71" s="751"/>
      <c r="L71" s="53"/>
      <c r="M71" s="752"/>
      <c r="N71" s="53"/>
      <c r="O71" s="53"/>
      <c r="P71" s="53"/>
      <c r="Q71" s="53"/>
    </row>
    <row r="72" spans="1:17" ht="15.75" x14ac:dyDescent="0.25">
      <c r="A72" s="53"/>
      <c r="B72" s="107" t="s">
        <v>244</v>
      </c>
      <c r="C72" s="719"/>
      <c r="D72" s="720"/>
      <c r="E72" s="721"/>
      <c r="F72" s="720"/>
      <c r="G72" s="722"/>
      <c r="H72" s="109"/>
      <c r="I72" s="107"/>
      <c r="J72" s="728"/>
      <c r="K72" s="729"/>
      <c r="L72" s="53"/>
      <c r="M72" s="84"/>
      <c r="N72" s="53"/>
      <c r="O72" s="53"/>
      <c r="P72" s="53"/>
      <c r="Q72" s="53"/>
    </row>
    <row r="73" spans="1:17" ht="15.75" x14ac:dyDescent="0.25">
      <c r="A73" s="53"/>
      <c r="B73" s="106"/>
      <c r="C73" s="80"/>
      <c r="D73" s="85"/>
      <c r="E73" s="85"/>
      <c r="F73" s="85"/>
      <c r="G73" s="108"/>
      <c r="H73" s="109"/>
      <c r="I73" s="749"/>
      <c r="J73" s="750"/>
      <c r="K73" s="751"/>
      <c r="L73" s="53"/>
      <c r="M73" s="752"/>
      <c r="N73" s="53"/>
      <c r="O73" s="334"/>
      <c r="P73" s="53"/>
      <c r="Q73" s="53"/>
    </row>
    <row r="74" spans="1:17" ht="15.75" x14ac:dyDescent="0.25">
      <c r="A74" s="53"/>
      <c r="B74" s="106" t="s">
        <v>218</v>
      </c>
      <c r="C74" s="80"/>
      <c r="D74" s="730">
        <v>0</v>
      </c>
      <c r="E74" s="85"/>
      <c r="F74" s="730">
        <v>0</v>
      </c>
      <c r="G74" s="108"/>
      <c r="H74" s="109"/>
      <c r="I74" s="749"/>
      <c r="J74" s="750"/>
      <c r="K74" s="751"/>
      <c r="L74" s="53"/>
      <c r="M74" s="87"/>
      <c r="N74" s="53"/>
      <c r="O74" s="334" t="str">
        <f>IF(OR(D74="",F74=""),"Incomplete","Complete")</f>
        <v>Complete</v>
      </c>
      <c r="P74" s="53"/>
      <c r="Q74" s="53"/>
    </row>
    <row r="75" spans="1:17" ht="15.75" x14ac:dyDescent="0.25">
      <c r="A75" s="53"/>
      <c r="B75" s="106" t="s">
        <v>219</v>
      </c>
      <c r="C75" s="80"/>
      <c r="D75" s="730">
        <v>0</v>
      </c>
      <c r="E75" s="85"/>
      <c r="F75" s="730">
        <v>0</v>
      </c>
      <c r="G75" s="108"/>
      <c r="H75" s="109"/>
      <c r="I75" s="749"/>
      <c r="J75" s="730">
        <v>0</v>
      </c>
      <c r="K75" s="751"/>
      <c r="L75" s="53"/>
      <c r="M75" s="87"/>
      <c r="N75" s="53"/>
      <c r="O75" s="334" t="str">
        <f>IF(OR(D75="",F75="",J75=""),"Incomplete","Complete")</f>
        <v>Complete</v>
      </c>
      <c r="P75" s="53"/>
      <c r="Q75" s="53"/>
    </row>
    <row r="76" spans="1:17" ht="15.75" x14ac:dyDescent="0.25">
      <c r="A76" s="53"/>
      <c r="B76" s="106" t="s">
        <v>220</v>
      </c>
      <c r="C76" s="80"/>
      <c r="D76" s="718">
        <f>SUM(D74:D75)</f>
        <v>0</v>
      </c>
      <c r="E76" s="85"/>
      <c r="F76" s="718">
        <f>SUM(F74:F75)</f>
        <v>0</v>
      </c>
      <c r="G76" s="108"/>
      <c r="H76" s="109"/>
      <c r="I76" s="749"/>
      <c r="J76" s="750"/>
      <c r="K76" s="753"/>
      <c r="L76" s="53"/>
      <c r="M76" s="752"/>
      <c r="N76" s="53"/>
      <c r="O76" s="53"/>
      <c r="P76" s="53"/>
      <c r="Q76" s="53"/>
    </row>
    <row r="77" spans="1:17" ht="15.75" x14ac:dyDescent="0.25">
      <c r="A77" s="53"/>
      <c r="B77" s="106" t="s">
        <v>221</v>
      </c>
      <c r="C77" s="80"/>
      <c r="D77" s="717">
        <v>0</v>
      </c>
      <c r="E77" s="85"/>
      <c r="F77" s="718">
        <f>'RBS - Risk Margin'!AR62</f>
        <v>0</v>
      </c>
      <c r="G77" s="108"/>
      <c r="H77" s="109"/>
      <c r="I77" s="749"/>
      <c r="J77" s="750"/>
      <c r="K77" s="751"/>
      <c r="L77" s="53"/>
      <c r="M77" s="752"/>
      <c r="N77" s="53"/>
      <c r="O77" s="53"/>
      <c r="P77" s="53"/>
      <c r="Q77" s="53"/>
    </row>
    <row r="78" spans="1:17" ht="15.75" x14ac:dyDescent="0.25">
      <c r="A78" s="53"/>
      <c r="B78" s="106"/>
      <c r="C78" s="80"/>
      <c r="D78" s="85"/>
      <c r="E78" s="85"/>
      <c r="F78" s="85"/>
      <c r="G78" s="108"/>
      <c r="H78" s="109"/>
      <c r="I78" s="749"/>
      <c r="J78" s="750"/>
      <c r="K78" s="751"/>
      <c r="L78" s="53"/>
      <c r="M78" s="752"/>
      <c r="N78" s="53"/>
      <c r="O78" s="53"/>
      <c r="P78" s="53"/>
      <c r="Q78" s="53"/>
    </row>
    <row r="79" spans="1:17" ht="15.75" x14ac:dyDescent="0.25">
      <c r="A79" s="53"/>
      <c r="B79" s="106" t="s">
        <v>169</v>
      </c>
      <c r="C79" s="80"/>
      <c r="D79" s="718">
        <f>SUM(D76:D77)</f>
        <v>0</v>
      </c>
      <c r="E79" s="85"/>
      <c r="F79" s="718">
        <f>SUM(F76:F77)</f>
        <v>0</v>
      </c>
      <c r="G79" s="108"/>
      <c r="H79" s="109"/>
      <c r="I79" s="749"/>
      <c r="J79" s="750"/>
      <c r="K79" s="751"/>
      <c r="L79" s="53"/>
      <c r="M79" s="752"/>
      <c r="N79" s="53"/>
      <c r="O79" s="53"/>
      <c r="P79" s="53"/>
      <c r="Q79" s="53"/>
    </row>
    <row r="80" spans="1:17" ht="15.75" x14ac:dyDescent="0.25">
      <c r="A80" s="53"/>
      <c r="B80" s="106"/>
      <c r="C80" s="80"/>
      <c r="D80" s="85"/>
      <c r="E80" s="85"/>
      <c r="F80" s="85"/>
      <c r="G80" s="108"/>
      <c r="H80" s="109"/>
      <c r="I80" s="749"/>
      <c r="J80" s="750"/>
      <c r="K80" s="751"/>
      <c r="L80" s="53"/>
      <c r="M80" s="752"/>
      <c r="N80" s="53"/>
      <c r="O80" s="53"/>
      <c r="P80" s="53"/>
      <c r="Q80" s="53"/>
    </row>
    <row r="81" spans="1:17" ht="15.75" x14ac:dyDescent="0.25">
      <c r="A81" s="53"/>
      <c r="B81" s="107" t="s">
        <v>245</v>
      </c>
      <c r="C81" s="719"/>
      <c r="D81" s="720"/>
      <c r="E81" s="721"/>
      <c r="F81" s="720"/>
      <c r="G81" s="722"/>
      <c r="H81" s="109"/>
      <c r="I81" s="107"/>
      <c r="J81" s="728"/>
      <c r="K81" s="729"/>
      <c r="L81" s="53"/>
      <c r="M81" s="84"/>
      <c r="N81" s="53"/>
      <c r="O81" s="53"/>
      <c r="P81" s="53"/>
      <c r="Q81" s="53"/>
    </row>
    <row r="82" spans="1:17" ht="15.75" x14ac:dyDescent="0.25">
      <c r="A82" s="53"/>
      <c r="B82" s="106"/>
      <c r="C82" s="80"/>
      <c r="D82" s="85"/>
      <c r="E82" s="85"/>
      <c r="F82" s="85"/>
      <c r="G82" s="108"/>
      <c r="H82" s="109"/>
      <c r="I82" s="749"/>
      <c r="J82" s="750"/>
      <c r="K82" s="751"/>
      <c r="L82" s="53"/>
      <c r="M82" s="752"/>
      <c r="N82" s="53"/>
      <c r="O82" s="53"/>
      <c r="P82" s="53"/>
      <c r="Q82" s="53"/>
    </row>
    <row r="83" spans="1:17" ht="15.75" x14ac:dyDescent="0.25">
      <c r="A83" s="53"/>
      <c r="B83" s="106" t="s">
        <v>218</v>
      </c>
      <c r="C83" s="80"/>
      <c r="D83" s="730">
        <v>0</v>
      </c>
      <c r="E83" s="85"/>
      <c r="F83" s="730">
        <v>0</v>
      </c>
      <c r="G83" s="108"/>
      <c r="H83" s="109"/>
      <c r="I83" s="749"/>
      <c r="J83" s="750"/>
      <c r="K83" s="751"/>
      <c r="L83" s="53"/>
      <c r="M83" s="87"/>
      <c r="N83" s="53"/>
      <c r="O83" s="334" t="str">
        <f>IF(OR(D83="",F83=""),"Incomplete","Complete")</f>
        <v>Complete</v>
      </c>
      <c r="P83" s="53"/>
      <c r="Q83" s="53"/>
    </row>
    <row r="84" spans="1:17" ht="15.75" x14ac:dyDescent="0.25">
      <c r="A84" s="53"/>
      <c r="B84" s="106" t="s">
        <v>219</v>
      </c>
      <c r="C84" s="80"/>
      <c r="D84" s="730">
        <v>0</v>
      </c>
      <c r="E84" s="85"/>
      <c r="F84" s="730">
        <v>0</v>
      </c>
      <c r="G84" s="108"/>
      <c r="H84" s="109"/>
      <c r="I84" s="749"/>
      <c r="J84" s="730">
        <v>0</v>
      </c>
      <c r="K84" s="751"/>
      <c r="L84" s="53"/>
      <c r="M84" s="87"/>
      <c r="N84" s="53"/>
      <c r="O84" s="334" t="str">
        <f>IF(OR(D84="",F84="",J84=""),"Incomplete","Complete")</f>
        <v>Complete</v>
      </c>
      <c r="P84" s="53"/>
      <c r="Q84" s="53"/>
    </row>
    <row r="85" spans="1:17" ht="15.75" x14ac:dyDescent="0.25">
      <c r="A85" s="53"/>
      <c r="B85" s="106" t="s">
        <v>220</v>
      </c>
      <c r="C85" s="80"/>
      <c r="D85" s="718">
        <f>SUM(D83:D84)</f>
        <v>0</v>
      </c>
      <c r="E85" s="85"/>
      <c r="F85" s="718">
        <f>SUM(F83:F84)</f>
        <v>0</v>
      </c>
      <c r="G85" s="108"/>
      <c r="H85" s="109"/>
      <c r="I85" s="749"/>
      <c r="J85" s="750"/>
      <c r="K85" s="751"/>
      <c r="L85" s="53"/>
      <c r="M85" s="752"/>
      <c r="N85" s="53"/>
      <c r="O85" s="53"/>
      <c r="P85" s="53"/>
      <c r="Q85" s="53"/>
    </row>
    <row r="86" spans="1:17" ht="15.75" x14ac:dyDescent="0.25">
      <c r="A86" s="53"/>
      <c r="B86" s="106" t="s">
        <v>221</v>
      </c>
      <c r="C86" s="80"/>
      <c r="D86" s="717">
        <v>0</v>
      </c>
      <c r="E86" s="85"/>
      <c r="F86" s="718">
        <f>'RBS - Risk Margin'!AT62</f>
        <v>0</v>
      </c>
      <c r="G86" s="108"/>
      <c r="H86" s="109"/>
      <c r="I86" s="749"/>
      <c r="J86" s="750"/>
      <c r="K86" s="751"/>
      <c r="L86" s="53"/>
      <c r="M86" s="752"/>
      <c r="N86" s="53"/>
      <c r="O86" s="53"/>
      <c r="P86" s="53"/>
      <c r="Q86" s="53"/>
    </row>
    <row r="87" spans="1:17" ht="15.75" x14ac:dyDescent="0.25">
      <c r="A87" s="53"/>
      <c r="B87" s="106"/>
      <c r="C87" s="80"/>
      <c r="D87" s="85"/>
      <c r="E87" s="85"/>
      <c r="F87" s="85"/>
      <c r="G87" s="108"/>
      <c r="H87" s="109"/>
      <c r="I87" s="749"/>
      <c r="J87" s="750"/>
      <c r="K87" s="751"/>
      <c r="L87" s="53"/>
      <c r="M87" s="752"/>
      <c r="N87" s="53"/>
      <c r="O87" s="53"/>
      <c r="P87" s="53"/>
      <c r="Q87" s="53"/>
    </row>
    <row r="88" spans="1:17" ht="15.75" x14ac:dyDescent="0.25">
      <c r="A88" s="53"/>
      <c r="B88" s="106" t="s">
        <v>169</v>
      </c>
      <c r="C88" s="80"/>
      <c r="D88" s="718">
        <f>SUM(D85:D86)</f>
        <v>0</v>
      </c>
      <c r="E88" s="85"/>
      <c r="F88" s="718">
        <f>SUM(F85:F86)</f>
        <v>0</v>
      </c>
      <c r="G88" s="108"/>
      <c r="H88" s="109"/>
      <c r="I88" s="749"/>
      <c r="J88" s="750"/>
      <c r="K88" s="751"/>
      <c r="L88" s="53"/>
      <c r="M88" s="752"/>
      <c r="N88" s="53"/>
      <c r="O88" s="53"/>
      <c r="P88" s="53"/>
      <c r="Q88" s="53"/>
    </row>
    <row r="89" spans="1:17" ht="15.75" x14ac:dyDescent="0.25">
      <c r="A89" s="53"/>
      <c r="B89" s="106"/>
      <c r="C89" s="80"/>
      <c r="D89" s="85"/>
      <c r="E89" s="85"/>
      <c r="F89" s="85"/>
      <c r="G89" s="108"/>
      <c r="H89" s="109"/>
      <c r="I89" s="749"/>
      <c r="J89" s="750"/>
      <c r="K89" s="751"/>
      <c r="L89" s="53"/>
      <c r="M89" s="752"/>
      <c r="N89" s="53"/>
      <c r="O89" s="53"/>
      <c r="P89" s="53"/>
      <c r="Q89" s="53"/>
    </row>
    <row r="90" spans="1:17" ht="15.75" x14ac:dyDescent="0.25">
      <c r="A90" s="53"/>
      <c r="B90" s="107" t="s">
        <v>246</v>
      </c>
      <c r="C90" s="719"/>
      <c r="D90" s="720"/>
      <c r="E90" s="721"/>
      <c r="F90" s="720"/>
      <c r="G90" s="722"/>
      <c r="H90" s="109"/>
      <c r="I90" s="107"/>
      <c r="J90" s="728"/>
      <c r="K90" s="729"/>
      <c r="L90" s="53"/>
      <c r="M90" s="84"/>
      <c r="N90" s="53"/>
      <c r="O90" s="53"/>
      <c r="P90" s="53"/>
      <c r="Q90" s="53"/>
    </row>
    <row r="91" spans="1:17" ht="15.75" x14ac:dyDescent="0.25">
      <c r="A91" s="53"/>
      <c r="B91" s="106"/>
      <c r="C91" s="80"/>
      <c r="D91" s="85"/>
      <c r="E91" s="85"/>
      <c r="F91" s="85"/>
      <c r="G91" s="108"/>
      <c r="H91" s="109"/>
      <c r="I91" s="749"/>
      <c r="J91" s="750"/>
      <c r="K91" s="751"/>
      <c r="L91" s="53"/>
      <c r="M91" s="752"/>
      <c r="N91" s="53"/>
      <c r="O91" s="53"/>
      <c r="P91" s="53"/>
      <c r="Q91" s="53"/>
    </row>
    <row r="92" spans="1:17" ht="15.75" x14ac:dyDescent="0.25">
      <c r="A92" s="53"/>
      <c r="B92" s="106" t="s">
        <v>218</v>
      </c>
      <c r="C92" s="80"/>
      <c r="D92" s="730">
        <v>0</v>
      </c>
      <c r="E92" s="85"/>
      <c r="F92" s="730">
        <v>0</v>
      </c>
      <c r="G92" s="108"/>
      <c r="H92" s="109"/>
      <c r="I92" s="749"/>
      <c r="J92" s="750"/>
      <c r="K92" s="751"/>
      <c r="L92" s="53"/>
      <c r="M92" s="87"/>
      <c r="N92" s="53"/>
      <c r="O92" s="334" t="str">
        <f>IF(OR(D92="",F92=""),"Incomplete","Complete")</f>
        <v>Complete</v>
      </c>
      <c r="P92" s="53"/>
      <c r="Q92" s="53"/>
    </row>
    <row r="93" spans="1:17" ht="15.75" x14ac:dyDescent="0.25">
      <c r="A93" s="53"/>
      <c r="B93" s="106" t="s">
        <v>219</v>
      </c>
      <c r="C93" s="80"/>
      <c r="D93" s="730">
        <v>0</v>
      </c>
      <c r="E93" s="85"/>
      <c r="F93" s="730">
        <v>0</v>
      </c>
      <c r="G93" s="108"/>
      <c r="H93" s="109"/>
      <c r="I93" s="749"/>
      <c r="J93" s="730">
        <v>0</v>
      </c>
      <c r="K93" s="751"/>
      <c r="L93" s="53"/>
      <c r="M93" s="87"/>
      <c r="N93" s="53"/>
      <c r="O93" s="334" t="str">
        <f>IF(OR(D93="",F93="",J93=""),"Incomplete","Complete")</f>
        <v>Complete</v>
      </c>
      <c r="P93" s="53"/>
      <c r="Q93" s="53"/>
    </row>
    <row r="94" spans="1:17" ht="15.75" x14ac:dyDescent="0.25">
      <c r="A94" s="53"/>
      <c r="B94" s="106" t="s">
        <v>220</v>
      </c>
      <c r="C94" s="80"/>
      <c r="D94" s="718">
        <f>SUM(D92:D93)</f>
        <v>0</v>
      </c>
      <c r="E94" s="85"/>
      <c r="F94" s="718">
        <f>SUM(F92:F93)</f>
        <v>0</v>
      </c>
      <c r="G94" s="108"/>
      <c r="H94" s="109"/>
      <c r="I94" s="749"/>
      <c r="J94" s="750"/>
      <c r="K94" s="751"/>
      <c r="L94" s="53"/>
      <c r="M94" s="752"/>
      <c r="N94" s="53"/>
      <c r="O94" s="53"/>
      <c r="P94" s="53"/>
      <c r="Q94" s="53"/>
    </row>
    <row r="95" spans="1:17" ht="15.75" x14ac:dyDescent="0.25">
      <c r="A95" s="53"/>
      <c r="B95" s="106" t="s">
        <v>221</v>
      </c>
      <c r="C95" s="80"/>
      <c r="D95" s="717">
        <v>0</v>
      </c>
      <c r="E95" s="85"/>
      <c r="F95" s="718">
        <f>'RBS - Risk Margin'!AV62</f>
        <v>0</v>
      </c>
      <c r="G95" s="108"/>
      <c r="H95" s="109"/>
      <c r="I95" s="749"/>
      <c r="J95" s="750"/>
      <c r="K95" s="751"/>
      <c r="L95" s="53"/>
      <c r="M95" s="752"/>
      <c r="N95" s="53"/>
      <c r="O95" s="53"/>
      <c r="P95" s="53"/>
      <c r="Q95" s="53"/>
    </row>
    <row r="96" spans="1:17" ht="15.75" x14ac:dyDescent="0.25">
      <c r="A96" s="53"/>
      <c r="B96" s="106"/>
      <c r="C96" s="80"/>
      <c r="D96" s="85"/>
      <c r="E96" s="85"/>
      <c r="F96" s="85"/>
      <c r="G96" s="108"/>
      <c r="H96" s="109"/>
      <c r="I96" s="749"/>
      <c r="J96" s="750"/>
      <c r="K96" s="751"/>
      <c r="L96" s="53"/>
      <c r="M96" s="752"/>
      <c r="N96" s="53"/>
      <c r="O96" s="53"/>
      <c r="P96" s="53"/>
      <c r="Q96" s="53"/>
    </row>
    <row r="97" spans="1:17" ht="15.75" x14ac:dyDescent="0.25">
      <c r="A97" s="53"/>
      <c r="B97" s="106" t="s">
        <v>169</v>
      </c>
      <c r="C97" s="80"/>
      <c r="D97" s="718">
        <f>SUM(D94:D95)</f>
        <v>0</v>
      </c>
      <c r="E97" s="85"/>
      <c r="F97" s="718">
        <f>SUM(F94:F95)</f>
        <v>0</v>
      </c>
      <c r="G97" s="108"/>
      <c r="H97" s="109"/>
      <c r="I97" s="749"/>
      <c r="J97" s="750"/>
      <c r="K97" s="751"/>
      <c r="L97" s="53"/>
      <c r="M97" s="752"/>
      <c r="N97" s="53"/>
      <c r="O97" s="53"/>
      <c r="P97" s="53"/>
      <c r="Q97" s="53"/>
    </row>
    <row r="98" spans="1:17" ht="15.75" x14ac:dyDescent="0.25">
      <c r="A98" s="53"/>
      <c r="B98" s="106"/>
      <c r="C98" s="80"/>
      <c r="D98" s="85"/>
      <c r="E98" s="85"/>
      <c r="F98" s="85"/>
      <c r="G98" s="108"/>
      <c r="H98" s="109"/>
      <c r="I98" s="749"/>
      <c r="J98" s="750"/>
      <c r="K98" s="751"/>
      <c r="L98" s="53"/>
      <c r="M98" s="752"/>
      <c r="N98" s="53"/>
      <c r="O98" s="53"/>
      <c r="P98" s="53"/>
      <c r="Q98" s="53"/>
    </row>
    <row r="99" spans="1:17" ht="15.75" x14ac:dyDescent="0.25">
      <c r="A99" s="53"/>
      <c r="B99" s="107" t="s">
        <v>247</v>
      </c>
      <c r="C99" s="719"/>
      <c r="D99" s="720"/>
      <c r="E99" s="721"/>
      <c r="F99" s="720"/>
      <c r="G99" s="722"/>
      <c r="H99" s="109"/>
      <c r="I99" s="107"/>
      <c r="J99" s="728"/>
      <c r="K99" s="729"/>
      <c r="L99" s="53"/>
      <c r="M99" s="84"/>
      <c r="N99" s="53"/>
      <c r="O99" s="53"/>
      <c r="P99" s="53"/>
      <c r="Q99" s="53"/>
    </row>
    <row r="100" spans="1:17" ht="15.75" x14ac:dyDescent="0.25">
      <c r="A100" s="53"/>
      <c r="B100" s="106"/>
      <c r="C100" s="80"/>
      <c r="D100" s="85"/>
      <c r="E100" s="85"/>
      <c r="F100" s="85"/>
      <c r="G100" s="108"/>
      <c r="H100" s="109"/>
      <c r="I100" s="749"/>
      <c r="J100" s="750"/>
      <c r="K100" s="751"/>
      <c r="L100" s="53"/>
      <c r="M100" s="752"/>
      <c r="N100" s="53"/>
      <c r="O100" s="53"/>
      <c r="P100" s="53"/>
      <c r="Q100" s="53"/>
    </row>
    <row r="101" spans="1:17" ht="15.75" x14ac:dyDescent="0.25">
      <c r="A101" s="53"/>
      <c r="B101" s="106" t="s">
        <v>218</v>
      </c>
      <c r="C101" s="80"/>
      <c r="D101" s="730">
        <v>0</v>
      </c>
      <c r="E101" s="85"/>
      <c r="F101" s="730">
        <v>0</v>
      </c>
      <c r="G101" s="108"/>
      <c r="H101" s="109"/>
      <c r="I101" s="749"/>
      <c r="J101" s="750"/>
      <c r="K101" s="751"/>
      <c r="L101" s="53"/>
      <c r="M101" s="87"/>
      <c r="N101" s="53"/>
      <c r="O101" s="334" t="str">
        <f>IF(OR(D101="",F101=""),"Incomplete","Complete")</f>
        <v>Complete</v>
      </c>
      <c r="P101" s="53"/>
      <c r="Q101" s="53"/>
    </row>
    <row r="102" spans="1:17" ht="15.75" x14ac:dyDescent="0.25">
      <c r="A102" s="53"/>
      <c r="B102" s="106" t="s">
        <v>219</v>
      </c>
      <c r="C102" s="80"/>
      <c r="D102" s="730">
        <v>0</v>
      </c>
      <c r="E102" s="85"/>
      <c r="F102" s="730">
        <v>0</v>
      </c>
      <c r="G102" s="108"/>
      <c r="H102" s="109"/>
      <c r="I102" s="749"/>
      <c r="J102" s="730">
        <v>0</v>
      </c>
      <c r="K102" s="751"/>
      <c r="L102" s="53"/>
      <c r="M102" s="87"/>
      <c r="N102" s="53"/>
      <c r="O102" s="334" t="str">
        <f>IF(OR(D102="",F102="",J102=""),"Incomplete","Complete")</f>
        <v>Complete</v>
      </c>
      <c r="P102" s="53"/>
      <c r="Q102" s="53"/>
    </row>
    <row r="103" spans="1:17" ht="15.75" x14ac:dyDescent="0.25">
      <c r="A103" s="53"/>
      <c r="B103" s="106" t="s">
        <v>220</v>
      </c>
      <c r="C103" s="80"/>
      <c r="D103" s="718">
        <f>SUM(D101:D102)</f>
        <v>0</v>
      </c>
      <c r="E103" s="85"/>
      <c r="F103" s="718">
        <f>SUM(F101:F102)</f>
        <v>0</v>
      </c>
      <c r="G103" s="108"/>
      <c r="H103" s="109"/>
      <c r="I103" s="749"/>
      <c r="J103" s="750"/>
      <c r="K103" s="751"/>
      <c r="L103" s="53"/>
      <c r="M103" s="752"/>
      <c r="N103" s="53"/>
      <c r="O103" s="53"/>
      <c r="P103" s="53"/>
      <c r="Q103" s="53"/>
    </row>
    <row r="104" spans="1:17" ht="15.75" x14ac:dyDescent="0.25">
      <c r="A104" s="53"/>
      <c r="B104" s="106" t="s">
        <v>221</v>
      </c>
      <c r="C104" s="80"/>
      <c r="D104" s="717">
        <v>0</v>
      </c>
      <c r="E104" s="85"/>
      <c r="F104" s="718">
        <f>'RBS - Risk Margin'!AX62</f>
        <v>0</v>
      </c>
      <c r="G104" s="108"/>
      <c r="H104" s="109"/>
      <c r="I104" s="749"/>
      <c r="J104" s="750"/>
      <c r="K104" s="751"/>
      <c r="L104" s="53"/>
      <c r="M104" s="752"/>
      <c r="N104" s="53"/>
      <c r="O104" s="53"/>
      <c r="P104" s="53"/>
      <c r="Q104" s="53"/>
    </row>
    <row r="105" spans="1:17" ht="15.75" x14ac:dyDescent="0.25">
      <c r="A105" s="53"/>
      <c r="B105" s="106"/>
      <c r="C105" s="80"/>
      <c r="D105" s="85"/>
      <c r="E105" s="85"/>
      <c r="F105" s="85"/>
      <c r="G105" s="108"/>
      <c r="H105" s="109"/>
      <c r="I105" s="749"/>
      <c r="J105" s="750"/>
      <c r="K105" s="751"/>
      <c r="L105" s="53"/>
      <c r="M105" s="752"/>
      <c r="N105" s="53"/>
      <c r="O105" s="53"/>
      <c r="P105" s="53"/>
      <c r="Q105" s="53"/>
    </row>
    <row r="106" spans="1:17" ht="15.75" x14ac:dyDescent="0.25">
      <c r="A106" s="53"/>
      <c r="B106" s="106" t="s">
        <v>169</v>
      </c>
      <c r="C106" s="80"/>
      <c r="D106" s="718">
        <f>SUM(D103:D104)</f>
        <v>0</v>
      </c>
      <c r="E106" s="85"/>
      <c r="F106" s="718">
        <f>SUM(F103:F104)</f>
        <v>0</v>
      </c>
      <c r="G106" s="108"/>
      <c r="H106" s="109"/>
      <c r="I106" s="749"/>
      <c r="J106" s="750"/>
      <c r="K106" s="751"/>
      <c r="L106" s="53"/>
      <c r="M106" s="752"/>
      <c r="N106" s="53"/>
      <c r="O106" s="53"/>
      <c r="P106" s="53"/>
      <c r="Q106" s="53"/>
    </row>
    <row r="107" spans="1:17" ht="15.75" x14ac:dyDescent="0.25">
      <c r="A107" s="53"/>
      <c r="B107" s="106"/>
      <c r="C107" s="80"/>
      <c r="D107" s="85"/>
      <c r="E107" s="85"/>
      <c r="F107" s="85"/>
      <c r="G107" s="108"/>
      <c r="H107" s="109"/>
      <c r="I107" s="749"/>
      <c r="J107" s="750"/>
      <c r="K107" s="751"/>
      <c r="L107" s="53"/>
      <c r="M107" s="752"/>
      <c r="N107" s="53"/>
      <c r="O107" s="53"/>
      <c r="P107" s="53"/>
      <c r="Q107" s="53"/>
    </row>
    <row r="108" spans="1:17" ht="15.75" x14ac:dyDescent="0.25">
      <c r="A108" s="53"/>
      <c r="B108" s="107" t="s">
        <v>248</v>
      </c>
      <c r="C108" s="719"/>
      <c r="D108" s="720"/>
      <c r="E108" s="721"/>
      <c r="F108" s="720"/>
      <c r="G108" s="722"/>
      <c r="H108" s="109"/>
      <c r="I108" s="107"/>
      <c r="J108" s="728"/>
      <c r="K108" s="729"/>
      <c r="L108" s="53"/>
      <c r="M108" s="84"/>
      <c r="N108" s="53"/>
      <c r="O108" s="53"/>
      <c r="P108" s="53"/>
      <c r="Q108" s="53"/>
    </row>
    <row r="109" spans="1:17" ht="15.75" x14ac:dyDescent="0.25">
      <c r="A109" s="53"/>
      <c r="B109" s="106"/>
      <c r="C109" s="80"/>
      <c r="D109" s="85"/>
      <c r="E109" s="85"/>
      <c r="F109" s="85"/>
      <c r="G109" s="108"/>
      <c r="H109" s="109"/>
      <c r="I109" s="749"/>
      <c r="J109" s="750"/>
      <c r="K109" s="751"/>
      <c r="L109" s="53"/>
      <c r="M109" s="752"/>
      <c r="N109" s="53"/>
      <c r="O109" s="53"/>
      <c r="P109" s="53"/>
      <c r="Q109" s="53"/>
    </row>
    <row r="110" spans="1:17" ht="15.75" x14ac:dyDescent="0.25">
      <c r="A110" s="53"/>
      <c r="B110" s="106" t="s">
        <v>218</v>
      </c>
      <c r="C110" s="80"/>
      <c r="D110" s="730">
        <v>0</v>
      </c>
      <c r="E110" s="85"/>
      <c r="F110" s="730">
        <v>0</v>
      </c>
      <c r="G110" s="108"/>
      <c r="H110" s="109"/>
      <c r="I110" s="749"/>
      <c r="J110" s="750"/>
      <c r="K110" s="751"/>
      <c r="L110" s="53"/>
      <c r="M110" s="87"/>
      <c r="N110" s="53"/>
      <c r="O110" s="334" t="str">
        <f>IF(OR(D110="",F110=""),"Incomplete","Complete")</f>
        <v>Complete</v>
      </c>
      <c r="P110" s="53"/>
      <c r="Q110" s="53"/>
    </row>
    <row r="111" spans="1:17" ht="15.75" x14ac:dyDescent="0.25">
      <c r="A111" s="53"/>
      <c r="B111" s="106" t="s">
        <v>219</v>
      </c>
      <c r="C111" s="80"/>
      <c r="D111" s="730">
        <v>0</v>
      </c>
      <c r="E111" s="85"/>
      <c r="F111" s="730">
        <v>0</v>
      </c>
      <c r="G111" s="108"/>
      <c r="H111" s="109"/>
      <c r="I111" s="749"/>
      <c r="J111" s="730">
        <v>0</v>
      </c>
      <c r="K111" s="751"/>
      <c r="L111" s="53"/>
      <c r="M111" s="87"/>
      <c r="N111" s="53"/>
      <c r="O111" s="334" t="str">
        <f>IF(OR(D111="",F111="",J111=""),"Incomplete","Complete")</f>
        <v>Complete</v>
      </c>
      <c r="P111" s="53"/>
      <c r="Q111" s="53"/>
    </row>
    <row r="112" spans="1:17" ht="15.75" x14ac:dyDescent="0.25">
      <c r="A112" s="53"/>
      <c r="B112" s="106" t="s">
        <v>220</v>
      </c>
      <c r="C112" s="80"/>
      <c r="D112" s="718">
        <f>SUM(D110:D111)</f>
        <v>0</v>
      </c>
      <c r="E112" s="85"/>
      <c r="F112" s="718">
        <f>SUM(F110:F111)</f>
        <v>0</v>
      </c>
      <c r="G112" s="108"/>
      <c r="H112" s="109"/>
      <c r="I112" s="749"/>
      <c r="J112" s="750"/>
      <c r="K112" s="751"/>
      <c r="L112" s="53"/>
      <c r="M112" s="752"/>
      <c r="N112" s="53"/>
      <c r="O112" s="53"/>
      <c r="P112" s="53"/>
      <c r="Q112" s="53"/>
    </row>
    <row r="113" spans="1:17" ht="15.75" x14ac:dyDescent="0.25">
      <c r="A113" s="53"/>
      <c r="B113" s="106" t="s">
        <v>221</v>
      </c>
      <c r="C113" s="80"/>
      <c r="D113" s="717">
        <v>0</v>
      </c>
      <c r="E113" s="85"/>
      <c r="F113" s="718">
        <f>'RBS - Risk Margin'!AZ62</f>
        <v>0</v>
      </c>
      <c r="G113" s="108"/>
      <c r="H113" s="109"/>
      <c r="I113" s="749"/>
      <c r="J113" s="750"/>
      <c r="K113" s="751"/>
      <c r="L113" s="53"/>
      <c r="M113" s="752"/>
      <c r="N113" s="53"/>
      <c r="O113" s="53"/>
      <c r="P113" s="53"/>
      <c r="Q113" s="53"/>
    </row>
    <row r="114" spans="1:17" ht="15.75" x14ac:dyDescent="0.25">
      <c r="A114" s="53"/>
      <c r="B114" s="106"/>
      <c r="C114" s="80"/>
      <c r="D114" s="85"/>
      <c r="E114" s="85"/>
      <c r="F114" s="85"/>
      <c r="G114" s="108"/>
      <c r="H114" s="109"/>
      <c r="I114" s="749"/>
      <c r="J114" s="750"/>
      <c r="K114" s="751"/>
      <c r="L114" s="53"/>
      <c r="M114" s="752"/>
      <c r="N114" s="53"/>
      <c r="O114" s="53"/>
      <c r="P114" s="53"/>
      <c r="Q114" s="53"/>
    </row>
    <row r="115" spans="1:17" ht="15.75" x14ac:dyDescent="0.25">
      <c r="A115" s="53"/>
      <c r="B115" s="106" t="s">
        <v>169</v>
      </c>
      <c r="C115" s="80"/>
      <c r="D115" s="718">
        <f>SUM(D112:D113)</f>
        <v>0</v>
      </c>
      <c r="E115" s="85"/>
      <c r="F115" s="718">
        <f>SUM(F112:F113)</f>
        <v>0</v>
      </c>
      <c r="G115" s="108"/>
      <c r="H115" s="109"/>
      <c r="I115" s="749"/>
      <c r="J115" s="750"/>
      <c r="K115" s="751"/>
      <c r="L115" s="53"/>
      <c r="M115" s="752"/>
      <c r="N115" s="53"/>
      <c r="O115" s="53"/>
      <c r="P115" s="53"/>
      <c r="Q115" s="53"/>
    </row>
    <row r="116" spans="1:17" ht="15.75" x14ac:dyDescent="0.25">
      <c r="A116" s="53"/>
      <c r="B116" s="106"/>
      <c r="C116" s="80"/>
      <c r="D116" s="85"/>
      <c r="E116" s="85"/>
      <c r="F116" s="85"/>
      <c r="G116" s="108"/>
      <c r="H116" s="109"/>
      <c r="I116" s="749"/>
      <c r="J116" s="750"/>
      <c r="K116" s="751"/>
      <c r="L116" s="53"/>
      <c r="M116" s="752"/>
      <c r="N116" s="53"/>
      <c r="O116" s="53"/>
      <c r="P116" s="53"/>
      <c r="Q116" s="53"/>
    </row>
    <row r="117" spans="1:17" ht="15.75" x14ac:dyDescent="0.25">
      <c r="A117" s="53"/>
      <c r="B117" s="107" t="s">
        <v>249</v>
      </c>
      <c r="C117" s="719"/>
      <c r="D117" s="720"/>
      <c r="E117" s="721"/>
      <c r="F117" s="720"/>
      <c r="G117" s="722"/>
      <c r="H117" s="109"/>
      <c r="I117" s="107"/>
      <c r="J117" s="728"/>
      <c r="K117" s="729"/>
      <c r="L117" s="53"/>
      <c r="M117" s="84"/>
      <c r="N117" s="53"/>
      <c r="O117" s="53"/>
      <c r="P117" s="53"/>
      <c r="Q117" s="53"/>
    </row>
    <row r="118" spans="1:17" ht="15.75" x14ac:dyDescent="0.25">
      <c r="A118" s="53"/>
      <c r="B118" s="106"/>
      <c r="C118" s="80"/>
      <c r="D118" s="85"/>
      <c r="E118" s="85"/>
      <c r="F118" s="85"/>
      <c r="G118" s="108"/>
      <c r="H118" s="109"/>
      <c r="I118" s="749"/>
      <c r="J118" s="750"/>
      <c r="K118" s="751"/>
      <c r="L118" s="53"/>
      <c r="M118" s="752"/>
      <c r="N118" s="53"/>
      <c r="O118" s="53"/>
      <c r="P118" s="53"/>
      <c r="Q118" s="53"/>
    </row>
    <row r="119" spans="1:17" ht="15.75" x14ac:dyDescent="0.25">
      <c r="A119" s="53"/>
      <c r="B119" s="106" t="s">
        <v>218</v>
      </c>
      <c r="C119" s="80"/>
      <c r="D119" s="730">
        <v>0</v>
      </c>
      <c r="E119" s="85"/>
      <c r="F119" s="730">
        <v>0</v>
      </c>
      <c r="G119" s="108"/>
      <c r="H119" s="109"/>
      <c r="I119" s="749"/>
      <c r="J119" s="750"/>
      <c r="K119" s="751"/>
      <c r="L119" s="53"/>
      <c r="M119" s="87"/>
      <c r="N119" s="53"/>
      <c r="O119" s="334" t="str">
        <f>IF(OR(D119="",F119=""),"Incomplete","Complete")</f>
        <v>Complete</v>
      </c>
      <c r="P119" s="53"/>
      <c r="Q119" s="53"/>
    </row>
    <row r="120" spans="1:17" ht="15.75" x14ac:dyDescent="0.25">
      <c r="A120" s="53"/>
      <c r="B120" s="106" t="s">
        <v>219</v>
      </c>
      <c r="C120" s="80"/>
      <c r="D120" s="730">
        <v>0</v>
      </c>
      <c r="E120" s="85"/>
      <c r="F120" s="730">
        <v>0</v>
      </c>
      <c r="G120" s="108"/>
      <c r="H120" s="109"/>
      <c r="I120" s="749"/>
      <c r="J120" s="730">
        <v>0</v>
      </c>
      <c r="K120" s="751"/>
      <c r="L120" s="53"/>
      <c r="M120" s="87"/>
      <c r="N120" s="53"/>
      <c r="O120" s="334" t="str">
        <f>IF(OR(D120="",F120="",J120=""),"Incomplete","Complete")</f>
        <v>Complete</v>
      </c>
      <c r="P120" s="53"/>
      <c r="Q120" s="53"/>
    </row>
    <row r="121" spans="1:17" ht="15.75" x14ac:dyDescent="0.25">
      <c r="A121" s="53"/>
      <c r="B121" s="106" t="s">
        <v>220</v>
      </c>
      <c r="C121" s="80"/>
      <c r="D121" s="718">
        <f>SUM(D119:D120)</f>
        <v>0</v>
      </c>
      <c r="E121" s="85"/>
      <c r="F121" s="718">
        <f>SUM(F119:F120)</f>
        <v>0</v>
      </c>
      <c r="G121" s="108"/>
      <c r="H121" s="109"/>
      <c r="I121" s="749"/>
      <c r="J121" s="750"/>
      <c r="K121" s="751"/>
      <c r="L121" s="53"/>
      <c r="M121" s="752"/>
      <c r="N121" s="53"/>
      <c r="O121" s="53"/>
      <c r="P121" s="53"/>
      <c r="Q121" s="53"/>
    </row>
    <row r="122" spans="1:17" ht="15.75" x14ac:dyDescent="0.25">
      <c r="A122" s="53"/>
      <c r="B122" s="106" t="s">
        <v>221</v>
      </c>
      <c r="C122" s="80"/>
      <c r="D122" s="717">
        <v>0</v>
      </c>
      <c r="E122" s="85"/>
      <c r="F122" s="718">
        <f>'RBS - Risk Margin'!BB62</f>
        <v>0</v>
      </c>
      <c r="G122" s="108"/>
      <c r="H122" s="109"/>
      <c r="I122" s="749"/>
      <c r="J122" s="750"/>
      <c r="K122" s="751"/>
      <c r="L122" s="53"/>
      <c r="M122" s="752"/>
      <c r="N122" s="53"/>
      <c r="O122" s="53"/>
      <c r="P122" s="53"/>
      <c r="Q122" s="53"/>
    </row>
    <row r="123" spans="1:17" ht="15.75" x14ac:dyDescent="0.25">
      <c r="A123" s="53"/>
      <c r="B123" s="106"/>
      <c r="C123" s="80"/>
      <c r="D123" s="85"/>
      <c r="E123" s="85"/>
      <c r="F123" s="85"/>
      <c r="G123" s="108"/>
      <c r="H123" s="109"/>
      <c r="I123" s="749"/>
      <c r="J123" s="750"/>
      <c r="K123" s="751"/>
      <c r="L123" s="53"/>
      <c r="M123" s="752"/>
      <c r="N123" s="53"/>
      <c r="O123" s="53"/>
      <c r="P123" s="53"/>
      <c r="Q123" s="53"/>
    </row>
    <row r="124" spans="1:17" ht="15.75" x14ac:dyDescent="0.25">
      <c r="A124" s="53"/>
      <c r="B124" s="106" t="s">
        <v>169</v>
      </c>
      <c r="C124" s="80"/>
      <c r="D124" s="718">
        <f>SUM(D121:D122)</f>
        <v>0</v>
      </c>
      <c r="E124" s="85"/>
      <c r="F124" s="718">
        <f>SUM(F121:F122)</f>
        <v>0</v>
      </c>
      <c r="G124" s="108"/>
      <c r="H124" s="109"/>
      <c r="I124" s="749"/>
      <c r="J124" s="750"/>
      <c r="K124" s="751"/>
      <c r="L124" s="53"/>
      <c r="M124" s="752"/>
      <c r="N124" s="53"/>
      <c r="O124" s="53"/>
      <c r="P124" s="53"/>
      <c r="Q124" s="53"/>
    </row>
    <row r="125" spans="1:17" ht="15.75" x14ac:dyDescent="0.25">
      <c r="A125" s="53"/>
      <c r="B125" s="106"/>
      <c r="C125" s="80"/>
      <c r="D125" s="85"/>
      <c r="E125" s="85"/>
      <c r="F125" s="85"/>
      <c r="G125" s="108"/>
      <c r="H125" s="109"/>
      <c r="I125" s="749"/>
      <c r="J125" s="750"/>
      <c r="K125" s="751"/>
      <c r="L125" s="53"/>
      <c r="M125" s="752"/>
      <c r="N125" s="53"/>
      <c r="O125" s="53"/>
      <c r="P125" s="53"/>
      <c r="Q125" s="53"/>
    </row>
    <row r="126" spans="1:17" ht="15.75" x14ac:dyDescent="0.25">
      <c r="A126" s="53"/>
      <c r="B126" s="107" t="s">
        <v>250</v>
      </c>
      <c r="C126" s="719"/>
      <c r="D126" s="720"/>
      <c r="E126" s="721"/>
      <c r="F126" s="720"/>
      <c r="G126" s="722"/>
      <c r="H126" s="109"/>
      <c r="I126" s="107"/>
      <c r="J126" s="728"/>
      <c r="K126" s="729"/>
      <c r="L126" s="53"/>
      <c r="M126" s="84"/>
      <c r="N126" s="53"/>
      <c r="O126" s="53"/>
      <c r="P126" s="53"/>
      <c r="Q126" s="53"/>
    </row>
    <row r="127" spans="1:17" ht="15.75" x14ac:dyDescent="0.25">
      <c r="A127" s="53"/>
      <c r="B127" s="106"/>
      <c r="C127" s="80"/>
      <c r="D127" s="85"/>
      <c r="E127" s="85"/>
      <c r="F127" s="85"/>
      <c r="G127" s="108"/>
      <c r="H127" s="109"/>
      <c r="I127" s="749"/>
      <c r="J127" s="750"/>
      <c r="K127" s="751"/>
      <c r="L127" s="53"/>
      <c r="M127" s="752"/>
      <c r="N127" s="53"/>
      <c r="O127" s="53"/>
      <c r="P127" s="53"/>
      <c r="Q127" s="53"/>
    </row>
    <row r="128" spans="1:17" ht="15.75" x14ac:dyDescent="0.25">
      <c r="A128" s="53"/>
      <c r="B128" s="106" t="s">
        <v>218</v>
      </c>
      <c r="C128" s="80"/>
      <c r="D128" s="730">
        <v>0</v>
      </c>
      <c r="E128" s="85"/>
      <c r="F128" s="730">
        <v>0</v>
      </c>
      <c r="G128" s="108"/>
      <c r="H128" s="109"/>
      <c r="I128" s="749"/>
      <c r="J128" s="750"/>
      <c r="K128" s="751"/>
      <c r="L128" s="53"/>
      <c r="M128" s="87"/>
      <c r="N128" s="53"/>
      <c r="O128" s="334" t="str">
        <f>IF(OR(D128="",F128=""),"Incomplete","Complete")</f>
        <v>Complete</v>
      </c>
      <c r="P128" s="53"/>
      <c r="Q128" s="53"/>
    </row>
    <row r="129" spans="1:17" ht="15.75" x14ac:dyDescent="0.25">
      <c r="A129" s="53"/>
      <c r="B129" s="106" t="s">
        <v>219</v>
      </c>
      <c r="C129" s="80"/>
      <c r="D129" s="730">
        <v>0</v>
      </c>
      <c r="E129" s="85"/>
      <c r="F129" s="730">
        <v>0</v>
      </c>
      <c r="G129" s="108"/>
      <c r="H129" s="109"/>
      <c r="I129" s="749"/>
      <c r="J129" s="730">
        <v>0</v>
      </c>
      <c r="K129" s="751"/>
      <c r="L129" s="53"/>
      <c r="M129" s="87"/>
      <c r="N129" s="53"/>
      <c r="O129" s="334" t="str">
        <f>IF(OR(D129="",F129="",J129=""),"Incomplete","Complete")</f>
        <v>Complete</v>
      </c>
      <c r="P129" s="53"/>
      <c r="Q129" s="53"/>
    </row>
    <row r="130" spans="1:17" ht="15.75" x14ac:dyDescent="0.25">
      <c r="A130" s="53"/>
      <c r="B130" s="106" t="s">
        <v>220</v>
      </c>
      <c r="C130" s="80"/>
      <c r="D130" s="718">
        <f>SUM(D128:D129)</f>
        <v>0</v>
      </c>
      <c r="E130" s="85"/>
      <c r="F130" s="718">
        <f>SUM(F128:F129)</f>
        <v>0</v>
      </c>
      <c r="G130" s="108"/>
      <c r="H130" s="109"/>
      <c r="I130" s="749"/>
      <c r="J130" s="750"/>
      <c r="K130" s="751"/>
      <c r="L130" s="53"/>
      <c r="M130" s="752"/>
      <c r="N130" s="53"/>
      <c r="O130" s="53"/>
      <c r="P130" s="53"/>
      <c r="Q130" s="53"/>
    </row>
    <row r="131" spans="1:17" ht="15.75" x14ac:dyDescent="0.25">
      <c r="A131" s="53"/>
      <c r="B131" s="106" t="s">
        <v>221</v>
      </c>
      <c r="C131" s="80"/>
      <c r="D131" s="717">
        <v>0</v>
      </c>
      <c r="E131" s="85"/>
      <c r="F131" s="718">
        <f>'RBS - Risk Margin'!BD62</f>
        <v>0</v>
      </c>
      <c r="G131" s="108"/>
      <c r="H131" s="109"/>
      <c r="I131" s="749"/>
      <c r="J131" s="750"/>
      <c r="K131" s="751"/>
      <c r="L131" s="53"/>
      <c r="M131" s="752"/>
      <c r="N131" s="53"/>
      <c r="O131" s="53"/>
      <c r="P131" s="53"/>
      <c r="Q131" s="53"/>
    </row>
    <row r="132" spans="1:17" ht="15.75" x14ac:dyDescent="0.25">
      <c r="A132" s="53"/>
      <c r="B132" s="106"/>
      <c r="C132" s="80"/>
      <c r="D132" s="85"/>
      <c r="E132" s="85"/>
      <c r="F132" s="85"/>
      <c r="G132" s="108"/>
      <c r="H132" s="109"/>
      <c r="I132" s="749"/>
      <c r="J132" s="750"/>
      <c r="K132" s="751"/>
      <c r="L132" s="53"/>
      <c r="M132" s="752"/>
      <c r="N132" s="53"/>
      <c r="O132" s="53"/>
      <c r="P132" s="53"/>
      <c r="Q132" s="53"/>
    </row>
    <row r="133" spans="1:17" ht="15.75" x14ac:dyDescent="0.25">
      <c r="A133" s="53"/>
      <c r="B133" s="106" t="s">
        <v>169</v>
      </c>
      <c r="C133" s="80"/>
      <c r="D133" s="718">
        <f>SUM(D130:D131)</f>
        <v>0</v>
      </c>
      <c r="E133" s="85"/>
      <c r="F133" s="718">
        <f>SUM(F130:F131)</f>
        <v>0</v>
      </c>
      <c r="G133" s="108"/>
      <c r="H133" s="109"/>
      <c r="I133" s="749"/>
      <c r="J133" s="750"/>
      <c r="K133" s="751"/>
      <c r="L133" s="53"/>
      <c r="M133" s="752"/>
      <c r="N133" s="53"/>
      <c r="O133" s="53"/>
      <c r="P133" s="53"/>
      <c r="Q133" s="53"/>
    </row>
    <row r="134" spans="1:17" ht="15.75" x14ac:dyDescent="0.25">
      <c r="A134" s="53"/>
      <c r="B134" s="106"/>
      <c r="C134" s="80"/>
      <c r="D134" s="85"/>
      <c r="E134" s="85"/>
      <c r="F134" s="85"/>
      <c r="G134" s="108"/>
      <c r="H134" s="109"/>
      <c r="I134" s="749"/>
      <c r="J134" s="750"/>
      <c r="K134" s="751"/>
      <c r="L134" s="53"/>
      <c r="M134" s="752"/>
      <c r="N134" s="53"/>
      <c r="O134" s="53"/>
      <c r="P134" s="53"/>
      <c r="Q134" s="53"/>
    </row>
    <row r="135" spans="1:17" ht="15.75" x14ac:dyDescent="0.25">
      <c r="A135" s="53"/>
      <c r="B135" s="107" t="s">
        <v>251</v>
      </c>
      <c r="C135" s="719"/>
      <c r="D135" s="720"/>
      <c r="E135" s="721"/>
      <c r="F135" s="720"/>
      <c r="G135" s="722"/>
      <c r="H135" s="109"/>
      <c r="I135" s="107"/>
      <c r="J135" s="728"/>
      <c r="K135" s="729"/>
      <c r="L135" s="53"/>
      <c r="M135" s="84"/>
      <c r="N135" s="53"/>
      <c r="O135" s="53"/>
      <c r="P135" s="53"/>
      <c r="Q135" s="53"/>
    </row>
    <row r="136" spans="1:17" ht="15.75" x14ac:dyDescent="0.25">
      <c r="A136" s="53"/>
      <c r="B136" s="106"/>
      <c r="C136" s="80"/>
      <c r="D136" s="85"/>
      <c r="E136" s="85"/>
      <c r="F136" s="85"/>
      <c r="G136" s="108"/>
      <c r="H136" s="109"/>
      <c r="I136" s="749"/>
      <c r="J136" s="750"/>
      <c r="K136" s="751"/>
      <c r="L136" s="53"/>
      <c r="M136" s="752"/>
      <c r="N136" s="53"/>
      <c r="O136" s="53"/>
      <c r="P136" s="53"/>
      <c r="Q136" s="53"/>
    </row>
    <row r="137" spans="1:17" ht="15.75" x14ac:dyDescent="0.25">
      <c r="A137" s="53"/>
      <c r="B137" s="106" t="s">
        <v>218</v>
      </c>
      <c r="C137" s="80"/>
      <c r="D137" s="730">
        <v>0</v>
      </c>
      <c r="E137" s="85"/>
      <c r="F137" s="730">
        <v>0</v>
      </c>
      <c r="G137" s="108"/>
      <c r="H137" s="109"/>
      <c r="I137" s="749"/>
      <c r="J137" s="750"/>
      <c r="K137" s="751"/>
      <c r="L137" s="53"/>
      <c r="M137" s="87"/>
      <c r="N137" s="53"/>
      <c r="O137" s="334" t="str">
        <f>IF(OR(D137="",F137=""),"Incomplete","Complete")</f>
        <v>Complete</v>
      </c>
      <c r="P137" s="53"/>
      <c r="Q137" s="53"/>
    </row>
    <row r="138" spans="1:17" ht="15.75" x14ac:dyDescent="0.25">
      <c r="A138" s="53"/>
      <c r="B138" s="106" t="s">
        <v>219</v>
      </c>
      <c r="C138" s="80"/>
      <c r="D138" s="730">
        <v>0</v>
      </c>
      <c r="E138" s="85"/>
      <c r="F138" s="730">
        <v>0</v>
      </c>
      <c r="G138" s="108"/>
      <c r="H138" s="109"/>
      <c r="I138" s="749"/>
      <c r="J138" s="730">
        <v>0</v>
      </c>
      <c r="K138" s="751"/>
      <c r="L138" s="53"/>
      <c r="M138" s="87"/>
      <c r="N138" s="53"/>
      <c r="O138" s="334" t="str">
        <f>IF(OR(D138="",F138="",J138=""),"Incomplete","Complete")</f>
        <v>Complete</v>
      </c>
      <c r="P138" s="53"/>
      <c r="Q138" s="53"/>
    </row>
    <row r="139" spans="1:17" ht="15.75" x14ac:dyDescent="0.25">
      <c r="A139" s="53"/>
      <c r="B139" s="106" t="s">
        <v>220</v>
      </c>
      <c r="C139" s="80"/>
      <c r="D139" s="718">
        <f>SUM(D137:D138)</f>
        <v>0</v>
      </c>
      <c r="E139" s="85"/>
      <c r="F139" s="718">
        <f>SUM(F137:F138)</f>
        <v>0</v>
      </c>
      <c r="G139" s="108"/>
      <c r="H139" s="109"/>
      <c r="I139" s="749"/>
      <c r="J139" s="750"/>
      <c r="K139" s="751"/>
      <c r="L139" s="53"/>
      <c r="M139" s="752"/>
      <c r="N139" s="53"/>
      <c r="O139" s="53"/>
      <c r="P139" s="53"/>
      <c r="Q139" s="53"/>
    </row>
    <row r="140" spans="1:17" ht="15.75" x14ac:dyDescent="0.25">
      <c r="A140" s="53"/>
      <c r="B140" s="106" t="s">
        <v>221</v>
      </c>
      <c r="C140" s="80"/>
      <c r="D140" s="717">
        <v>0</v>
      </c>
      <c r="E140" s="85"/>
      <c r="F140" s="718">
        <f>'RBS - Risk Margin'!BF62</f>
        <v>0</v>
      </c>
      <c r="G140" s="108"/>
      <c r="H140" s="109"/>
      <c r="I140" s="749"/>
      <c r="J140" s="750"/>
      <c r="K140" s="751"/>
      <c r="L140" s="53"/>
      <c r="M140" s="752"/>
      <c r="N140" s="53"/>
      <c r="O140" s="53"/>
      <c r="P140" s="53"/>
      <c r="Q140" s="53"/>
    </row>
    <row r="141" spans="1:17" ht="15.75" x14ac:dyDescent="0.25">
      <c r="A141" s="53"/>
      <c r="B141" s="106"/>
      <c r="C141" s="80"/>
      <c r="D141" s="85"/>
      <c r="E141" s="85"/>
      <c r="F141" s="85"/>
      <c r="G141" s="108"/>
      <c r="H141" s="109"/>
      <c r="I141" s="749"/>
      <c r="J141" s="750"/>
      <c r="K141" s="751"/>
      <c r="L141" s="53"/>
      <c r="M141" s="752"/>
      <c r="N141" s="53"/>
      <c r="O141" s="53"/>
      <c r="P141" s="53"/>
      <c r="Q141" s="53"/>
    </row>
    <row r="142" spans="1:17" ht="15.75" x14ac:dyDescent="0.25">
      <c r="A142" s="53"/>
      <c r="B142" s="106" t="s">
        <v>169</v>
      </c>
      <c r="C142" s="80"/>
      <c r="D142" s="718">
        <f>SUM(D139:D140)</f>
        <v>0</v>
      </c>
      <c r="E142" s="85"/>
      <c r="F142" s="718">
        <f>SUM(F139:F140)</f>
        <v>0</v>
      </c>
      <c r="G142" s="108"/>
      <c r="H142" s="109"/>
      <c r="I142" s="749"/>
      <c r="J142" s="750"/>
      <c r="K142" s="751"/>
      <c r="L142" s="53"/>
      <c r="M142" s="752"/>
      <c r="N142" s="53"/>
      <c r="O142" s="53"/>
      <c r="P142" s="53"/>
      <c r="Q142" s="53"/>
    </row>
    <row r="143" spans="1:17" ht="15.75" x14ac:dyDescent="0.25">
      <c r="A143" s="53"/>
      <c r="B143" s="106"/>
      <c r="C143" s="80"/>
      <c r="D143" s="85"/>
      <c r="E143" s="85"/>
      <c r="F143" s="85"/>
      <c r="G143" s="108"/>
      <c r="H143" s="109"/>
      <c r="I143" s="749"/>
      <c r="J143" s="750"/>
      <c r="K143" s="751"/>
      <c r="L143" s="53"/>
      <c r="M143" s="752"/>
      <c r="N143" s="53"/>
      <c r="O143" s="53"/>
      <c r="P143" s="53"/>
      <c r="Q143" s="53"/>
    </row>
    <row r="144" spans="1:17" ht="15.75" x14ac:dyDescent="0.25">
      <c r="A144" s="53"/>
      <c r="B144" s="107" t="s">
        <v>252</v>
      </c>
      <c r="C144" s="719"/>
      <c r="D144" s="720"/>
      <c r="E144" s="721"/>
      <c r="F144" s="720"/>
      <c r="G144" s="722"/>
      <c r="H144" s="109"/>
      <c r="I144" s="107"/>
      <c r="J144" s="728"/>
      <c r="K144" s="729"/>
      <c r="L144" s="53"/>
      <c r="M144" s="84"/>
      <c r="N144" s="53"/>
      <c r="O144" s="53"/>
      <c r="P144" s="53"/>
      <c r="Q144" s="53"/>
    </row>
    <row r="145" spans="1:17" ht="15.75" x14ac:dyDescent="0.25">
      <c r="A145" s="53"/>
      <c r="B145" s="106"/>
      <c r="C145" s="80"/>
      <c r="D145" s="85"/>
      <c r="E145" s="85"/>
      <c r="F145" s="85"/>
      <c r="G145" s="108"/>
      <c r="H145" s="109"/>
      <c r="I145" s="749"/>
      <c r="J145" s="750"/>
      <c r="K145" s="751"/>
      <c r="L145" s="53"/>
      <c r="M145" s="752"/>
      <c r="N145" s="53"/>
      <c r="O145" s="53"/>
      <c r="P145" s="53"/>
      <c r="Q145" s="53"/>
    </row>
    <row r="146" spans="1:17" ht="15.75" x14ac:dyDescent="0.25">
      <c r="A146" s="53"/>
      <c r="B146" s="106" t="s">
        <v>218</v>
      </c>
      <c r="C146" s="80"/>
      <c r="D146" s="730">
        <v>0</v>
      </c>
      <c r="E146" s="85"/>
      <c r="F146" s="730">
        <v>0</v>
      </c>
      <c r="G146" s="108"/>
      <c r="H146" s="109"/>
      <c r="I146" s="749"/>
      <c r="J146" s="750"/>
      <c r="K146" s="751"/>
      <c r="L146" s="53"/>
      <c r="M146" s="87"/>
      <c r="N146" s="53"/>
      <c r="O146" s="334" t="str">
        <f>IF(OR(D146="",F146=""),"Incomplete","Complete")</f>
        <v>Complete</v>
      </c>
      <c r="P146" s="53"/>
      <c r="Q146" s="53"/>
    </row>
    <row r="147" spans="1:17" ht="15.75" x14ac:dyDescent="0.25">
      <c r="A147" s="53"/>
      <c r="B147" s="106" t="s">
        <v>219</v>
      </c>
      <c r="C147" s="80"/>
      <c r="D147" s="730">
        <v>0</v>
      </c>
      <c r="E147" s="85"/>
      <c r="F147" s="730">
        <v>0</v>
      </c>
      <c r="G147" s="108"/>
      <c r="H147" s="109"/>
      <c r="I147" s="749"/>
      <c r="J147" s="730">
        <v>0</v>
      </c>
      <c r="K147" s="751"/>
      <c r="L147" s="53"/>
      <c r="M147" s="87"/>
      <c r="N147" s="53"/>
      <c r="O147" s="334" t="str">
        <f>IF(OR(D147="",F147="",J147=""),"Incomplete","Complete")</f>
        <v>Complete</v>
      </c>
      <c r="P147" s="53"/>
      <c r="Q147" s="53"/>
    </row>
    <row r="148" spans="1:17" ht="15.75" x14ac:dyDescent="0.25">
      <c r="A148" s="53"/>
      <c r="B148" s="106" t="s">
        <v>220</v>
      </c>
      <c r="C148" s="80"/>
      <c r="D148" s="718">
        <f>SUM(D146:D147)</f>
        <v>0</v>
      </c>
      <c r="E148" s="85"/>
      <c r="F148" s="718">
        <f>SUM(F146:F147)</f>
        <v>0</v>
      </c>
      <c r="G148" s="108"/>
      <c r="H148" s="109"/>
      <c r="I148" s="749"/>
      <c r="J148" s="750"/>
      <c r="K148" s="751"/>
      <c r="L148" s="53"/>
      <c r="M148" s="752"/>
      <c r="N148" s="53"/>
      <c r="O148" s="53"/>
      <c r="P148" s="53"/>
      <c r="Q148" s="53"/>
    </row>
    <row r="149" spans="1:17" ht="15.75" x14ac:dyDescent="0.25">
      <c r="A149" s="53"/>
      <c r="B149" s="106" t="s">
        <v>221</v>
      </c>
      <c r="C149" s="80"/>
      <c r="D149" s="717">
        <v>0</v>
      </c>
      <c r="E149" s="85"/>
      <c r="F149" s="718">
        <f>'RBS - Risk Margin'!BH62</f>
        <v>0</v>
      </c>
      <c r="G149" s="108"/>
      <c r="H149" s="109"/>
      <c r="I149" s="749"/>
      <c r="J149" s="750"/>
      <c r="K149" s="751"/>
      <c r="L149" s="53"/>
      <c r="M149" s="752"/>
      <c r="N149" s="53"/>
      <c r="O149" s="53"/>
      <c r="P149" s="53"/>
      <c r="Q149" s="53"/>
    </row>
    <row r="150" spans="1:17" ht="15.75" x14ac:dyDescent="0.25">
      <c r="A150" s="53"/>
      <c r="B150" s="106"/>
      <c r="C150" s="80"/>
      <c r="D150" s="85"/>
      <c r="E150" s="85"/>
      <c r="F150" s="85"/>
      <c r="G150" s="108"/>
      <c r="H150" s="109"/>
      <c r="I150" s="749"/>
      <c r="J150" s="750"/>
      <c r="K150" s="751"/>
      <c r="L150" s="53"/>
      <c r="M150" s="752"/>
      <c r="N150" s="53"/>
      <c r="O150" s="53"/>
      <c r="P150" s="53"/>
      <c r="Q150" s="53"/>
    </row>
    <row r="151" spans="1:17" ht="15.75" x14ac:dyDescent="0.25">
      <c r="A151" s="53"/>
      <c r="B151" s="106" t="s">
        <v>169</v>
      </c>
      <c r="C151" s="80"/>
      <c r="D151" s="718">
        <f>SUM(D148:D149)</f>
        <v>0</v>
      </c>
      <c r="E151" s="85"/>
      <c r="F151" s="718">
        <f>SUM(F148:F149)</f>
        <v>0</v>
      </c>
      <c r="G151" s="108"/>
      <c r="H151" s="109"/>
      <c r="I151" s="749"/>
      <c r="J151" s="750"/>
      <c r="K151" s="751"/>
      <c r="L151" s="53"/>
      <c r="M151" s="752"/>
      <c r="N151" s="53"/>
      <c r="O151" s="53"/>
      <c r="P151" s="53"/>
      <c r="Q151" s="53"/>
    </row>
    <row r="152" spans="1:17" ht="15.75" x14ac:dyDescent="0.25">
      <c r="A152" s="53"/>
      <c r="B152" s="106"/>
      <c r="C152" s="80"/>
      <c r="D152" s="85"/>
      <c r="E152" s="85"/>
      <c r="F152" s="85"/>
      <c r="G152" s="108"/>
      <c r="H152" s="109"/>
      <c r="I152" s="749"/>
      <c r="J152" s="750"/>
      <c r="K152" s="751"/>
      <c r="L152" s="53"/>
      <c r="M152" s="752"/>
      <c r="N152" s="53"/>
      <c r="O152" s="53"/>
      <c r="P152" s="53"/>
      <c r="Q152" s="53"/>
    </row>
    <row r="153" spans="1:17" ht="15.75" x14ac:dyDescent="0.25">
      <c r="A153" s="53"/>
      <c r="B153" s="107" t="s">
        <v>253</v>
      </c>
      <c r="C153" s="719"/>
      <c r="D153" s="720"/>
      <c r="E153" s="721"/>
      <c r="F153" s="720"/>
      <c r="G153" s="722"/>
      <c r="H153" s="109"/>
      <c r="I153" s="107"/>
      <c r="J153" s="728"/>
      <c r="K153" s="729"/>
      <c r="L153" s="53"/>
      <c r="M153" s="84"/>
      <c r="N153" s="53"/>
      <c r="O153" s="53"/>
      <c r="P153" s="53"/>
      <c r="Q153" s="53"/>
    </row>
    <row r="154" spans="1:17" ht="15.75" x14ac:dyDescent="0.25">
      <c r="A154" s="53"/>
      <c r="B154" s="106"/>
      <c r="C154" s="80"/>
      <c r="D154" s="85"/>
      <c r="E154" s="85"/>
      <c r="F154" s="85"/>
      <c r="G154" s="108"/>
      <c r="H154" s="109"/>
      <c r="I154" s="106"/>
      <c r="J154" s="80"/>
      <c r="K154" s="81"/>
      <c r="L154" s="53"/>
      <c r="M154" s="752"/>
      <c r="N154" s="53"/>
      <c r="O154" s="53"/>
      <c r="P154" s="53"/>
      <c r="Q154" s="53"/>
    </row>
    <row r="155" spans="1:17" ht="15.75" x14ac:dyDescent="0.25">
      <c r="A155" s="53"/>
      <c r="B155" s="106" t="s">
        <v>254</v>
      </c>
      <c r="C155" s="80"/>
      <c r="D155" s="718">
        <f>SUM('RBS - Direct TPs'!Acc_Total_Direct_Liabs,Acc_TP_13,Acc_TP_14,Acc_TP_15,Acc_TP_16,Acc_TP_17,Acc_TP_18,Acc_TP_19,Acc_TP_20,Acc_TP_21,Acc_TP_22,Acc_TP_23,Acc_TP_24,Acc_TP_25,Acc_TP_26,Acc_TP_27,Acc_TP_28)</f>
        <v>0</v>
      </c>
      <c r="E155" s="85"/>
      <c r="F155" s="718">
        <f>SUM('RBS - Direct TPs'!Reg_Total_Direct_Liabs,Reg_TP_13_10,Reg_TP_14_10,Reg_TP_15_10,Reg_TP_16_10,Reg_TP_17_10,Reg_TP_18_10,Reg_TP_19_10,Reg_TP_20_10,Reg_TP_21_10,Reg_TP_22_10,Reg_TP_23_10,Reg_TP_24_10,Reg_TP_25_10,Reg_TP_26_10,Reg_TP_27_10,Reg_TP_28_10)</f>
        <v>0</v>
      </c>
      <c r="G155" s="108"/>
      <c r="H155" s="109"/>
      <c r="I155" s="106"/>
      <c r="J155" s="725">
        <f>J147+J138+J129+J120+J111+J102+J93+J84+J75+J66+J57+J48+J39+J30+J21+J12+'RBS - Direct TPs'!J119</f>
        <v>0</v>
      </c>
      <c r="K155" s="81"/>
      <c r="L155" s="53"/>
      <c r="M155" s="87"/>
      <c r="N155" s="53"/>
      <c r="O155" s="53"/>
      <c r="P155" s="53"/>
      <c r="Q155" s="53"/>
    </row>
    <row r="156" spans="1:17" ht="16.5" thickBot="1" x14ac:dyDescent="0.3">
      <c r="A156" s="53"/>
      <c r="B156" s="110"/>
      <c r="C156" s="93"/>
      <c r="D156" s="93"/>
      <c r="E156" s="93"/>
      <c r="F156" s="93"/>
      <c r="G156" s="94"/>
      <c r="H156" s="53"/>
      <c r="I156" s="110"/>
      <c r="J156" s="93"/>
      <c r="K156" s="94"/>
      <c r="L156" s="53"/>
      <c r="M156" s="754"/>
      <c r="N156" s="53"/>
      <c r="O156" s="53"/>
      <c r="P156" s="53"/>
      <c r="Q156" s="53"/>
    </row>
    <row r="157" spans="1:17" ht="15.75" x14ac:dyDescent="0.25">
      <c r="A157" s="53"/>
      <c r="B157" s="53"/>
      <c r="C157" s="53"/>
      <c r="D157" s="53"/>
      <c r="E157" s="53"/>
      <c r="F157" s="53"/>
      <c r="G157" s="53"/>
      <c r="H157" s="53"/>
      <c r="I157" s="53"/>
      <c r="J157" s="53"/>
      <c r="K157" s="53"/>
      <c r="L157" s="53"/>
      <c r="M157" s="53"/>
      <c r="N157" s="53"/>
      <c r="O157" s="53"/>
      <c r="P157" s="53"/>
      <c r="Q157" s="53"/>
    </row>
    <row r="158" spans="1:17" ht="15.75" x14ac:dyDescent="0.25">
      <c r="A158" s="53"/>
      <c r="B158" s="53"/>
      <c r="C158" s="53"/>
      <c r="D158" s="53"/>
      <c r="E158" s="53"/>
      <c r="F158" s="53"/>
      <c r="G158" s="53"/>
      <c r="H158" s="53"/>
      <c r="I158" s="53"/>
      <c r="J158" s="53"/>
      <c r="K158" s="53"/>
      <c r="L158" s="53"/>
      <c r="M158" s="53"/>
      <c r="N158" s="53"/>
      <c r="O158" s="53"/>
      <c r="P158" s="53"/>
      <c r="Q158" s="53"/>
    </row>
    <row r="159" spans="1:17" ht="15.75" x14ac:dyDescent="0.25">
      <c r="A159" s="53"/>
      <c r="B159" s="53"/>
      <c r="C159" s="53"/>
      <c r="D159" s="53"/>
      <c r="E159" s="53"/>
      <c r="F159" s="53"/>
      <c r="G159" s="53"/>
      <c r="H159" s="53"/>
      <c r="I159" s="53"/>
      <c r="J159" s="53"/>
      <c r="K159" s="53"/>
      <c r="L159" s="53"/>
      <c r="M159" s="53"/>
      <c r="N159" s="53"/>
      <c r="O159" s="53"/>
      <c r="P159" s="53"/>
      <c r="Q159" s="53"/>
    </row>
    <row r="160" spans="1:17" ht="15.75" x14ac:dyDescent="0.25">
      <c r="A160" s="53"/>
      <c r="B160" s="53"/>
      <c r="C160" s="53"/>
      <c r="D160" s="53"/>
      <c r="E160" s="53"/>
      <c r="F160" s="53"/>
      <c r="G160" s="53"/>
      <c r="H160" s="53"/>
      <c r="I160" s="53"/>
      <c r="J160" s="53"/>
      <c r="K160" s="53"/>
      <c r="L160" s="53"/>
      <c r="M160" s="53"/>
      <c r="N160" s="53"/>
      <c r="O160" s="53"/>
      <c r="P160" s="53"/>
      <c r="Q160" s="53"/>
    </row>
    <row r="161" spans="1:17" ht="15.75" x14ac:dyDescent="0.25">
      <c r="A161" s="53"/>
      <c r="B161" s="53"/>
      <c r="C161" s="53"/>
      <c r="D161" s="53"/>
      <c r="E161" s="53"/>
      <c r="F161" s="53"/>
      <c r="G161" s="53"/>
      <c r="H161" s="53"/>
      <c r="I161" s="53"/>
      <c r="J161" s="53"/>
      <c r="K161" s="53"/>
      <c r="L161" s="53"/>
      <c r="M161" s="53"/>
      <c r="N161" s="53"/>
      <c r="O161" s="53"/>
      <c r="P161" s="53"/>
      <c r="Q161" s="53"/>
    </row>
    <row r="162" spans="1:17" ht="15.75" x14ac:dyDescent="0.25">
      <c r="A162" s="53"/>
      <c r="B162" s="53"/>
      <c r="C162" s="53"/>
      <c r="D162" s="53"/>
      <c r="E162" s="53"/>
      <c r="F162" s="53"/>
      <c r="G162" s="53"/>
      <c r="H162" s="53"/>
      <c r="I162" s="53"/>
      <c r="J162" s="53"/>
      <c r="K162" s="53"/>
      <c r="L162" s="53"/>
      <c r="M162" s="53"/>
      <c r="N162" s="53"/>
      <c r="O162" s="53"/>
      <c r="P162" s="53"/>
      <c r="Q162" s="53"/>
    </row>
    <row r="163" spans="1:17" ht="15.75" x14ac:dyDescent="0.25">
      <c r="A163" s="53"/>
      <c r="B163" s="53"/>
      <c r="C163" s="53"/>
      <c r="D163" s="53"/>
      <c r="E163" s="53"/>
      <c r="F163" s="53"/>
      <c r="G163" s="53"/>
      <c r="H163" s="53"/>
      <c r="I163" s="53"/>
      <c r="J163" s="53"/>
      <c r="K163" s="53"/>
      <c r="L163" s="53"/>
      <c r="M163" s="53"/>
      <c r="N163" s="53"/>
      <c r="O163" s="53"/>
      <c r="P163" s="53"/>
      <c r="Q163" s="53"/>
    </row>
    <row r="164" spans="1:17" ht="15.75" x14ac:dyDescent="0.25">
      <c r="A164" s="53"/>
      <c r="B164" s="53"/>
      <c r="C164" s="53"/>
      <c r="D164" s="53"/>
      <c r="E164" s="53"/>
      <c r="F164" s="53"/>
      <c r="G164" s="53"/>
      <c r="H164" s="53"/>
      <c r="I164" s="53"/>
      <c r="J164" s="53"/>
      <c r="K164" s="53"/>
      <c r="L164" s="53"/>
      <c r="M164" s="53"/>
      <c r="N164" s="53"/>
      <c r="O164" s="53"/>
      <c r="P164" s="53"/>
      <c r="Q164" s="53"/>
    </row>
    <row r="165" spans="1:17" ht="15.75" x14ac:dyDescent="0.25">
      <c r="A165" s="53"/>
      <c r="B165" s="53"/>
      <c r="C165" s="53"/>
      <c r="D165" s="53"/>
      <c r="E165" s="53"/>
      <c r="F165" s="53"/>
      <c r="G165" s="53"/>
      <c r="H165" s="53"/>
      <c r="I165" s="53"/>
      <c r="J165" s="53"/>
      <c r="K165" s="53"/>
      <c r="L165" s="53"/>
      <c r="M165" s="53"/>
      <c r="N165" s="53"/>
      <c r="O165" s="53"/>
      <c r="P165" s="53"/>
      <c r="Q165" s="53"/>
    </row>
    <row r="166" spans="1:17" ht="15.75" x14ac:dyDescent="0.25">
      <c r="A166" s="53"/>
      <c r="B166" s="53"/>
      <c r="C166" s="53"/>
      <c r="D166" s="53"/>
      <c r="E166" s="53"/>
      <c r="F166" s="53"/>
      <c r="G166" s="53"/>
      <c r="H166" s="53"/>
      <c r="I166" s="53"/>
      <c r="J166" s="53"/>
      <c r="K166" s="53"/>
      <c r="L166" s="53"/>
      <c r="M166" s="53"/>
      <c r="N166" s="53"/>
      <c r="O166" s="53"/>
      <c r="P166" s="53"/>
      <c r="Q166" s="53"/>
    </row>
  </sheetData>
  <sheetProtection algorithmName="SHA-512" hashValue="CRRP/pnej1zlLYqjHU2JBSSa1/u3ek2tQSm/4ZBqFU+cvZS/X7irUg0DBWgB6guFZsceKVOKpx70abq5EwZpgw==" saltValue="BflL7StULvQYSqtHKBQxFw==" spinCount="100000" sheet="1" objects="1" scenarios="1"/>
  <customSheetViews>
    <customSheetView guid="{5F9ED89D-ECFA-4459-A055-6360C65F3370}" scale="85" fitToPage="1" hiddenRows="1" hiddenColumns="1" topLeftCell="A52">
      <selection activeCell="F693" sqref="F693"/>
      <pageMargins left="0" right="0" top="0" bottom="0" header="0" footer="0"/>
      <pageSetup paperSize="9" scale="58" orientation="portrait" r:id="rId1"/>
      <headerFooter>
        <oddFooter>&amp;CDRAFT - FOR DISCUSSION PURPOSES ONLY</oddFooter>
      </headerFooter>
    </customSheetView>
  </customSheetViews>
  <mergeCells count="2">
    <mergeCell ref="F5:G5"/>
    <mergeCell ref="C5:C6"/>
  </mergeCells>
  <conditionalFormatting sqref="M1 M3:M4 M157:M159">
    <cfRule type="cellIs" dxfId="770" priority="295" operator="equal">
      <formula>"ZERO"</formula>
    </cfRule>
  </conditionalFormatting>
  <conditionalFormatting sqref="M1:M4">
    <cfRule type="cellIs" dxfId="769" priority="286" operator="equal">
      <formula>"ERROR"</formula>
    </cfRule>
    <cfRule type="cellIs" dxfId="768" priority="285" operator="equal">
      <formula>"OK"</formula>
    </cfRule>
  </conditionalFormatting>
  <conditionalFormatting sqref="M157:M159">
    <cfRule type="cellIs" dxfId="767" priority="294" operator="equal">
      <formula>"ERROR"</formula>
    </cfRule>
    <cfRule type="cellIs" dxfId="766" priority="293" operator="equal">
      <formula>"OK"</formula>
    </cfRule>
  </conditionalFormatting>
  <conditionalFormatting sqref="O4">
    <cfRule type="cellIs" dxfId="765" priority="96" operator="equal">
      <formula>"Incomplete"</formula>
    </cfRule>
    <cfRule type="cellIs" dxfId="764" priority="95" operator="equal">
      <formula>"Complete"</formula>
    </cfRule>
  </conditionalFormatting>
  <conditionalFormatting sqref="O10:O12">
    <cfRule type="cellIs" dxfId="763" priority="62" operator="equal">
      <formula>"Incomplete"</formula>
    </cfRule>
    <cfRule type="cellIs" dxfId="762" priority="61" operator="equal">
      <formula>"Complete"</formula>
    </cfRule>
  </conditionalFormatting>
  <conditionalFormatting sqref="O20:O21">
    <cfRule type="cellIs" dxfId="761" priority="58" operator="equal">
      <formula>"Incomplete"</formula>
    </cfRule>
    <cfRule type="cellIs" dxfId="760" priority="57" operator="equal">
      <formula>"Complete"</formula>
    </cfRule>
  </conditionalFormatting>
  <conditionalFormatting sqref="O29:O30">
    <cfRule type="cellIs" dxfId="759" priority="54" operator="equal">
      <formula>"Incomplete"</formula>
    </cfRule>
    <cfRule type="cellIs" dxfId="758" priority="53" operator="equal">
      <formula>"Complete"</formula>
    </cfRule>
  </conditionalFormatting>
  <conditionalFormatting sqref="O38:O41">
    <cfRule type="cellIs" dxfId="757" priority="50" operator="equal">
      <formula>"Incomplete"</formula>
    </cfRule>
    <cfRule type="cellIs" dxfId="756" priority="49" operator="equal">
      <formula>"Complete"</formula>
    </cfRule>
  </conditionalFormatting>
  <conditionalFormatting sqref="O47:O49">
    <cfRule type="cellIs" dxfId="755" priority="45" operator="equal">
      <formula>"Complete"</formula>
    </cfRule>
    <cfRule type="cellIs" dxfId="754" priority="46" operator="equal">
      <formula>"Incomplete"</formula>
    </cfRule>
  </conditionalFormatting>
  <conditionalFormatting sqref="O56:O67">
    <cfRule type="cellIs" dxfId="753" priority="38" operator="equal">
      <formula>"Incomplete"</formula>
    </cfRule>
    <cfRule type="cellIs" dxfId="752" priority="37" operator="equal">
      <formula>"Complete"</formula>
    </cfRule>
  </conditionalFormatting>
  <conditionalFormatting sqref="O73:O75">
    <cfRule type="cellIs" dxfId="751" priority="34" operator="equal">
      <formula>"Incomplete"</formula>
    </cfRule>
    <cfRule type="cellIs" dxfId="750" priority="33" operator="equal">
      <formula>"Complete"</formula>
    </cfRule>
  </conditionalFormatting>
  <conditionalFormatting sqref="O83:O84">
    <cfRule type="cellIs" dxfId="749" priority="30" operator="equal">
      <formula>"Incomplete"</formula>
    </cfRule>
    <cfRule type="cellIs" dxfId="748" priority="29" operator="equal">
      <formula>"Complete"</formula>
    </cfRule>
  </conditionalFormatting>
  <conditionalFormatting sqref="O92:O93">
    <cfRule type="cellIs" dxfId="747" priority="26" operator="equal">
      <formula>"Incomplete"</formula>
    </cfRule>
    <cfRule type="cellIs" dxfId="746" priority="25" operator="equal">
      <formula>"Complete"</formula>
    </cfRule>
  </conditionalFormatting>
  <conditionalFormatting sqref="O101:O102">
    <cfRule type="cellIs" dxfId="745" priority="22" operator="equal">
      <formula>"Incomplete"</formula>
    </cfRule>
    <cfRule type="cellIs" dxfId="744" priority="21" operator="equal">
      <formula>"Complete"</formula>
    </cfRule>
  </conditionalFormatting>
  <conditionalFormatting sqref="O110:O111">
    <cfRule type="cellIs" dxfId="743" priority="18" operator="equal">
      <formula>"Incomplete"</formula>
    </cfRule>
    <cfRule type="cellIs" dxfId="742" priority="17" operator="equal">
      <formula>"Complete"</formula>
    </cfRule>
  </conditionalFormatting>
  <conditionalFormatting sqref="O119:O120">
    <cfRule type="cellIs" dxfId="741" priority="14" operator="equal">
      <formula>"Incomplete"</formula>
    </cfRule>
    <cfRule type="cellIs" dxfId="740" priority="13" operator="equal">
      <formula>"Complete"</formula>
    </cfRule>
  </conditionalFormatting>
  <conditionalFormatting sqref="O128:O129">
    <cfRule type="cellIs" dxfId="739" priority="10" operator="equal">
      <formula>"Incomplete"</formula>
    </cfRule>
    <cfRule type="cellIs" dxfId="738" priority="9" operator="equal">
      <formula>"Complete"</formula>
    </cfRule>
  </conditionalFormatting>
  <conditionalFormatting sqref="O137:O138">
    <cfRule type="cellIs" dxfId="737" priority="6" operator="equal">
      <formula>"Incomplete"</formula>
    </cfRule>
    <cfRule type="cellIs" dxfId="736" priority="5" operator="equal">
      <formula>"Complete"</formula>
    </cfRule>
  </conditionalFormatting>
  <conditionalFormatting sqref="O146:O147">
    <cfRule type="cellIs" dxfId="735" priority="2" operator="equal">
      <formula>"Incomplete"</formula>
    </cfRule>
    <cfRule type="cellIs" dxfId="734" priority="1" operator="equal">
      <formula>"Complete"</formula>
    </cfRule>
  </conditionalFormatting>
  <dataValidations count="4">
    <dataValidation allowBlank="1" showErrorMessage="1" promptTitle="Regulatory basis" prompt="The value of technical provisions in accordance with Part 2 of the regulations." sqref="F5:G5" xr:uid="{00000000-0002-0000-0800-000000000000}"/>
    <dataValidation allowBlank="1" showErrorMessage="1" promptTitle="Balance Sheet - Liabilities" prompt="See TS(10) 1.2. for valuation of technical provisions._x000a_See TS(10) 1.1. for valuation of &quot;Other liabilities&quot;." sqref="C5:C6" xr:uid="{00000000-0002-0000-0800-000001000000}"/>
    <dataValidation allowBlank="1" showInputMessage="1" showErrorMessage="1" prompt="Input best estimate of amounts recoverable from reinsurance contracts and SPVS in respect of claims outstanding for each LOB" sqref="J5" xr:uid="{00000000-0002-0000-0800-000002000000}"/>
    <dataValidation allowBlank="1" showErrorMessage="1" sqref="J6 B4" xr:uid="{00000000-0002-0000-0800-000003000000}"/>
  </dataValidations>
  <pageMargins left="0.70866141732283472" right="0.70866141732283472" top="0.74803149606299213" bottom="0.74803149606299213" header="0.31496062992125984" footer="0.31496062992125984"/>
  <pageSetup paperSize="9" scale="40" orientation="portrait" r:id="rId2"/>
  <headerFooter>
    <oddFooter>&amp;CDRAFT - FOR DISCUSSION PURPOSES ONLY</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0F297630E97B4AA31960DC1DD82774" ma:contentTypeVersion="3" ma:contentTypeDescription="Create a new document." ma:contentTypeScope="" ma:versionID="758654e1562f6762349ec63a09f3b881">
  <xsd:schema xmlns:xsd="http://www.w3.org/2001/XMLSchema" xmlns:xs="http://www.w3.org/2001/XMLSchema" xmlns:p="http://schemas.microsoft.com/office/2006/metadata/properties" xmlns:ns2="d2317695-c742-421a-9ac3-eced34c2e3b6" targetNamespace="http://schemas.microsoft.com/office/2006/metadata/properties" ma:root="true" ma:fieldsID="12f599a722fb2972630babab1c03619c" ns2:_="">
    <xsd:import namespace="d2317695-c742-421a-9ac3-eced34c2e3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317695-c742-421a-9ac3-eced34c2e3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A68993-6D49-42E4-9665-92461ADBF915}">
  <ds:schemaRefs>
    <ds:schemaRef ds:uri="http://schemas.microsoft.com/sharepoint/v3/contenttype/forms"/>
  </ds:schemaRefs>
</ds:datastoreItem>
</file>

<file path=customXml/itemProps2.xml><?xml version="1.0" encoding="utf-8"?>
<ds:datastoreItem xmlns:ds="http://schemas.openxmlformats.org/officeDocument/2006/customXml" ds:itemID="{FB3174C3-4FE2-4245-95AF-F437F410A3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317695-c742-421a-9ac3-eced34c2e3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C07D40-1D9A-49E4-820C-156C62D46CE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d2317695-c742-421a-9ac3-eced34c2e3b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280</vt:i4>
      </vt:variant>
    </vt:vector>
  </HeadingPairs>
  <TitlesOfParts>
    <vt:vector size="318" baseType="lpstr">
      <vt:lpstr>Change log</vt:lpstr>
      <vt:lpstr>CHANGE TAB</vt:lpstr>
      <vt:lpstr>Index</vt:lpstr>
      <vt:lpstr>Background</vt:lpstr>
      <vt:lpstr>Participant Information</vt:lpstr>
      <vt:lpstr>Control</vt:lpstr>
      <vt:lpstr>RBS - Assets</vt:lpstr>
      <vt:lpstr>RBS - Direct TPs</vt:lpstr>
      <vt:lpstr>RBS - Reins TPs</vt:lpstr>
      <vt:lpstr>RBS - Other Liab</vt:lpstr>
      <vt:lpstr>RBS - Risk Margin</vt:lpstr>
      <vt:lpstr>RBS - Capital</vt:lpstr>
      <vt:lpstr>Own Funds</vt:lpstr>
      <vt:lpstr>Ring-Fenced Fund Adjustment</vt:lpstr>
      <vt:lpstr>Market Risk Inputs</vt:lpstr>
      <vt:lpstr>Spread Risk</vt:lpstr>
      <vt:lpstr>Counterparty Default Risk</vt:lpstr>
      <vt:lpstr>Premium and Reserve Risk</vt:lpstr>
      <vt:lpstr>Geographical Diversification</vt:lpstr>
      <vt:lpstr>Lapse Risk</vt:lpstr>
      <vt:lpstr>Health Prem &amp; Reserve Risk</vt:lpstr>
      <vt:lpstr>Health Geo Diversification</vt:lpstr>
      <vt:lpstr>Health Lapse Risk</vt:lpstr>
      <vt:lpstr>Market Risk</vt:lpstr>
      <vt:lpstr>Underwriting Risk</vt:lpstr>
      <vt:lpstr>NSLT Health Risk</vt:lpstr>
      <vt:lpstr>SCR Summary</vt:lpstr>
      <vt:lpstr>MCR Summary</vt:lpstr>
      <vt:lpstr>Change_Analysis</vt:lpstr>
      <vt:lpstr>Additional Information</vt:lpstr>
      <vt:lpstr>Supporting Material</vt:lpstr>
      <vt:lpstr>Summary of Single Exposures</vt:lpstr>
      <vt:lpstr>12 Month Forecast</vt:lpstr>
      <vt:lpstr>Large Claims</vt:lpstr>
      <vt:lpstr>Security Supporting Obligations</vt:lpstr>
      <vt:lpstr>Class 12 Info</vt:lpstr>
      <vt:lpstr>Data</vt:lpstr>
      <vt:lpstr>Validation</vt:lpstr>
      <vt:lpstr>Background!_Toc419126041</vt:lpstr>
      <vt:lpstr>Background!_Toc492473015</vt:lpstr>
      <vt:lpstr>Background!_Toc492473016</vt:lpstr>
      <vt:lpstr>Background!_Toc492473024</vt:lpstr>
      <vt:lpstr>Background!_Toc492473025</vt:lpstr>
      <vt:lpstr>Background!_Toc492473026</vt:lpstr>
      <vt:lpstr>'Ring-Fenced Fund Adjustment'!_Toc516494590</vt:lpstr>
      <vt:lpstr>'Lapse Risk'!_Toc516494597</vt:lpstr>
      <vt:lpstr>A_10</vt:lpstr>
      <vt:lpstr>A_200</vt:lpstr>
      <vt:lpstr>'RBS - Capital'!Acc_Capital</vt:lpstr>
      <vt:lpstr>'RBS - Reins TPs'!Acc_NAV</vt:lpstr>
      <vt:lpstr>'RBS - Other Liab'!Acc_Other_Liabs</vt:lpstr>
      <vt:lpstr>'RBS - Reins TPs'!Acc_Total_1_to_28_Liabs</vt:lpstr>
      <vt:lpstr>Acc_Total_Assets</vt:lpstr>
      <vt:lpstr>'RBS - Direct TPs'!Acc_Total_Direct_Liabs</vt:lpstr>
      <vt:lpstr>'RBS - Other Liab'!Acc_Total_Liabs</vt:lpstr>
      <vt:lpstr>'RBS - Direct TPs'!Acc_TP_1</vt:lpstr>
      <vt:lpstr>'RBS - Direct TPs'!Acc_TP_10</vt:lpstr>
      <vt:lpstr>'RBS - Direct TPs'!Acc_TP_11</vt:lpstr>
      <vt:lpstr>'RBS - Direct TPs'!Acc_TP_12</vt:lpstr>
      <vt:lpstr>'RBS - Reins TPs'!Acc_TP_13</vt:lpstr>
      <vt:lpstr>'RBS - Reins TPs'!Acc_TP_14</vt:lpstr>
      <vt:lpstr>'RBS - Reins TPs'!Acc_TP_15</vt:lpstr>
      <vt:lpstr>'RBS - Reins TPs'!Acc_TP_16</vt:lpstr>
      <vt:lpstr>'RBS - Reins TPs'!Acc_TP_17</vt:lpstr>
      <vt:lpstr>'RBS - Reins TPs'!Acc_TP_18</vt:lpstr>
      <vt:lpstr>'RBS - Reins TPs'!Acc_TP_19</vt:lpstr>
      <vt:lpstr>'RBS - Direct TPs'!Acc_TP_2</vt:lpstr>
      <vt:lpstr>'RBS - Reins TPs'!Acc_TP_20</vt:lpstr>
      <vt:lpstr>'RBS - Reins TPs'!Acc_TP_21</vt:lpstr>
      <vt:lpstr>'RBS - Reins TPs'!Acc_TP_22</vt:lpstr>
      <vt:lpstr>'RBS - Reins TPs'!Acc_TP_23</vt:lpstr>
      <vt:lpstr>'RBS - Reins TPs'!Acc_TP_24</vt:lpstr>
      <vt:lpstr>'RBS - Reins TPs'!Acc_TP_25</vt:lpstr>
      <vt:lpstr>'RBS - Reins TPs'!Acc_TP_26</vt:lpstr>
      <vt:lpstr>'RBS - Reins TPs'!Acc_TP_27</vt:lpstr>
      <vt:lpstr>'RBS - Reins TPs'!Acc_TP_28</vt:lpstr>
      <vt:lpstr>'RBS - Direct TPs'!Acc_TP_3</vt:lpstr>
      <vt:lpstr>'RBS - Direct TPs'!Acc_TP_4</vt:lpstr>
      <vt:lpstr>'RBS - Direct TPs'!Acc_TP_5</vt:lpstr>
      <vt:lpstr>'RBS - Direct TPs'!Acc_TP_6</vt:lpstr>
      <vt:lpstr>'RBS - Direct TPs'!Acc_TP_7</vt:lpstr>
      <vt:lpstr>'RBS - Direct TPs'!Acc_TP_8</vt:lpstr>
      <vt:lpstr>'RBS - Direct TPs'!Acc_TP_9</vt:lpstr>
      <vt:lpstr>'SCR Summary'!Adj_Reg_10</vt:lpstr>
      <vt:lpstr>Agg_P_1</vt:lpstr>
      <vt:lpstr>Agg_P_19</vt:lpstr>
      <vt:lpstr>Agg_P_2</vt:lpstr>
      <vt:lpstr>Agg_P_20</vt:lpstr>
      <vt:lpstr>Agg_P_21</vt:lpstr>
      <vt:lpstr>Agg_P_3</vt:lpstr>
      <vt:lpstr>Agg_P_4</vt:lpstr>
      <vt:lpstr>Agg_P_5</vt:lpstr>
      <vt:lpstr>Agg_P_6</vt:lpstr>
      <vt:lpstr>Agg_P_7</vt:lpstr>
      <vt:lpstr>Agg_P_8</vt:lpstr>
      <vt:lpstr>Agg_P_9</vt:lpstr>
      <vt:lpstr>Agg_PH_1</vt:lpstr>
      <vt:lpstr>Agg_PH_2</vt:lpstr>
      <vt:lpstr>Agg_PH_3</vt:lpstr>
      <vt:lpstr>Agg_PH_4</vt:lpstr>
      <vt:lpstr>Agg_R_1</vt:lpstr>
      <vt:lpstr>Agg_R_19</vt:lpstr>
      <vt:lpstr>Agg_R_2</vt:lpstr>
      <vt:lpstr>Agg_R_20</vt:lpstr>
      <vt:lpstr>Agg_R_21</vt:lpstr>
      <vt:lpstr>Agg_R_3</vt:lpstr>
      <vt:lpstr>Agg_R_4</vt:lpstr>
      <vt:lpstr>Agg_R_5</vt:lpstr>
      <vt:lpstr>Agg_R_6</vt:lpstr>
      <vt:lpstr>Agg_R_7</vt:lpstr>
      <vt:lpstr>Agg_R_8</vt:lpstr>
      <vt:lpstr>Agg_R_9</vt:lpstr>
      <vt:lpstr>Agg_RH_1</vt:lpstr>
      <vt:lpstr>Agg_RH_2</vt:lpstr>
      <vt:lpstr>Agg_RH_3</vt:lpstr>
      <vt:lpstr>Agg_RH_4</vt:lpstr>
      <vt:lpstr>Agg_sP_1</vt:lpstr>
      <vt:lpstr>Agg_sP_19</vt:lpstr>
      <vt:lpstr>Agg_sP_2</vt:lpstr>
      <vt:lpstr>Agg_sP_20</vt:lpstr>
      <vt:lpstr>Agg_sP_21</vt:lpstr>
      <vt:lpstr>Agg_sP_3</vt:lpstr>
      <vt:lpstr>Agg_sP_4</vt:lpstr>
      <vt:lpstr>Agg_sP_5</vt:lpstr>
      <vt:lpstr>Agg_sP_6</vt:lpstr>
      <vt:lpstr>Agg_sP_7</vt:lpstr>
      <vt:lpstr>Agg_sP_8</vt:lpstr>
      <vt:lpstr>Agg_sP_9</vt:lpstr>
      <vt:lpstr>Agg_SPH_1</vt:lpstr>
      <vt:lpstr>Agg_SPH_2</vt:lpstr>
      <vt:lpstr>Agg_SPH_3</vt:lpstr>
      <vt:lpstr>Agg_SPH_4</vt:lpstr>
      <vt:lpstr>Agg_sR_1</vt:lpstr>
      <vt:lpstr>Agg_sR_19</vt:lpstr>
      <vt:lpstr>Agg_sR_2</vt:lpstr>
      <vt:lpstr>Agg_sR_20</vt:lpstr>
      <vt:lpstr>Agg_sR_21</vt:lpstr>
      <vt:lpstr>Agg_sR_3</vt:lpstr>
      <vt:lpstr>Agg_sR_4</vt:lpstr>
      <vt:lpstr>Agg_sR_5</vt:lpstr>
      <vt:lpstr>Agg_sR_6</vt:lpstr>
      <vt:lpstr>Agg_sR_7</vt:lpstr>
      <vt:lpstr>Agg_sR_8</vt:lpstr>
      <vt:lpstr>Agg_sR_9</vt:lpstr>
      <vt:lpstr>Agg_SRH_1</vt:lpstr>
      <vt:lpstr>Agg_SRH_2</vt:lpstr>
      <vt:lpstr>Agg_SRH_3</vt:lpstr>
      <vt:lpstr>Agg_SRH_4</vt:lpstr>
      <vt:lpstr>AOF_Tier_1</vt:lpstr>
      <vt:lpstr>AOF_Tier_2</vt:lpstr>
      <vt:lpstr>AOF_Tier_3</vt:lpstr>
      <vt:lpstr>AOF_Total</vt:lpstr>
      <vt:lpstr>BOF_Adj_Tier_1</vt:lpstr>
      <vt:lpstr>BOF_Adj_Tier_2</vt:lpstr>
      <vt:lpstr>BOF_Adj_Tier_3</vt:lpstr>
      <vt:lpstr>BOF_Adj_Total</vt:lpstr>
      <vt:lpstr>BOF_Tier_1</vt:lpstr>
      <vt:lpstr>BOF_Tier_1_10</vt:lpstr>
      <vt:lpstr>BOF_Tier_2</vt:lpstr>
      <vt:lpstr>BOF_Tier_2_10</vt:lpstr>
      <vt:lpstr>BOF_Tier_3</vt:lpstr>
      <vt:lpstr>BOF_Tier_3_10</vt:lpstr>
      <vt:lpstr>BOF_Total</vt:lpstr>
      <vt:lpstr>BOF_Total_10</vt:lpstr>
      <vt:lpstr>'SCR Summary'!BSCR_10</vt:lpstr>
      <vt:lpstr>'SCR Summary'!Cap_Res_10</vt:lpstr>
      <vt:lpstr>Catastrophe</vt:lpstr>
      <vt:lpstr>Concentration</vt:lpstr>
      <vt:lpstr>Corr</vt:lpstr>
      <vt:lpstr>Corr_10</vt:lpstr>
      <vt:lpstr>CorrCAT</vt:lpstr>
      <vt:lpstr>CorrCAT_10</vt:lpstr>
      <vt:lpstr>CorrLiab</vt:lpstr>
      <vt:lpstr>CorrLiab_10</vt:lpstr>
      <vt:lpstr>CorrOther</vt:lpstr>
      <vt:lpstr>CorrOther_10</vt:lpstr>
      <vt:lpstr>CorrPR</vt:lpstr>
      <vt:lpstr>CorrPR_10</vt:lpstr>
      <vt:lpstr>CorrPR_Health</vt:lpstr>
      <vt:lpstr>CorrPR_Health_10</vt:lpstr>
      <vt:lpstr>Currency</vt:lpstr>
      <vt:lpstr>CurrencyCorr</vt:lpstr>
      <vt:lpstr>Default</vt:lpstr>
      <vt:lpstr>DefaultCorr</vt:lpstr>
      <vt:lpstr>DefaultCorr10</vt:lpstr>
      <vt:lpstr>DIV_Prem_Res</vt:lpstr>
      <vt:lpstr>'Health Geo Diversification'!Div_Prem_Res_Health</vt:lpstr>
      <vt:lpstr>EqCorr</vt:lpstr>
      <vt:lpstr>EqCorr10</vt:lpstr>
      <vt:lpstr>Equity</vt:lpstr>
      <vt:lpstr>'NSLT Health Risk'!Health_Catastrophe</vt:lpstr>
      <vt:lpstr>'NSLT Health Risk'!Health_Lapse</vt:lpstr>
      <vt:lpstr>'NSLT Health Risk'!Health_Premium</vt:lpstr>
      <vt:lpstr>HealthCorr</vt:lpstr>
      <vt:lpstr>HealthCorr_10</vt:lpstr>
      <vt:lpstr>Interest</vt:lpstr>
      <vt:lpstr>Lapse</vt:lpstr>
      <vt:lpstr>LAPSE_UP_10</vt:lpstr>
      <vt:lpstr>LAPSE_UP_10_HEALTH</vt:lpstr>
      <vt:lpstr>MarketCorr_10</vt:lpstr>
      <vt:lpstr>MCR</vt:lpstr>
      <vt:lpstr>Mkt_Conc_10</vt:lpstr>
      <vt:lpstr>Mkt_Equity_10</vt:lpstr>
      <vt:lpstr>Mkt_FX_10</vt:lpstr>
      <vt:lpstr>Mkt_Int_Down_10</vt:lpstr>
      <vt:lpstr>Mkt_Int_Up_10</vt:lpstr>
      <vt:lpstr>Mkt_Interest_10</vt:lpstr>
      <vt:lpstr>Mkt_Property_10</vt:lpstr>
      <vt:lpstr>Mkt_Spread_10</vt:lpstr>
      <vt:lpstr>NL_CAT_10</vt:lpstr>
      <vt:lpstr>'NSLT Health Risk'!NL_CAT_10_HEALTH</vt:lpstr>
      <vt:lpstr>'NSLT Health Risk'!NL_Health_PR_10</vt:lpstr>
      <vt:lpstr>'NSLT Health Risk'!NL_healthCAT_10</vt:lpstr>
      <vt:lpstr>NL_Lapse_10</vt:lpstr>
      <vt:lpstr>'NSLT Health Risk'!NL_Lapse_10_Health</vt:lpstr>
      <vt:lpstr>NL_PR_10</vt:lpstr>
      <vt:lpstr>NLCorr</vt:lpstr>
      <vt:lpstr>NLCorr_10</vt:lpstr>
      <vt:lpstr>'Supporting Material'!OLE_LINK10</vt:lpstr>
      <vt:lpstr>'Supporting Material'!OLE_LINK18</vt:lpstr>
      <vt:lpstr>'Supporting Material'!OLE_LINK19</vt:lpstr>
      <vt:lpstr>'Supporting Material'!OLE_LINK21</vt:lpstr>
      <vt:lpstr>'Additional Information'!OLE_LINK24</vt:lpstr>
      <vt:lpstr>'Supporting Material'!OLE_LINK9</vt:lpstr>
      <vt:lpstr>Premium</vt:lpstr>
      <vt:lpstr>Index!Print_Area</vt:lpstr>
      <vt:lpstr>Property</vt:lpstr>
      <vt:lpstr>QIS_YE_Date</vt:lpstr>
      <vt:lpstr>'RBS - Capital'!Reg_Capital_10</vt:lpstr>
      <vt:lpstr>'RBS - Reins TPs'!Reg_NAV_10</vt:lpstr>
      <vt:lpstr>'RBS - Other Liab'!Reg_Other_Liabs_10</vt:lpstr>
      <vt:lpstr>'RBS - Reins TPs'!Reg_Total_1_to_28_Liabs_10</vt:lpstr>
      <vt:lpstr>Reg_Total_Assets</vt:lpstr>
      <vt:lpstr>'RBS - Direct TPs'!Reg_Total_Direct_Liabs</vt:lpstr>
      <vt:lpstr>'RBS - Other Liab'!Reg_Total_Liabs_10</vt:lpstr>
      <vt:lpstr>'RBS - Direct TPs'!Reg_TP_1_10</vt:lpstr>
      <vt:lpstr>'RBS - Direct TPs'!Reg_TP_10_10</vt:lpstr>
      <vt:lpstr>'RBS - Direct TPs'!Reg_TP_11_10</vt:lpstr>
      <vt:lpstr>'RBS - Direct TPs'!Reg_TP_12_10</vt:lpstr>
      <vt:lpstr>'RBS - Reins TPs'!Reg_TP_13_10</vt:lpstr>
      <vt:lpstr>'RBS - Reins TPs'!Reg_TP_14_10</vt:lpstr>
      <vt:lpstr>'RBS - Reins TPs'!Reg_TP_15_10</vt:lpstr>
      <vt:lpstr>'RBS - Reins TPs'!Reg_TP_16_10</vt:lpstr>
      <vt:lpstr>'RBS - Reins TPs'!Reg_TP_17_10</vt:lpstr>
      <vt:lpstr>'RBS - Reins TPs'!Reg_TP_18_10</vt:lpstr>
      <vt:lpstr>'RBS - Reins TPs'!Reg_TP_19_10</vt:lpstr>
      <vt:lpstr>'RBS - Direct TPs'!Reg_TP_2_10</vt:lpstr>
      <vt:lpstr>'RBS - Reins TPs'!Reg_TP_20_10</vt:lpstr>
      <vt:lpstr>'RBS - Reins TPs'!Reg_TP_21_10</vt:lpstr>
      <vt:lpstr>'RBS - Reins TPs'!Reg_TP_22_10</vt:lpstr>
      <vt:lpstr>'RBS - Reins TPs'!Reg_TP_23_10</vt:lpstr>
      <vt:lpstr>'RBS - Reins TPs'!Reg_TP_24_10</vt:lpstr>
      <vt:lpstr>'RBS - Reins TPs'!Reg_TP_25_10</vt:lpstr>
      <vt:lpstr>'RBS - Reins TPs'!Reg_TP_26_10</vt:lpstr>
      <vt:lpstr>'RBS - Reins TPs'!Reg_TP_27_10</vt:lpstr>
      <vt:lpstr>'RBS - Reins TPs'!Reg_TP_28_10</vt:lpstr>
      <vt:lpstr>'RBS - Direct TPs'!Reg_TP_3_10</vt:lpstr>
      <vt:lpstr>'RBS - Direct TPs'!Reg_TP_4_10</vt:lpstr>
      <vt:lpstr>'RBS - Direct TPs'!Reg_TP_5_10</vt:lpstr>
      <vt:lpstr>'RBS - Direct TPs'!Reg_TP_6_10</vt:lpstr>
      <vt:lpstr>'RBS - Direct TPs'!Reg_TP_7_10</vt:lpstr>
      <vt:lpstr>'RBS - Direct TPs'!Reg_TP_8_10</vt:lpstr>
      <vt:lpstr>'RBS - Direct TPs'!Reg_TP_9_10</vt:lpstr>
      <vt:lpstr>'SCR Summary'!SCR_10</vt:lpstr>
      <vt:lpstr>SCR_Def_1_10</vt:lpstr>
      <vt:lpstr>SCR_Def_2_10</vt:lpstr>
      <vt:lpstr>SCR_Default_10</vt:lpstr>
      <vt:lpstr>'NSLT Health Risk'!SCR_Health_10</vt:lpstr>
      <vt:lpstr>'NSLT Health Risk'!SCR_Health_10_capped</vt:lpstr>
      <vt:lpstr>SCR_Market_10</vt:lpstr>
      <vt:lpstr>SCR_Non_Life_10</vt:lpstr>
      <vt:lpstr>SCR_Non_Life_10_capped</vt:lpstr>
      <vt:lpstr>'SCR Summary'!SCR_Op_10</vt:lpstr>
      <vt:lpstr>Spread</vt:lpstr>
      <vt:lpstr>'SCR Summary'!Tier_1_Adj_10</vt:lpstr>
      <vt:lpstr>'SCR Summary'!Tier_1_Cap_10</vt:lpstr>
      <vt:lpstr>'SCR Summary'!Tier_2_Adj_10</vt:lpstr>
      <vt:lpstr>'SCR Summary'!Tier_2_Cap_10</vt:lpstr>
      <vt:lpstr>'SCR Summary'!Tier_3_Adj_10</vt:lpstr>
      <vt:lpstr>'SCR Summary'!Tier_3_Cap_10</vt:lpstr>
      <vt:lpstr>'12 Month Forecast'!warehouse_data</vt:lpstr>
      <vt:lpstr>'Additional Information'!warehouse_data</vt:lpstr>
      <vt:lpstr>Background!warehouse_data</vt:lpstr>
      <vt:lpstr>'Change log'!warehouse_data</vt:lpstr>
      <vt:lpstr>'CHANGE TAB'!warehouse_data</vt:lpstr>
      <vt:lpstr>Change_Analysis!warehouse_data</vt:lpstr>
      <vt:lpstr>'Class 12 Info'!warehouse_data</vt:lpstr>
      <vt:lpstr>Control!warehouse_data</vt:lpstr>
      <vt:lpstr>'Counterparty Default Risk'!warehouse_data</vt:lpstr>
      <vt:lpstr>Data!warehouse_data</vt:lpstr>
      <vt:lpstr>'Geographical Diversification'!warehouse_data</vt:lpstr>
      <vt:lpstr>'Health Geo Diversification'!warehouse_data</vt:lpstr>
      <vt:lpstr>'Health Lapse Risk'!warehouse_data</vt:lpstr>
      <vt:lpstr>'Health Prem &amp; Reserve Risk'!warehouse_data</vt:lpstr>
      <vt:lpstr>Index!warehouse_data</vt:lpstr>
      <vt:lpstr>'Lapse Risk'!warehouse_data</vt:lpstr>
      <vt:lpstr>'Large Claims'!warehouse_data</vt:lpstr>
      <vt:lpstr>'Market Risk'!warehouse_data</vt:lpstr>
      <vt:lpstr>'Market Risk Inputs'!warehouse_data</vt:lpstr>
      <vt:lpstr>'MCR Summary'!warehouse_data</vt:lpstr>
      <vt:lpstr>'NSLT Health Risk'!warehouse_data</vt:lpstr>
      <vt:lpstr>'Own Funds'!warehouse_data</vt:lpstr>
      <vt:lpstr>'Participant Information'!warehouse_data</vt:lpstr>
      <vt:lpstr>'Premium and Reserve Risk'!warehouse_data</vt:lpstr>
      <vt:lpstr>'RBS - Assets'!warehouse_data</vt:lpstr>
      <vt:lpstr>'RBS - Capital'!warehouse_data</vt:lpstr>
      <vt:lpstr>'RBS - Direct TPs'!warehouse_data</vt:lpstr>
      <vt:lpstr>'RBS - Other Liab'!warehouse_data</vt:lpstr>
      <vt:lpstr>'RBS - Reins TPs'!warehouse_data</vt:lpstr>
      <vt:lpstr>'RBS - Risk Margin'!warehouse_data</vt:lpstr>
      <vt:lpstr>'Ring-Fenced Fund Adjustment'!warehouse_data</vt:lpstr>
      <vt:lpstr>'SCR Summary'!warehouse_data</vt:lpstr>
      <vt:lpstr>'Security Supporting Obligations'!warehouse_data</vt:lpstr>
      <vt:lpstr>'Spread Risk'!warehouse_data</vt:lpstr>
      <vt:lpstr>'Summary of Single Exposures'!warehouse_data</vt:lpstr>
      <vt:lpstr>'Supporting Material'!warehouse_data</vt:lpstr>
      <vt:lpstr>'Underwriting Risk'!warehouse_data</vt:lpstr>
      <vt:lpstr>Validation!warehouse_data</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Karuma, Richard</dc:creator>
  <cp:keywords/>
  <dc:description/>
  <cp:lastModifiedBy>Eltman, Sian</cp:lastModifiedBy>
  <cp:revision/>
  <dcterms:created xsi:type="dcterms:W3CDTF">2014-06-25T14:15:35Z</dcterms:created>
  <dcterms:modified xsi:type="dcterms:W3CDTF">2025-03-12T14:32:46Z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0x010100630F297630E97B4AA31960DC1DD82774</vt:lpwstr>
  </property>
</Properties>
</file>